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土地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S3" i="80" l="1"/>
  <c r="P3" i="80"/>
  <c r="O3" i="80"/>
  <c r="P4" i="80"/>
  <c r="P5" i="80"/>
  <c r="P6" i="80"/>
  <c r="V6" i="80" s="1"/>
  <c r="P7" i="80"/>
  <c r="P8" i="80"/>
  <c r="P9" i="80"/>
  <c r="P10" i="80"/>
  <c r="V10" i="80" s="1"/>
  <c r="P2" i="80"/>
  <c r="V2" i="80" s="1"/>
  <c r="V9" i="80"/>
  <c r="V8" i="80"/>
  <c r="V7" i="80"/>
  <c r="V5" i="80"/>
  <c r="V4" i="80"/>
  <c r="V3" i="80"/>
  <c r="O4" i="80"/>
  <c r="O5" i="80"/>
  <c r="O6" i="80"/>
  <c r="O7" i="80"/>
  <c r="O8" i="80"/>
  <c r="O9" i="80"/>
  <c r="O10" i="80"/>
  <c r="O2" i="80"/>
  <c r="S16" i="80"/>
  <c r="S15" i="80"/>
  <c r="S14" i="80"/>
  <c r="S13" i="80"/>
  <c r="S12" i="80"/>
  <c r="S11" i="80"/>
  <c r="S10" i="80"/>
  <c r="S9" i="80"/>
  <c r="S8" i="80"/>
  <c r="S7" i="80"/>
  <c r="S6" i="80"/>
  <c r="S5" i="80"/>
  <c r="S4" i="80"/>
  <c r="S2" i="80"/>
  <c r="R16" i="80"/>
  <c r="R15" i="80"/>
  <c r="R14" i="80"/>
  <c r="R13" i="80"/>
  <c r="R12" i="80"/>
  <c r="R11" i="80"/>
  <c r="R10" i="80"/>
  <c r="R9" i="80"/>
  <c r="R8" i="80"/>
  <c r="R7" i="80"/>
  <c r="R6" i="80"/>
  <c r="R5" i="80"/>
  <c r="R4" i="80"/>
  <c r="R3" i="80"/>
  <c r="R2" i="80"/>
  <c r="H22" i="80" l="1"/>
  <c r="E41" i="40" l="1"/>
  <c r="I34" i="40"/>
  <c r="G34" i="40"/>
  <c r="E34" i="40"/>
  <c r="C34" i="40"/>
  <c r="C11" i="40"/>
  <c r="I7" i="40"/>
  <c r="G7" i="40"/>
  <c r="E7" i="40"/>
  <c r="I5" i="40"/>
  <c r="G5" i="40"/>
  <c r="E5" i="40"/>
  <c r="C11" i="39"/>
  <c r="O70" i="39"/>
  <c r="N70" i="39"/>
  <c r="M70" i="39"/>
  <c r="L70" i="39"/>
  <c r="K70" i="39"/>
  <c r="J70" i="39"/>
  <c r="I70" i="39"/>
  <c r="H70" i="39"/>
  <c r="G70" i="39"/>
  <c r="F70" i="39"/>
  <c r="I7" i="39"/>
  <c r="G7" i="39"/>
  <c r="E7" i="39"/>
  <c r="I5" i="39"/>
  <c r="G5" i="39"/>
  <c r="E5" i="39"/>
  <c r="M3" i="80"/>
  <c r="M4" i="80"/>
  <c r="M5" i="80"/>
  <c r="M6" i="80"/>
  <c r="M7" i="80"/>
  <c r="M8" i="80"/>
  <c r="M9" i="80"/>
  <c r="M10" i="80"/>
  <c r="M11" i="80"/>
  <c r="M12" i="80"/>
  <c r="M13" i="80"/>
  <c r="M14" i="80"/>
  <c r="M15" i="80"/>
  <c r="M16" i="80"/>
  <c r="M2" i="80"/>
  <c r="E23" i="80"/>
  <c r="G23" i="80" s="1"/>
  <c r="G22" i="80"/>
  <c r="D33" i="43"/>
  <c r="G84" i="43"/>
  <c r="G85" i="43"/>
  <c r="G86" i="43"/>
  <c r="G87" i="43"/>
  <c r="G88" i="43"/>
  <c r="G89" i="43"/>
  <c r="G90" i="43"/>
  <c r="G83" i="43"/>
  <c r="H23" i="80" l="1"/>
  <c r="I41" i="40" l="1"/>
  <c r="G41" i="40"/>
  <c r="Y6" i="1"/>
  <c r="N6" i="1"/>
  <c r="N19" i="1"/>
  <c r="N21" i="1" s="1"/>
  <c r="B59" i="1"/>
  <c r="B21" i="1"/>
  <c r="F19" i="6"/>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AC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c r="G90" i="40" s="1"/>
  <c r="D88" i="40"/>
  <c r="J19" i="40" s="1"/>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W34" i="40" s="1"/>
  <c r="AC34" i="40"/>
  <c r="H34" i="40"/>
  <c r="AB34" i="40" s="1"/>
  <c r="F34" i="40"/>
  <c r="S34" i="40" s="1"/>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S11" i="40" s="1"/>
  <c r="AA11" i="40"/>
  <c r="H11" i="40"/>
  <c r="U11" i="40" s="1"/>
  <c r="AB11" i="40"/>
  <c r="AB3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S40" i="39"/>
  <c r="C15" i="39"/>
  <c r="H32" i="33"/>
  <c r="AB32" i="33"/>
  <c r="H11" i="21"/>
  <c r="U11" i="21" s="1"/>
  <c r="J11" i="21"/>
  <c r="W11" i="21" s="1"/>
  <c r="H37" i="40"/>
  <c r="AB37" i="40" s="1"/>
  <c r="U37" i="40"/>
  <c r="H36" i="40"/>
  <c r="AB36" i="40" s="1"/>
  <c r="F35" i="40"/>
  <c r="AA35" i="40" s="1"/>
  <c r="H17" i="40"/>
  <c r="AB17" i="40" s="1"/>
  <c r="U17" i="40"/>
  <c r="J15" i="40"/>
  <c r="W15" i="40" s="1"/>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S37" i="40" s="1"/>
  <c r="AA37" i="40"/>
  <c r="F36" i="40"/>
  <c r="AA36" i="40"/>
  <c r="H28" i="40"/>
  <c r="U28" i="40"/>
  <c r="F17" i="40"/>
  <c r="AA17" i="40" s="1"/>
  <c r="J17" i="40"/>
  <c r="W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J50" i="40"/>
  <c r="H103" i="9"/>
  <c r="D8" i="53" s="1"/>
  <c r="B16" i="53"/>
  <c r="B33" i="72" s="1"/>
  <c r="A118" i="9"/>
  <c r="A4" i="52"/>
  <c r="B41" i="72" s="1"/>
  <c r="J11" i="39"/>
  <c r="AC11" i="39" s="1"/>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C36"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G1" i="69"/>
  <c r="G1" i="67"/>
  <c r="U32" i="40"/>
  <c r="AB31" i="40"/>
  <c r="AB28" i="40"/>
  <c r="W28"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 i="73"/>
  <c r="M28" i="15"/>
  <c r="M26" i="67"/>
  <c r="B10" i="76"/>
  <c r="M24" i="15"/>
  <c r="F9" i="15"/>
  <c r="AO13" i="1"/>
  <c r="E7" i="76"/>
  <c r="F7" i="15"/>
  <c r="L48" i="67"/>
  <c r="M6" i="67"/>
  <c r="F5" i="73"/>
  <c r="M9" i="67"/>
  <c r="E8" i="76"/>
  <c r="M29" i="15"/>
  <c r="F43" i="15"/>
  <c r="F9" i="67"/>
  <c r="F8" i="67"/>
  <c r="B7" i="76"/>
  <c r="M6" i="15"/>
  <c r="L47" i="15"/>
  <c r="F37" i="67"/>
  <c r="M22" i="67"/>
  <c r="B8" i="76"/>
  <c r="E11" i="76"/>
  <c r="E13" i="76"/>
  <c r="M23" i="67"/>
  <c r="B9" i="76"/>
  <c r="F7" i="67"/>
  <c r="E9" i="76"/>
  <c r="J15" i="67"/>
  <c r="F4" i="73"/>
  <c r="M26" i="15"/>
  <c r="F38" i="67"/>
  <c r="F40" i="67"/>
  <c r="F26" i="15"/>
  <c r="F16" i="15"/>
  <c r="F16" i="67"/>
  <c r="J15" i="15"/>
  <c r="M23" i="15"/>
  <c r="F20" i="31"/>
  <c r="F42" i="15"/>
  <c r="F7" i="73"/>
  <c r="F26" i="67"/>
  <c r="F36" i="15"/>
  <c r="M9" i="15"/>
  <c r="F6" i="67"/>
  <c r="F8" i="15"/>
  <c r="E2" i="68"/>
  <c r="E10" i="76"/>
  <c r="B13" i="76"/>
  <c r="L48" i="15"/>
  <c r="F42" i="67"/>
  <c r="M29" i="67"/>
  <c r="F6" i="73"/>
  <c r="C76" i="67"/>
  <c r="M8" i="15"/>
  <c r="F13" i="15"/>
  <c r="B11" i="76"/>
  <c r="M28" i="67"/>
  <c r="E2" i="69"/>
  <c r="F6" i="15"/>
  <c r="M22" i="15"/>
  <c r="B12" i="76"/>
  <c r="M8" i="67"/>
  <c r="F36" i="67"/>
  <c r="F13" i="67"/>
  <c r="C76" i="15"/>
  <c r="F43" i="67"/>
  <c r="L47" i="67"/>
  <c r="F38" i="15"/>
  <c r="M24" i="67"/>
  <c r="F40" i="15"/>
  <c r="E12" i="76"/>
  <c r="F37" i="15"/>
  <c r="C7" i="33" l="1"/>
  <c r="C7" i="34"/>
  <c r="C7" i="39"/>
  <c r="C67" i="39" s="1"/>
  <c r="C10" i="39"/>
  <c r="C10" i="40"/>
  <c r="J51" i="15"/>
  <c r="M47" i="9"/>
  <c r="C7" i="40"/>
  <c r="C63" i="40" s="1"/>
  <c r="D63" i="40" s="1"/>
  <c r="C7" i="21"/>
  <c r="C58" i="21" s="1"/>
  <c r="D58" i="21" s="1"/>
  <c r="C7" i="36"/>
  <c r="C46" i="36" s="1"/>
  <c r="D46" i="36" s="1"/>
  <c r="E46" i="36" s="1"/>
  <c r="F46" i="36" s="1"/>
  <c r="G46" i="36" s="1"/>
  <c r="H46" i="36" s="1"/>
  <c r="I46" i="36" s="1"/>
  <c r="J46" i="36" s="1"/>
  <c r="K46" i="36" s="1"/>
  <c r="L46" i="36" s="1"/>
  <c r="M46" i="36" s="1"/>
  <c r="N46" i="36" s="1"/>
  <c r="O46" i="36" s="1"/>
  <c r="J1" i="73"/>
  <c r="C7" i="35"/>
  <c r="C48" i="35" s="1"/>
  <c r="D48" i="35" s="1"/>
  <c r="E48" i="35" s="1"/>
  <c r="C42" i="1"/>
  <c r="C24" i="12" s="1"/>
  <c r="J11" i="40"/>
  <c r="W11" i="40" s="1"/>
  <c r="W35" i="40"/>
  <c r="U35" i="40"/>
  <c r="S35" i="40"/>
  <c r="U34" i="40"/>
  <c r="W25" i="40"/>
  <c r="S25" i="40"/>
  <c r="F92" i="40"/>
  <c r="G92" i="40" s="1"/>
  <c r="H23" i="40"/>
  <c r="AB23" i="40" s="1"/>
  <c r="F23" i="40"/>
  <c r="J23" i="40"/>
  <c r="U21" i="40"/>
  <c r="AC21" i="40"/>
  <c r="AC19" i="40"/>
  <c r="W19" i="40"/>
  <c r="AC17" i="40"/>
  <c r="S17" i="40"/>
  <c r="H15" i="40"/>
  <c r="F15" i="40"/>
  <c r="AC15" i="40"/>
  <c r="U9" i="40"/>
  <c r="W8" i="40"/>
  <c r="H11" i="39"/>
  <c r="S9" i="39"/>
  <c r="W9" i="39"/>
  <c r="W8" i="39"/>
  <c r="AB8" i="39"/>
  <c r="S8" i="39"/>
  <c r="C21" i="68"/>
  <c r="C40" i="69"/>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15"/>
  <c r="D4" i="73"/>
  <c r="D6" i="73"/>
  <c r="D3" i="73"/>
  <c r="D5" i="73"/>
  <c r="C16" i="67"/>
  <c r="AC11" i="40" l="1"/>
  <c r="C65" i="40"/>
  <c r="J7" i="36"/>
  <c r="C30" i="69"/>
  <c r="C28" i="15"/>
  <c r="C28" i="67"/>
  <c r="C31" i="12"/>
  <c r="C48" i="69"/>
  <c r="S23" i="40"/>
  <c r="AA23" i="40"/>
  <c r="AC23" i="40"/>
  <c r="W23" i="40"/>
  <c r="U23" i="40"/>
  <c r="S15" i="40"/>
  <c r="AA15" i="40"/>
  <c r="AB15" i="40"/>
  <c r="U15" i="40"/>
  <c r="U11" i="39"/>
  <c r="AB11" i="39"/>
  <c r="E26" i="43"/>
  <c r="G16" i="1"/>
  <c r="F10" i="39" s="1"/>
  <c r="P6" i="1"/>
  <c r="C13" i="12" s="1"/>
  <c r="G26" i="43"/>
  <c r="N94" i="46"/>
  <c r="J26" i="43"/>
  <c r="N370" i="46"/>
  <c r="F30" i="6"/>
  <c r="F26" i="43"/>
  <c r="D26" i="43" s="1"/>
  <c r="C25" i="43" s="1"/>
  <c r="D20" i="53"/>
  <c r="B40" i="72"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C7" i="37" l="1"/>
  <c r="U7" i="36"/>
  <c r="AA7" i="36"/>
  <c r="R36" i="36"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I53" i="34" l="1"/>
  <c r="J53" i="34" s="1"/>
  <c r="F22" i="68"/>
  <c r="F41" i="68" s="1"/>
  <c r="F25" i="12"/>
  <c r="C26" i="12" s="1"/>
  <c r="D25" i="12" s="1"/>
  <c r="D116" i="43"/>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67"/>
  <c r="C17" i="15"/>
  <c r="C26" i="68" l="1"/>
  <c r="D22" i="68" s="1"/>
  <c r="C26" i="11"/>
  <c r="D22" i="11" s="1"/>
  <c r="C44" i="11"/>
  <c r="D41" i="11" s="1"/>
  <c r="E53" i="34"/>
  <c r="F53" i="34"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9"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B6" i="74"/>
  <c r="D6" i="74" s="1"/>
  <c r="C23" i="68" l="1"/>
  <c r="C20" i="68"/>
  <c r="C28" i="68" l="1"/>
  <c r="C27" i="68" s="1"/>
  <c r="C25" i="68"/>
  <c r="C22" i="68" s="1"/>
  <c r="C31" i="68" l="1"/>
  <c r="C52" i="68" s="1"/>
  <c r="B2" i="68" s="1"/>
  <c r="C19" i="9"/>
  <c r="C57" i="68" l="1"/>
  <c r="C56" i="68" s="1"/>
  <c r="C102" i="9"/>
  <c r="C21" i="9"/>
  <c r="G19" i="9"/>
  <c r="G21" i="9" s="1"/>
  <c r="D22" i="9"/>
  <c r="B3" i="68"/>
  <c r="C20" i="9"/>
  <c r="D35" i="9"/>
  <c r="D34" i="9"/>
  <c r="C103" i="9" l="1"/>
  <c r="G20" i="9"/>
  <c r="C32" i="9" s="1"/>
  <c r="C35" i="9" l="1"/>
  <c r="H118" i="9"/>
  <c r="D14" i="74" s="1"/>
  <c r="B5" i="74" l="1"/>
  <c r="D5" i="74" s="1"/>
  <c r="E14" i="74"/>
  <c r="F14" i="74"/>
  <c r="H101" i="9"/>
  <c r="H4" i="52"/>
  <c r="I118" i="9"/>
  <c r="C104" i="9"/>
  <c r="H119" i="9"/>
  <c r="H5" i="52" s="1"/>
  <c r="C34" i="9"/>
  <c r="D118" i="9" s="1"/>
  <c r="K118" i="9" s="1"/>
  <c r="F118" i="9"/>
  <c r="D119" i="9" l="1"/>
  <c r="D5" i="52" s="1"/>
  <c r="B49" i="72" s="1"/>
  <c r="D4" i="52"/>
  <c r="B47" i="72" s="1"/>
  <c r="G118" i="9"/>
  <c r="G4" i="52" s="1"/>
  <c r="B52" i="72" s="1"/>
  <c r="F119" i="9"/>
  <c r="F5" i="52" s="1"/>
  <c r="B53" i="72" s="1"/>
  <c r="F4" i="52"/>
  <c r="B51" i="72" s="1"/>
  <c r="I4" i="52"/>
  <c r="H102" i="9"/>
  <c r="C105" i="9"/>
  <c r="D5" i="53"/>
  <c r="D45" i="9"/>
  <c r="M48" i="9"/>
  <c r="H107" i="9"/>
  <c r="E118" i="9" l="1"/>
  <c r="E4" i="52" s="1"/>
  <c r="B48" i="72" s="1"/>
  <c r="H108" i="9"/>
  <c r="D13" i="53"/>
  <c r="D122" i="9"/>
  <c r="M49" i="9"/>
  <c r="C72" i="9"/>
  <c r="D55" i="9"/>
  <c r="M53" i="9" s="1"/>
  <c r="C78" i="9"/>
  <c r="C73" i="9" s="1"/>
  <c r="D52" i="9"/>
  <c r="C93" i="9"/>
  <c r="C86" i="9" s="1"/>
  <c r="D53" i="9"/>
  <c r="C64" i="9"/>
  <c r="C63" i="9" s="1"/>
  <c r="C67" i="9" s="1"/>
  <c r="C85" i="9"/>
  <c r="D6" i="53"/>
  <c r="B22" i="72" s="1"/>
  <c r="B20" i="72"/>
  <c r="C5" i="74"/>
  <c r="D7" i="53"/>
  <c r="B21" i="72" s="1"/>
  <c r="C95" i="9" l="1"/>
  <c r="C96" i="9" s="1"/>
  <c r="E96" i="9" s="1"/>
  <c r="E97" i="9" s="1"/>
  <c r="C79" i="9"/>
  <c r="D14" i="53"/>
  <c r="B32" i="72" s="1"/>
  <c r="B30" i="72"/>
  <c r="D59" i="9"/>
  <c r="M55" i="9" s="1"/>
  <c r="C68" i="9"/>
  <c r="D54" i="9" s="1"/>
  <c r="L65" i="9"/>
  <c r="M65" i="9" s="1"/>
  <c r="L68" i="9"/>
  <c r="M68" i="9" s="1"/>
  <c r="L64" i="9"/>
  <c r="M64" i="9" s="1"/>
  <c r="L67" i="9"/>
  <c r="M67" i="9" s="1"/>
  <c r="L66" i="9"/>
  <c r="M66" i="9" s="1"/>
  <c r="L63" i="9"/>
  <c r="M63" i="9" s="1"/>
  <c r="D123" i="9"/>
  <c r="D9" i="52" s="1"/>
  <c r="D8" i="52"/>
  <c r="D15" i="53"/>
  <c r="B31" i="72" s="1"/>
  <c r="C6" i="74"/>
  <c r="M69" i="9" l="1"/>
  <c r="N69" i="9" s="1"/>
  <c r="C97" i="9"/>
  <c r="D58" i="9" s="1"/>
  <c r="D56" i="9" s="1"/>
  <c r="M54" i="9" s="1"/>
  <c r="C80" i="9"/>
  <c r="E80" i="9" s="1"/>
  <c r="E81" i="9" s="1"/>
  <c r="N57" i="9"/>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<sst xmlns="http://schemas.openxmlformats.org/spreadsheetml/2006/main" count="8053" uniqueCount="3543">
  <si>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</si>
  <si>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</si>
  <si>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</si>
  <si>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</si>
  <si>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</si>
  <si>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</si>
  <si>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</si>
  <si>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</si>
  <si>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</si>
  <si>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</si>
  <si>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</si>
  <si>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</si>
  <si>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</si>
  <si>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</si>
  <si>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</si>
  <si>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</si>
  <si>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</si>
  <si>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</si>
  <si>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</si>
  <si>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</si>
  <si>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</si>
  <si>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</si>
  <si>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</si>
  <si>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</si>
  <si>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</si>
  <si>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</si>
  <si>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</si>
  <si>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</si>
  <si>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</si>
  <si>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</si>
  <si>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</si>
  <si>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</si>
  <si>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</si>
  <si>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</si>
  <si>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</si>
  <si>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</si>
  <si>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</si>
  <si>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</si>
  <si>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</si>
  <si>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</si>
  <si>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</si>
  <si>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</si>
  <si>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</si>
  <si>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</si>
  <si>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</si>
  <si>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</si>
  <si>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</si>
  <si>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</si>
  <si>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</si>
  <si>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</si>
  <si>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</si>
  <si>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</si>
  <si>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</si>
  <si>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</si>
  <si>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</si>
  <si>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</si>
  <si>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</si>
  <si>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</si>
  <si>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</si>
  <si>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</si>
  <si>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</si>
  <si>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</si>
  <si>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</si>
  <si>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</si>
  <si>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</si>
  <si>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</si>
  <si>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</si>
  <si>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</si>
  <si>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</si>
  <si>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</si>
  <si>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</si>
  <si>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</si>
  <si>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</si>
  <si>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</si>
  <si>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</si>
  <si>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</si>
  <si>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</si>
  <si>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</si>
  <si>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</si>
  <si>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</si>
  <si>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</si>
  <si>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</si>
  <si>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</si>
  <si>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</si>
  <si>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</si>
  <si>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</si>
  <si>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</si>
  <si>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</si>
  <si>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</si>
  <si>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</si>
  <si>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</si>
  <si>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</si>
  <si>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</si>
  <si>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</si>
  <si>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</si>
  <si>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</si>
  <si>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</si>
  <si>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</si>
  <si>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</si>
  <si>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</si>
  <si>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</si>
  <si>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</si>
  <si>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</si>
  <si>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</si>
  <si>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</si>
  <si>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</si>
  <si>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</si>
  <si>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</si>
  <si>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</si>
  <si>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</si>
  <si>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</si>
  <si>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</si>
  <si>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</si>
  <si>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</si>
  <si>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</si>
  <si>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</si>
  <si>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</si>
  <si>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</si>
  <si>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</si>
  <si>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</si>
  <si>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</si>
  <si>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</si>
  <si>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</si>
  <si>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</si>
  <si>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</si>
  <si>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</si>
  <si>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</si>
  <si>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</si>
  <si>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</si>
  <si>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</si>
  <si>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</si>
  <si>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</si>
  <si>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</si>
  <si>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</si>
  <si>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</si>
  <si>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</si>
  <si>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</si>
  <si>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</si>
  <si>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</si>
  <si>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</si>
  <si>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</si>
  <si>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</si>
  <si>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</si>
  <si>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</si>
  <si>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</si>
  <si>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</si>
  <si>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</si>
  <si>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</si>
  <si>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</si>
  <si>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</si>
  <si>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</si>
  <si>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</si>
  <si>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</si>
  <si>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</si>
  <si>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</si>
  <si>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</si>
  <si>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</si>
  <si>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</si>
  <si>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</si>
  <si>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</si>
  <si>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</si>
  <si>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</si>
  <si>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</si>
  <si>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</si>
  <si>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</si>
  <si>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</si>
  <si>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</si>
  <si>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</si>
  <si>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</si>
  <si>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</si>
  <si>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</si>
  <si>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</si>
  <si>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</si>
  <si>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</si>
  <si>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</si>
  <si>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</si>
  <si>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</si>
  <si>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</si>
  <si>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</si>
  <si>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</si>
  <si>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</si>
  <si>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</si>
  <si>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</si>
  <si>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</si>
  <si>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</si>
  <si>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</si>
  <si>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</si>
  <si>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</si>
  <si>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</si>
  <si>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</si>
  <si>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</si>
  <si>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</si>
  <si>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</si>
  <si>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</si>
  <si>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</si>
  <si>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</si>
  <si>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</si>
  <si>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</si>
  <si>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</si>
  <si>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</si>
  <si>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</si>
  <si>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</si>
  <si>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</si>
  <si>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</si>
  <si>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</si>
  <si>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</si>
  <si>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</si>
  <si>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</si>
  <si>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</si>
  <si>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</si>
  <si>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</si>
  <si>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</si>
  <si>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</si>
  <si>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</si>
  <si>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</si>
  <si>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</si>
  <si>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</si>
  <si>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</si>
  <si>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</si>
  <si>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</si>
  <si>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</si>
  <si>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</si>
  <si>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</si>
  <si>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</si>
  <si>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</si>
  <si>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</si>
  <si>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</si>
  <si>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</si>
  <si>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</si>
  <si>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</si>
  <si>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</si>
  <si>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</si>
  <si>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</si>
  <si>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</si>
  <si>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</si>
  <si>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</si>
  <si>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</si>
  <si>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</si>
  <si>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</si>
  <si>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</si>
  <si>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</si>
  <si>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</si>
  <si>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</si>
  <si>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</si>
  <si>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</si>
  <si>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</si>
  <si>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</si>
  <si>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</si>
  <si>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</si>
  <si>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</si>
  <si>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</si>
  <si>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</si>
  <si>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</si>
  <si>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</si>
  <si>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</si>
  <si>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</si>
  <si>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</si>
  <si>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</si>
  <si>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</si>
  <si>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</si>
  <si>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</si>
  <si>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</si>
  <si>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</si>
  <si>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</si>
  <si>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</si>
  <si>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</si>
  <si>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</si>
  <si>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</si>
  <si>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</si>
  <si>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</si>
  <si>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</si>
  <si>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</si>
  <si>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</si>
  <si>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</si>
  <si>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</si>
  <si>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</si>
  <si>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</si>
  <si>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</si>
  <si>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</si>
  <si>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</si>
  <si>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</si>
  <si>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</si>
  <si>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</si>
  <si>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</si>
  <si>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</si>
  <si>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</si>
  <si>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</si>
  <si>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</si>
  <si>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</si>
  <si>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</si>
  <si>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</si>
  <si>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</si>
  <si>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</si>
  <si>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</si>
  <si>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</si>
  <si>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</si>
  <si>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</si>
  <si>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</si>
  <si>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</si>
  <si>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</si>
  <si>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</si>
  <si>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</si>
  <si>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</si>
  <si>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</si>
  <si>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</si>
  <si>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</si>
  <si>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</si>
  <si>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</si>
  <si>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</si>
  <si>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</si>
  <si>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</si>
  <si>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</si>
  <si>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</si>
  <si>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</si>
  <si>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</si>
  <si>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</si>
  <si>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</si>
  <si>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</si>
  <si>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</si>
  <si>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</si>
  <si>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</si>
  <si>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</si>
  <si>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</si>
  <si>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</si>
  <si>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</si>
  <si>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</si>
  <si>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</si>
  <si>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</si>
  <si>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</si>
  <si>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</si>
  <si>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</si>
  <si>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</si>
  <si>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</si>
  <si>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</si>
  <si>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</si>
  <si>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</si>
  <si>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</si>
  <si>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</si>
  <si>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</si>
  <si>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</si>
  <si>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</si>
  <si>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</si>
  <si>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</si>
  <si>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</si>
  <si>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</si>
  <si>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</si>
  <si>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</si>
  <si>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</si>
  <si>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</si>
  <si>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</si>
  <si>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</si>
  <si>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</si>
  <si>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</si>
  <si>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</si>
  <si>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</si>
  <si>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</si>
  <si>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</si>
  <si>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</si>
  <si>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</si>
  <si>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</si>
  <si>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</si>
  <si>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</si>
  <si>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</si>
  <si>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</si>
  <si>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</si>
  <si>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</si>
  <si>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</si>
  <si>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</si>
  <si>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</si>
  <si>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</si>
  <si>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</si>
  <si>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</si>
  <si>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</si>
  <si>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</si>
  <si>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</si>
  <si>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</si>
  <si>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</si>
  <si>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</si>
  <si>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</si>
  <si>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</si>
  <si>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</si>
  <si>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</si>
  <si>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</si>
  <si>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</si>
  <si>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</si>
  <si>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</si>
  <si>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</si>
  <si>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</si>
  <si>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</si>
  <si>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</si>
  <si>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</si>
  <si>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</si>
  <si>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</si>
  <si>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</si>
  <si>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</si>
  <si>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</si>
  <si>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</si>
  <si>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</si>
  <si>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</si>
  <si>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</si>
  <si>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</si>
  <si>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</si>
  <si>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</si>
  <si>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</si>
  <si>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</si>
  <si>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</si>
  <si>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</si>
  <si>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</si>
  <si>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</si>
  <si>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</si>
  <si>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</si>
  <si>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</si>
  <si>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</si>
  <si>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</si>
  <si>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</si>
  <si>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</si>
  <si>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</si>
  <si>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</si>
  <si>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</si>
  <si>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</si>
  <si>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</si>
  <si>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</si>
  <si>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</si>
  <si>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</si>
  <si>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</si>
  <si>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</si>
  <si>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</si>
  <si>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</si>
  <si>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</si>
  <si>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</si>
  <si>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</si>
  <si>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</si>
  <si>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</si>
  <si>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</si>
  <si>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</si>
  <si>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</si>
  <si>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</si>
  <si>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</si>
  <si>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</si>
  <si>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</si>
  <si>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</si>
  <si>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</si>
  <si>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</si>
  <si>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</si>
  <si>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</si>
  <si>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</si>
  <si>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</si>
  <si>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</si>
  <si>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</si>
  <si>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</si>
  <si>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</si>
  <si>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</si>
  <si>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</si>
  <si>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</si>
  <si>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</si>
  <si>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</si>
  <si>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</si>
  <si>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</si>
  <si>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</si>
  <si>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</si>
  <si>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</si>
  <si>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</si>
  <si>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</si>
  <si>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</si>
  <si>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</si>
  <si>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</si>
  <si>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</si>
  <si>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</si>
  <si>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</si>
  <si>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</si>
  <si>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</si>
  <si>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</si>
  <si>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</si>
  <si>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</si>
  <si>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</si>
  <si>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</si>
  <si>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</si>
  <si>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</si>
  <si>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</si>
  <si>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</si>
  <si>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</si>
  <si>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</si>
  <si>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</si>
  <si>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</si>
  <si>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</si>
  <si>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</si>
  <si>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</si>
  <si>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</si>
  <si>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</si>
  <si>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</si>
  <si>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</si>
  <si>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</si>
  <si>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</si>
  <si>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</si>
  <si>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</si>
  <si>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</si>
  <si>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</si>
  <si>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</si>
  <si>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</si>
  <si>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</si>
  <si>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</si>
  <si>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</si>
  <si>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</si>
  <si>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</si>
  <si>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</si>
  <si>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</si>
  <si>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</si>
  <si>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</si>
  <si>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</si>
  <si>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</si>
  <si>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</si>
  <si>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</si>
  <si>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</si>
  <si>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</si>
  <si>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</si>
  <si>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</si>
  <si>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</si>
  <si>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</si>
  <si>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</si>
  <si>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</si>
  <si>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</si>
  <si>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</si>
  <si>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</si>
  <si>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</si>
  <si>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</si>
  <si>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</si>
  <si>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</si>
  <si>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</si>
  <si>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</si>
  <si>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</si>
  <si>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</si>
  <si>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</si>
  <si>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</si>
  <si>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</si>
  <si>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</si>
  <si>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</si>
  <si>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</si>
  <si>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</si>
  <si>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</si>
  <si>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</si>
  <si>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</si>
  <si>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</si>
  <si>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</si>
  <si>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</si>
  <si>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</si>
  <si>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</si>
  <si>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</si>
  <si>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</si>
  <si>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</si>
  <si>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</si>
  <si>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</si>
  <si>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</si>
  <si>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</si>
  <si>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</si>
  <si>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</si>
  <si>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</si>
  <si>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</si>
  <si>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</si>
  <si>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</si>
  <si>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</si>
  <si>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</si>
  <si>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</si>
  <si>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</si>
  <si>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</si>
  <si>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</si>
  <si>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</si>
  <si>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</si>
  <si>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</si>
  <si>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</si>
  <si>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</si>
  <si>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</si>
  <si>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</si>
  <si>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</si>
  <si>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</si>
  <si>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</si>
  <si>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</si>
  <si>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</si>
  <si>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</si>
  <si>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</si>
  <si>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</si>
  <si>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</si>
  <si>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</si>
  <si>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</si>
  <si>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</si>
  <si>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</si>
  <si>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</si>
  <si>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</si>
  <si>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</si>
  <si>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</si>
  <si>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</si>
  <si>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</si>
  <si>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</si>
  <si>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</si>
  <si>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</si>
  <si>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</si>
  <si>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</si>
  <si>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</si>
  <si>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</si>
  <si>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</si>
  <si>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</si>
  <si>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</si>
  <si>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</si>
  <si>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</si>
  <si>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</si>
  <si>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</si>
  <si>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</si>
  <si>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</si>
  <si>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</si>
  <si>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</si>
  <si>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</si>
  <si>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</si>
  <si>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</si>
  <si>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</si>
  <si>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</si>
  <si>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</si>
  <si>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</si>
  <si>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</si>
  <si>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</si>
  <si>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</si>
  <si>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</si>
  <si>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</si>
  <si>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</si>
  <si>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</si>
  <si>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</si>
  <si>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</si>
  <si>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</si>
  <si>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</si>
  <si>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</si>
  <si>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</si>
  <si>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</si>
  <si>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</si>
  <si>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</si>
  <si>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</si>
  <si>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</si>
  <si>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</si>
  <si>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</si>
  <si>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</si>
  <si>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</si>
  <si>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</si>
  <si>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</si>
  <si>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</si>
  <si>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</si>
  <si>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</si>
  <si>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</si>
  <si>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</si>
  <si>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</si>
  <si>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</si>
  <si>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</si>
  <si>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</si>
  <si>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</si>
  <si>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</si>
  <si>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</si>
  <si>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</si>
  <si>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</si>
  <si>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</si>
  <si>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</si>
  <si>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</si>
  <si>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</si>
  <si>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</si>
  <si>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</si>
  <si>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</si>
  <si>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</si>
  <si>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</si>
  <si>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</si>
  <si>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</si>
  <si>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</si>
  <si>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</si>
  <si>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</si>
  <si>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</si>
  <si>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</si>
  <si>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</si>
  <si>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</si>
  <si>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</si>
  <si>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</si>
  <si>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</si>
  <si>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</si>
  <si>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</si>
  <si>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</si>
  <si>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</si>
  <si>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</si>
  <si>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</si>
  <si>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</si>
  <si>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</si>
  <si>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</si>
  <si>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</si>
  <si>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</si>
  <si>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</si>
  <si>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</si>
  <si>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</si>
  <si>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</si>
  <si>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</si>
  <si>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</si>
  <si>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</si>
  <si>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</si>
  <si>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</si>
  <si>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</si>
  <si>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</si>
  <si>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</si>
  <si>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</si>
  <si>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</si>
  <si>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</si>
  <si>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</si>
  <si>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</si>
  <si>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</si>
  <si>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</si>
  <si>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</si>
  <si>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</si>
  <si>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</si>
  <si>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</si>
  <si>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</si>
  <si>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</si>
  <si>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</si>
  <si>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</si>
  <si>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</si>
  <si>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</si>
  <si>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</si>
  <si>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</si>
  <si>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</si>
  <si>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</si>
  <si>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</si>
  <si>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</si>
  <si>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</si>
  <si>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</si>
  <si>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</si>
  <si>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</si>
  <si>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</si>
  <si>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</si>
  <si>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</si>
  <si>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</si>
  <si>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</si>
  <si>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</si>
  <si>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</si>
  <si>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</si>
  <si>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</si>
  <si>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</si>
  <si>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</si>
  <si>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</si>
  <si>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</si>
  <si>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</si>
  <si>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</si>
  <si>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</si>
  <si>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</si>
  <si>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</si>
  <si>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</si>
  <si>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</si>
  <si>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</si>
  <si>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</si>
  <si>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</si>
  <si>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</si>
  <si>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</si>
  <si>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</si>
  <si>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</si>
  <si>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</si>
  <si>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</si>
  <si>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</si>
  <si>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</si>
  <si>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</si>
  <si>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</si>
  <si>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</si>
  <si>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</si>
  <si>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</si>
  <si>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</si>
  <si>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</si>
  <si>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</si>
  <si>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</si>
  <si>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</si>
  <si>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</si>
  <si>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</si>
  <si>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</si>
  <si>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</si>
  <si>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</si>
  <si>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</si>
  <si>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</si>
  <si>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</si>
  <si>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</si>
  <si>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</si>
  <si>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</si>
  <si>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</si>
  <si>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</si>
  <si>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</si>
  <si>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</si>
  <si>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</si>
  <si>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</si>
  <si>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</si>
  <si>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</si>
  <si>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</si>
  <si>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</si>
  <si>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</si>
  <si>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</si>
  <si>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</si>
  <si>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</si>
  <si>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</si>
  <si>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</si>
  <si>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</si>
  <si>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</si>
  <si>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</si>
  <si>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</si>
  <si>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</si>
  <si>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</si>
  <si>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</si>
  <si>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</si>
  <si>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</si>
  <si>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</si>
  <si>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</si>
  <si>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</si>
  <si>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</si>
  <si>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</si>
  <si>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</si>
  <si>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</si>
  <si>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</si>
  <si>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</si>
  <si>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</si>
  <si>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</si>
  <si>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</si>
  <si>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</si>
  <si>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</si>
  <si>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</si>
  <si>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</si>
  <si>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</si>
  <si>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</si>
  <si>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</si>
  <si>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</si>
  <si>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</si>
  <si>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</si>
  <si>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</si>
  <si>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</si>
  <si>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</si>
  <si>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</si>
  <si>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</si>
  <si>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</si>
  <si>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</si>
  <si>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</si>
  <si>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</si>
  <si>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</si>
  <si>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</si>
  <si>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</si>
  <si>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</si>
  <si>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</si>
  <si>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</si>
  <si>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</si>
  <si>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</si>
  <si>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</si>
  <si>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</si>
  <si>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</si>
  <si>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</si>
  <si>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</si>
  <si>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</si>
  <si>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</si>
  <si>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</si>
  <si>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</si>
  <si>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</si>
  <si>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</si>
  <si>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</si>
  <si>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</si>
  <si>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</si>
  <si>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</si>
  <si>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</si>
  <si>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</si>
  <si>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</si>
  <si>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</si>
  <si>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</si>
  <si>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</si>
  <si>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</si>
  <si>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</si>
  <si>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</si>
  <si>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</si>
  <si>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</si>
  <si>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</si>
  <si>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</si>
  <si>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</si>
  <si>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</si>
  <si>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</si>
  <si>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</si>
  <si>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</si>
  <si>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</si>
  <si>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</si>
  <si>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</si>
  <si>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</si>
  <si>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</si>
  <si>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</si>
  <si>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</si>
  <si>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</si>
  <si>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</si>
  <si>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</si>
  <si>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</si>
  <si>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</si>
  <si>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</si>
  <si>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</si>
  <si>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</si>
  <si>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</si>
  <si>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</si>
  <si>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</si>
  <si>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</si>
  <si>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</si>
  <si>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</si>
  <si>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</si>
  <si>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</si>
  <si>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</si>
  <si>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</si>
  <si>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</si>
  <si>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</si>
  <si>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</si>
  <si>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</si>
  <si>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</si>
  <si>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</si>
  <si>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</si>
  <si>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</si>
  <si>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</si>
  <si>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</si>
  <si>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</si>
  <si>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</si>
  <si>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</si>
  <si>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</si>
  <si>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</si>
  <si>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</si>
  <si>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</si>
  <si>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</si>
  <si>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</si>
  <si>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</si>
  <si>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</si>
  <si>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</si>
  <si>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</si>
  <si>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</si>
  <si>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</si>
  <si>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</si>
  <si>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</si>
  <si>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</si>
  <si>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</si>
  <si>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</si>
  <si>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</si>
  <si>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</si>
  <si>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</si>
  <si>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</si>
  <si>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</si>
  <si>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</si>
  <si>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</si>
  <si>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</si>
  <si>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</si>
  <si>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</si>
  <si>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</si>
  <si>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</si>
  <si>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</si>
  <si>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</si>
  <si>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</si>
  <si>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</si>
  <si>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</si>
  <si>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</si>
  <si>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</si>
  <si>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</si>
  <si>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</si>
  <si>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</si>
  <si>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</si>
  <si>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</si>
  <si>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</si>
  <si>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</si>
  <si>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</si>
  <si>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</si>
  <si>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</si>
  <si>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</si>
  <si>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</si>
  <si>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</si>
  <si>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</si>
  <si>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</si>
  <si>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</si>
  <si>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</si>
  <si>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</si>
  <si>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</si>
  <si>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</si>
  <si>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</si>
  <si>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</si>
  <si>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</si>
  <si>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</si>
  <si>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</si>
  <si>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</si>
  <si>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</si>
  <si>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</si>
  <si>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</si>
  <si>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</si>
  <si>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</si>
  <si>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</si>
  <si>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</si>
  <si>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</si>
  <si>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</si>
  <si>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</si>
  <si>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</si>
  <si>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</si>
  <si>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</si>
  <si>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</si>
  <si>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</si>
  <si>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</si>
  <si>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</si>
  <si>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</si>
  <si>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</si>
  <si>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</si>
  <si>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</si>
  <si>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</si>
  <si>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</si>
  <si>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</si>
  <si>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</si>
  <si>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</si>
  <si>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</si>
  <si>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</si>
  <si>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</si>
  <si>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</si>
  <si>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</si>
  <si>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</si>
  <si>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</si>
  <si>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</si>
  <si>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</si>
  <si>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</si>
  <si>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</si>
  <si>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</si>
  <si>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</si>
  <si>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</si>
  <si>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</si>
  <si>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</si>
  <si>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</si>
  <si>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</si>
  <si>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</si>
  <si>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</si>
  <si>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</si>
  <si>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</si>
  <si>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</si>
  <si>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</si>
  <si>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</si>
  <si>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</si>
  <si>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</si>
  <si>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</si>
  <si>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</si>
  <si>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</si>
  <si>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</si>
  <si>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</si>
  <si>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</si>
  <si>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</si>
  <si>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</si>
  <si>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</si>
  <si>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</si>
  <si>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</si>
  <si>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</si>
  <si>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</si>
  <si>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</si>
  <si>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</si>
  <si>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</si>
  <si>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</si>
  <si>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</si>
  <si>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</si>
  <si>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</si>
  <si>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</si>
  <si>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</si>
  <si>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</si>
  <si>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</si>
  <si>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</si>
  <si>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</si>
  <si>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</si>
  <si>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</si>
  <si>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</si>
  <si>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</si>
  <si>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</si>
  <si>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</si>
  <si>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</si>
  <si>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</si>
  <si>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</si>
  <si>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</si>
  <si>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</si>
  <si>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</si>
  <si>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</si>
  <si>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</si>
  <si>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</si>
  <si>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</si>
  <si>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</si>
  <si>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</si>
  <si>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</si>
  <si>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</si>
  <si>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</si>
  <si>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</si>
  <si>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</si>
  <si>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</si>
  <si>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</si>
  <si>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</si>
  <si>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</si>
  <si>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</si>
  <si>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</si>
  <si>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</si>
  <si>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</si>
  <si>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</si>
  <si>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</si>
  <si>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</si>
  <si>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</si>
  <si>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</si>
  <si>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</si>
  <si>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</si>
  <si>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</si>
  <si>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</si>
  <si>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</si>
  <si>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</si>
  <si>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</si>
  <si>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</si>
  <si>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</si>
  <si>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</si>
  <si>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</si>
  <si>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</si>
  <si>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</si>
  <si>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</si>
  <si>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</si>
  <si>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</si>
  <si>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</si>
  <si>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</si>
  <si>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</si>
  <si>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</si>
  <si>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</si>
  <si>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</si>
  <si>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</si>
  <si>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</si>
  <si>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</si>
  <si>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</si>
  <si>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</si>
  <si>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</si>
  <si>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</si>
  <si>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</si>
  <si>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</si>
  <si>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</si>
  <si>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</si>
  <si>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</si>
  <si>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</si>
  <si>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</si>
  <si>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</si>
  <si>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</si>
  <si>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</si>
  <si>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</si>
  <si>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</si>
  <si>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</si>
  <si>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</si>
  <si>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</si>
  <si>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</si>
  <si>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</si>
  <si>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</si>
  <si>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</si>
  <si>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</si>
  <si>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</si>
  <si>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</si>
  <si>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</si>
  <si>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</si>
  <si>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</si>
  <si>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</si>
  <si>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</si>
  <si>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</si>
  <si>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</si>
  <si>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</si>
  <si>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</si>
  <si>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</si>
  <si>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</si>
  <si>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</si>
  <si>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</si>
  <si>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</si>
  <si>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</si>
  <si>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</si>
  <si>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</si>
  <si>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</si>
  <si>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</si>
  <si>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</si>
  <si>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</si>
  <si>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</si>
  <si>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</si>
  <si>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</si>
  <si>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</si>
  <si>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</si>
  <si>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</si>
  <si>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</si>
  <si>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</si>
  <si>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</si>
  <si>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</si>
  <si>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</si>
  <si>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</si>
  <si>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</si>
  <si>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</si>
  <si>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</si>
  <si>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</si>
  <si>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</si>
  <si>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</si>
  <si>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</si>
  <si>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</si>
  <si>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</si>
  <si>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</si>
  <si>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</si>
  <si>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</si>
  <si>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</si>
  <si>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</si>
  <si>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</si>
  <si>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</si>
  <si>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</si>
  <si>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</si>
  <si>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</si>
  <si>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</si>
  <si>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</si>
  <si>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</si>
  <si>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</si>
  <si>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</si>
  <si>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</si>
  <si>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</si>
  <si>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</si>
  <si>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</si>
  <si>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</si>
  <si>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</si>
  <si>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</si>
  <si>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</si>
  <si>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</si>
  <si>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</si>
  <si>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</si>
  <si>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</si>
  <si>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</si>
  <si>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</si>
  <si>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</si>
  <si>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</si>
  <si>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</si>
  <si>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</si>
  <si>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</si>
  <si>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</si>
  <si>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</si>
  <si>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</si>
  <si>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</si>
  <si>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</si>
  <si>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</si>
  <si>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</si>
  <si>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</si>
  <si>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</si>
  <si>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</si>
  <si>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</si>
  <si>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</si>
  <si>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</si>
  <si>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</si>
  <si>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</si>
  <si>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</si>
  <si>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</si>
  <si>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</si>
  <si>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</si>
  <si>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</si>
  <si>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</si>
  <si>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</si>
  <si>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</si>
  <si>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</si>
  <si>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</si>
  <si>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</si>
  <si>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</si>
  <si>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</si>
  <si>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</si>
  <si>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</si>
  <si>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</si>
  <si>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</si>
  <si>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</si>
  <si>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</si>
  <si>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</si>
  <si>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</si>
  <si>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</si>
  <si>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</si>
  <si>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</si>
  <si>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</si>
  <si>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</si>
  <si>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</si>
  <si>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</si>
  <si>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</si>
  <si>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</si>
  <si>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</si>
  <si>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</si>
  <si>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</si>
  <si>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</si>
  <si>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</si>
  <si>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</si>
  <si>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</si>
  <si>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</si>
  <si>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</si>
  <si>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</si>
  <si>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</si>
  <si>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</si>
  <si>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</si>
  <si>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</si>
  <si>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</si>
  <si>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</si>
  <si>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</si>
  <si>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</si>
  <si>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</si>
  <si>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</si>
  <si>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</si>
  <si>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</si>
  <si>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</si>
  <si>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</si>
  <si>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</si>
  <si>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</si>
  <si>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</si>
  <si>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</si>
  <si>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</si>
  <si>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</si>
  <si>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</si>
  <si>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</si>
  <si>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</si>
  <si>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</si>
  <si>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</si>
  <si>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</si>
  <si>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</si>
  <si>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</si>
  <si>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</si>
  <si>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</si>
  <si>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</si>
  <si>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</si>
  <si>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</si>
  <si>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</si>
  <si>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</si>
  <si>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</si>
  <si>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</si>
  <si>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</si>
  <si>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</si>
  <si>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</si>
  <si>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</si>
  <si>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</si>
  <si>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</si>
  <si>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</si>
  <si>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</si>
  <si>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</si>
  <si>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</si>
  <si>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</si>
  <si>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</si>
  <si>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</si>
  <si>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</si>
  <si>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</si>
  <si>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</si>
  <si>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</si>
  <si>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</si>
  <si>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</si>
  <si>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</si>
  <si>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</si>
  <si>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</si>
  <si>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</si>
  <si>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</si>
  <si>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</si>
  <si>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</si>
  <si>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</si>
  <si>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</si>
  <si>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</si>
  <si>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</si>
  <si>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</si>
  <si>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</si>
  <si>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</si>
  <si>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</si>
  <si>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</si>
  <si>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</si>
  <si>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</si>
  <si>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</si>
  <si>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</si>
  <si>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</si>
  <si>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</si>
  <si>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</si>
  <si>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</si>
  <si>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</si>
  <si>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</si>
  <si>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</si>
  <si>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</si>
  <si>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</si>
  <si>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</si>
  <si>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</si>
  <si>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</si>
  <si>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</si>
  <si>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</si>
  <si>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</si>
  <si>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</si>
  <si>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</si>
  <si>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</si>
  <si>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</si>
  <si>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</si>
  <si>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</si>
  <si>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</si>
  <si>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</si>
  <si>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</si>
  <si>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</si>
  <si>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</si>
  <si>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</si>
  <si>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</si>
  <si>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</si>
  <si>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</si>
  <si>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</si>
  <si>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</si>
  <si>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</si>
  <si>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</si>
  <si>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</si>
  <si>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</si>
  <si>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</si>
  <si>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</si>
  <si>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</si>
  <si>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</si>
  <si>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</si>
  <si>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</si>
  <si>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</si>
  <si>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</si>
  <si>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</si>
  <si>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</si>
  <si>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</si>
  <si>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</si>
  <si>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</si>
  <si>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</si>
  <si>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</si>
  <si>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</si>
  <si>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</si>
  <si>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</si>
  <si>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</si>
  <si>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</si>
  <si>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</si>
  <si>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</si>
  <si>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</si>
  <si>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</si>
  <si>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</si>
  <si>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</si>
  <si>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</si>
  <si>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</si>
  <si>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</si>
  <si>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</si>
  <si>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</si>
  <si>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</si>
  <si>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</si>
  <si>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</si>
  <si>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</si>
  <si>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</si>
  <si>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</si>
  <si>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</si>
  <si>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</si>
  <si>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</si>
  <si>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</si>
  <si>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</si>
  <si>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</si>
  <si>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</si>
  <si>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</si>
  <si>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</si>
  <si>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</si>
  <si>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</si>
  <si>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</si>
  <si>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</si>
  <si>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</si>
  <si>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</si>
  <si>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</si>
  <si>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</si>
  <si>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</si>
  <si>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</si>
  <si>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</si>
  <si>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</si>
  <si>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</si>
  <si>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</si>
  <si>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</si>
  <si>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</si>
  <si>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</si>
  <si>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</si>
  <si>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</si>
  <si>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</si>
  <si>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</si>
  <si>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</si>
  <si>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</si>
  <si>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</si>
  <si>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</si>
  <si>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</si>
  <si>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</si>
  <si>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</si>
  <si>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</si>
  <si>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</si>
  <si>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</si>
  <si>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</si>
  <si>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</si>
  <si>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</si>
  <si>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</si>
  <si>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</si>
  <si>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</si>
  <si>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</si>
  <si>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</si>
  <si>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</si>
  <si>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</si>
  <si>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</si>
  <si>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</si>
  <si>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</si>
  <si>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</si>
  <si>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</si>
  <si>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</si>
  <si>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</si>
  <si>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</si>
  <si>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</si>
  <si>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</si>
  <si>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</si>
  <si>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</si>
  <si>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</si>
  <si>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</si>
  <si>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</si>
  <si>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</si>
  <si>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</si>
  <si>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</si>
  <si>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</si>
  <si>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</si>
  <si>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</si>
  <si>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</si>
  <si>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</si>
  <si>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</si>
  <si>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</si>
  <si>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</si>
  <si>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</si>
  <si>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</si>
  <si>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</si>
  <si>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</si>
  <si>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</si>
  <si>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</si>
  <si>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</si>
  <si>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</si>
  <si>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</si>
  <si>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</si>
  <si>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</si>
  <si>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</si>
  <si>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</si>
  <si>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</si>
  <si>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</si>
  <si>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</si>
  <si>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</si>
  <si>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</si>
  <si>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</si>
  <si>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</si>
  <si>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</si>
  <si>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</si>
  <si>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</si>
  <si>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</si>
  <si>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</si>
  <si>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</si>
  <si>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</si>
  <si>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</si>
  <si>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</si>
  <si>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</si>
  <si>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</si>
  <si>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</si>
  <si>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</si>
  <si>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</si>
  <si>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</si>
  <si>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</si>
  <si>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</si>
  <si>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</si>
  <si>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</si>
  <si>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</si>
  <si>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</si>
  <si>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</si>
  <si>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</si>
  <si>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</si>
  <si>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</si>
  <si>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</si>
  <si>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</si>
  <si>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</si>
  <si>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</si>
  <si>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</si>
  <si>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</si>
  <si>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</si>
  <si>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</si>
  <si>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</si>
  <si>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</si>
  <si>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</si>
  <si>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</si>
  <si>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</si>
  <si>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</si>
  <si>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</si>
  <si>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</si>
  <si>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</si>
  <si>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</si>
  <si>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</si>
  <si>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</si>
  <si>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</si>
  <si>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</si>
  <si>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</si>
  <si>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</si>
  <si>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</si>
  <si>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</si>
  <si>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</si>
  <si>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</si>
  <si>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</si>
  <si>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</si>
  <si>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</si>
  <si>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</si>
  <si>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</si>
  <si>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</si>
  <si>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</si>
  <si>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</si>
  <si>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</si>
  <si>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</si>
  <si>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</si>
  <si>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</si>
  <si>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</si>
  <si>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</si>
  <si>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</si>
  <si>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</si>
  <si>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</si>
  <si>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</si>
  <si>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</si>
  <si>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</si>
  <si>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</si>
  <si>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</si>
  <si>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</si>
  <si>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</si>
  <si>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</si>
  <si>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</si>
  <si>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</si>
  <si>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</si>
  <si>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</si>
  <si>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</si>
  <si>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</si>
  <si>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</si>
  <si>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</si>
  <si>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</si>
  <si>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</si>
  <si>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</si>
  <si>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</si>
  <si>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</si>
  <si>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</si>
  <si>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</si>
  <si>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</si>
  <si>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</si>
  <si>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</si>
  <si>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</si>
  <si>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</si>
  <si>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</si>
  <si>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</si>
  <si>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</si>
  <si>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</si>
  <si>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</si>
  <si>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</si>
  <si>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</si>
  <si>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</si>
  <si>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</si>
  <si>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</si>
  <si>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</si>
  <si>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</si>
  <si>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</si>
  <si>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</si>
  <si>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</si>
  <si>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</si>
  <si>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</si>
  <si>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</si>
  <si>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</si>
  <si>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</si>
  <si>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</si>
  <si>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</si>
  <si>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</si>
  <si>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</si>
  <si>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</si>
  <si>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</si>
  <si>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</si>
  <si>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</si>
  <si>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</si>
  <si>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</si>
  <si>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</si>
  <si>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</si>
  <si>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</si>
  <si>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</si>
  <si>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</si>
  <si>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</si>
  <si>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</si>
  <si>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</si>
  <si>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</si>
  <si>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</si>
  <si>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</si>
  <si>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</si>
  <si>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</si>
  <si>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</si>
  <si>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</si>
  <si>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</si>
  <si>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</si>
  <si>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</si>
  <si>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</si>
  <si>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</si>
  <si>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</si>
  <si>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</si>
  <si>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</si>
  <si>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</si>
  <si>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</si>
  <si>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</si>
  <si>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</si>
  <si>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</si>
  <si>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</si>
  <si>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</si>
  <si>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</si>
  <si>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</si>
  <si>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</si>
  <si>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</si>
  <si>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</si>
  <si>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</si>
  <si>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</si>
  <si>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</si>
  <si>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</si>
  <si>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</si>
  <si>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</si>
  <si>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</si>
  <si>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</si>
  <si>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</si>
  <si>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</si>
  <si>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</si>
  <si>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</si>
  <si>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</si>
  <si>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</si>
  <si>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</si>
  <si>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</si>
  <si>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</si>
  <si>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</si>
  <si>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</si>
  <si>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</si>
  <si>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</si>
  <si>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</si>
  <si>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</si>
  <si>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</si>
  <si>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</si>
  <si>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</si>
  <si>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</si>
  <si>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</si>
  <si>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</si>
  <si>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</si>
  <si>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</si>
  <si>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</si>
  <si>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</si>
  <si>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</si>
  <si>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</si>
  <si>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</si>
  <si>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</si>
  <si>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</si>
  <si>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</si>
  <si>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</si>
  <si>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</si>
  <si>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</si>
  <si>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</si>
  <si>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</si>
  <si>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</si>
  <si>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</si>
  <si>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</si>
  <si>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</si>
  <si>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</si>
  <si>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</si>
  <si>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</si>
  <si>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</si>
  <si>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</si>
  <si>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</si>
  <si>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</si>
  <si>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</si>
  <si>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</si>
  <si>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</si>
  <si>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</si>
  <si>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</si>
  <si>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</si>
  <si>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</si>
  <si>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</si>
  <si>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</si>
  <si>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</si>
  <si>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</si>
  <si>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</si>
  <si>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</si>
  <si>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</si>
  <si>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</si>
  <si>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</si>
  <si>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</si>
  <si>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</si>
  <si>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</si>
  <si>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</si>
  <si>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</si>
  <si>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</si>
  <si>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</si>
  <si>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</si>
  <si>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</si>
  <si>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</si>
  <si>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</si>
  <si>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</si>
  <si>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</si>
  <si>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</si>
  <si>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</si>
  <si>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</si>
  <si>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</si>
  <si>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</si>
  <si>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</si>
  <si>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</si>
  <si>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</si>
  <si>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</si>
  <si>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</si>
  <si>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</si>
  <si>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</si>
  <si>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</si>
  <si>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</si>
  <si>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</si>
  <si>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</si>
  <si>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</si>
  <si>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</si>
  <si>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</si>
  <si>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</si>
  <si>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</si>
  <si>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</si>
  <si>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</si>
  <si>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</si>
  <si>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</si>
  <si>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</si>
  <si>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</si>
  <si>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</si>
  <si>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</si>
  <si>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</si>
  <si>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</si>
  <si>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</si>
  <si>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</si>
  <si>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</si>
  <si>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</si>
  <si>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</si>
  <si>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</si>
  <si>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</si>
  <si>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</si>
  <si>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</si>
  <si>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</si>
  <si>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</si>
  <si>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</si>
  <si>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</si>
  <si>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</si>
  <si>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</si>
  <si>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</si>
  <si>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</si>
  <si>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</si>
  <si>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</si>
  <si>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</si>
  <si>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</si>
  <si>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</si>
  <si>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</si>
  <si>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</si>
  <si>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</si>
  <si>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</si>
  <si>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</si>
  <si>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</si>
  <si>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</si>
  <si>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</si>
  <si>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</si>
  <si>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</si>
  <si>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</si>
  <si>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</si>
  <si>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</si>
  <si>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</si>
  <si>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</si>
  <si>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</si>
  <si>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</si>
  <si>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</si>
  <si>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</si>
  <si>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</si>
  <si>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</si>
  <si>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</si>
  <si>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</si>
  <si>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</si>
  <si>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</si>
  <si>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</si>
  <si>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</si>
  <si>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</si>
  <si>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</si>
  <si>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</si>
  <si>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</si>
  <si>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</si>
  <si>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</si>
  <si>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</si>
  <si>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</si>
  <si>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</si>
  <si>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</si>
  <si>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</si>
  <si>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</si>
  <si>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</si>
  <si>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</si>
  <si>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</si>
  <si>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</si>
  <si>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</si>
  <si>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</si>
  <si>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</si>
  <si>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</si>
  <si>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</si>
  <si>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</si>
  <si>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</si>
  <si>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</si>
  <si>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</si>
  <si>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</si>
  <si>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</si>
  <si>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</si>
  <si>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</si>
  <si>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</si>
  <si>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</si>
  <si>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</si>
  <si>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</si>
  <si>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</si>
  <si>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</si>
  <si>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</si>
  <si>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</si>
  <si>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</si>
  <si>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</si>
  <si>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</si>
  <si>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</si>
  <si>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</si>
  <si>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</si>
  <si>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</si>
  <si>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</si>
  <si>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</si>
  <si>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</si>
  <si>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</si>
  <si>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</si>
  <si>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</si>
  <si>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</si>
  <si>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</si>
  <si>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</si>
  <si>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</si>
  <si>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</si>
  <si>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</si>
  <si>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</si>
  <si>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</si>
  <si>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</si>
  <si>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</si>
  <si>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</si>
  <si>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</si>
  <si>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</si>
  <si>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</si>
  <si>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</si>
  <si>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</si>
  <si>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</si>
  <si>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</si>
  <si>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</si>
  <si>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</si>
  <si>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</si>
  <si>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</si>
  <si>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</si>
  <si>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</si>
  <si>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</si>
  <si>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</si>
  <si>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</si>
  <si>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</si>
  <si>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</si>
  <si>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</si>
  <si>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</si>
  <si>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</si>
  <si>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</si>
  <si>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</si>
  <si>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</si>
  <si>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</si>
  <si>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</si>
  <si>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</si>
  <si>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</si>
  <si>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</si>
  <si>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</si>
  <si>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</si>
  <si>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</si>
  <si>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</si>
  <si>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</si>
  <si>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</si>
  <si>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</si>
  <si>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</si>
  <si>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</si>
  <si>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</si>
  <si>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</si>
  <si>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</si>
  <si>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</si>
  <si>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</si>
  <si>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</si>
  <si>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</si>
  <si>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</si>
  <si>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</si>
  <si>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</si>
  <si>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</si>
  <si>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</si>
  <si>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</si>
  <si>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</si>
  <si>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</si>
  <si>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</si>
  <si>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</si>
  <si>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</si>
  <si>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</si>
  <si>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</si>
  <si>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</si>
  <si>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</si>
  <si>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</si>
  <si>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</si>
  <si>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</si>
  <si>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</si>
  <si>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</si>
  <si>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</si>
  <si>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</si>
  <si>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</si>
  <si>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</si>
  <si>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</si>
  <si>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</si>
  <si>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</si>
  <si>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</si>
  <si>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</si>
  <si>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</si>
  <si>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</si>
  <si>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</si>
  <si>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</si>
  <si>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</si>
  <si>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</si>
  <si>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</si>
  <si>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</si>
  <si>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</si>
  <si>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</si>
  <si>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</si>
  <si>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</si>
  <si>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</si>
  <si>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</si>
  <si>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</si>
  <si>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</si>
  <si>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</si>
  <si>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</si>
  <si>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</si>
  <si>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</si>
  <si>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</si>
  <si>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</si>
  <si>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</si>
  <si>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</si>
  <si>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</si>
  <si>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</si>
  <si>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</si>
  <si>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</si>
  <si>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</si>
  <si>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</si>
  <si>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</si>
  <si>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</si>
  <si>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</si>
  <si>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</si>
  <si>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</si>
  <si>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</si>
  <si>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</si>
  <si>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</si>
  <si>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</si>
  <si>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</si>
  <si>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</si>
  <si>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</si>
  <si>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</si>
  <si>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</si>
  <si>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</si>
  <si>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</si>
  <si>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</si>
  <si>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</si>
  <si>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</si>
  <si>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</si>
  <si>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</si>
  <si>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</si>
  <si>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</si>
  <si>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</si>
  <si>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</si>
  <si>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</si>
  <si>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</si>
  <si>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</si>
  <si>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</si>
  <si>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</si>
  <si>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</si>
  <si>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</si>
  <si>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</si>
  <si>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</si>
  <si>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</si>
  <si>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</si>
  <si>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</si>
  <si>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</si>
  <si>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</si>
  <si>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</si>
  <si>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</si>
  <si>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</si>
  <si>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</si>
  <si>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</si>
  <si>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</si>
  <si>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</si>
  <si>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</si>
  <si>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</si>
  <si>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</si>
  <si>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</si>
  <si>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</si>
  <si>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</si>
  <si>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</si>
  <si>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</si>
  <si>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</si>
  <si>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</si>
  <si>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</si>
  <si>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</si>
  <si>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</si>
  <si>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</si>
  <si>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</si>
  <si>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</si>
  <si>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</si>
  <si>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</si>
  <si>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</si>
  <si>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</si>
  <si>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</si>
  <si>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</si>
  <si>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</si>
  <si>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</si>
  <si>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</si>
  <si>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</si>
  <si>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</si>
  <si>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</si>
  <si>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</si>
  <si>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</si>
  <si>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</si>
  <si>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</si>
  <si>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</si>
  <si>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</si>
  <si>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</si>
  <si>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</si>
  <si>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</si>
  <si>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</si>
  <si>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</si>
  <si>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</si>
  <si>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</si>
  <si>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</si>
  <si>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</si>
  <si>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</si>
  <si>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</si>
  <si>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</si>
  <si>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</si>
  <si>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</si>
  <si>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</si>
  <si>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</si>
  <si>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</si>
  <si>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</si>
  <si>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</si>
  <si>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</si>
  <si>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</si>
  <si>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</si>
  <si>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</si>
  <si>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</si>
  <si>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</si>
  <si>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</si>
  <si>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</si>
  <si>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</si>
  <si>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</si>
  <si>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</si>
  <si>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</si>
  <si>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</si>
  <si>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</si>
  <si>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</si>
  <si>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</si>
  <si>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</si>
  <si>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</si>
  <si>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</si>
  <si>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</si>
  <si>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</si>
  <si>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</si>
  <si>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</si>
  <si>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</si>
  <si>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</si>
  <si>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</si>
  <si>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</si>
  <si>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</si>
  <si>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</si>
  <si>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</si>
  <si>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</si>
  <si>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</si>
  <si>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</si>
  <si>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</si>
  <si>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</si>
  <si>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</si>
  <si>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</si>
  <si>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</si>
  <si>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</si>
  <si>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</si>
  <si>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</si>
  <si>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</si>
  <si>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</si>
  <si>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</si>
  <si>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</si>
  <si>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</si>
  <si>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</si>
  <si>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</si>
  <si>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</si>
  <si>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</si>
  <si>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</si>
  <si>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</si>
  <si>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</si>
  <si>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</si>
  <si>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</si>
  <si>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</si>
  <si>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</si>
  <si>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</si>
  <si>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</si>
  <si>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</si>
  <si>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</si>
  <si>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</si>
  <si>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</si>
  <si>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</si>
  <si>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</si>
  <si>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</si>
  <si>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</si>
  <si>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</si>
  <si>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</si>
  <si>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</si>
  <si>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</si>
  <si>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</si>
  <si>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</si>
  <si>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</si>
  <si>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</si>
  <si>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</si>
  <si>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</si>
  <si>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</si>
  <si>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</si>
  <si>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</si>
  <si>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</si>
  <si>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</si>
  <si>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</si>
  <si>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</si>
  <si>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</si>
  <si>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</si>
  <si>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</si>
  <si>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</si>
  <si>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</si>
  <si>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</si>
  <si>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</si>
  <si>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</si>
  <si>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</si>
  <si>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</si>
  <si>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</si>
  <si>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</si>
  <si>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</si>
  <si>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</si>
  <si>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</si>
  <si>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</si>
  <si>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</si>
  <si>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</si>
  <si>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</si>
  <si>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</si>
  <si>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</si>
  <si>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</si>
  <si>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</si>
  <si>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</si>
  <si>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</si>
  <si>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</si>
  <si>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</si>
  <si>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</si>
  <si>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</si>
  <si>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</si>
  <si>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</si>
  <si>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</si>
  <si>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</si>
  <si>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</si>
  <si>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</si>
  <si>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</si>
  <si>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</si>
  <si>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</si>
  <si>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</si>
  <si>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</si>
  <si>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</si>
  <si>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</si>
  <si>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</si>
  <si>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</si>
  <si>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</si>
  <si>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</si>
  <si>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</si>
  <si>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</si>
  <si>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</si>
  <si>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</si>
  <si>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</si>
  <si>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</si>
  <si>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</si>
  <si>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</si>
  <si>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</si>
  <si>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</si>
  <si>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</si>
  <si>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</si>
  <si>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</si>
  <si>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</si>
  <si>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</si>
  <si>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</si>
  <si>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</si>
  <si>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</si>
  <si>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</si>
  <si>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</si>
  <si>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</si>
  <si>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</si>
  <si>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</si>
  <si>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</si>
  <si>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</si>
  <si>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</si>
  <si>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</si>
  <si>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</si>
  <si>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</si>
  <si>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</si>
  <si>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</si>
  <si>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</si>
  <si>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</si>
  <si>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</si>
  <si>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</si>
  <si>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</si>
  <si>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</si>
  <si>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</si>
  <si>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</si>
  <si>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</si>
  <si>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</si>
  <si>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</si>
  <si>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</si>
  <si>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</si>
  <si>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</si>
  <si>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</si>
  <si>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</si>
  <si>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</si>
  <si>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</si>
  <si>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</si>
  <si>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</si>
  <si>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</si>
  <si>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</si>
  <si>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</si>
  <si>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</si>
  <si>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</si>
  <si>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</si>
  <si>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</si>
  <si>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</si>
  <si>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</si>
  <si>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</si>
  <si>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</si>
  <si>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</si>
  <si>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</si>
  <si>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</si>
  <si>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</si>
  <si>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</si>
  <si>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</si>
  <si>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</si>
  <si>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</si>
  <si>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</si>
  <si>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</si>
  <si>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</si>
  <si>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</si>
  <si>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</si>
  <si>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</si>
  <si>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</si>
  <si>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</si>
  <si>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</si>
  <si>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</si>
  <si>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</si>
  <si>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</si>
  <si>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</si>
  <si>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</si>
  <si>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</si>
  <si>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</si>
  <si>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</si>
  <si>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</si>
  <si>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</si>
  <si>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</si>
  <si>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</si>
  <si>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</si>
  <si>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</si>
  <si>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</si>
  <si>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</si>
  <si>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</si>
  <si>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</si>
  <si>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</si>
  <si>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</si>
  <si>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</si>
  <si>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</si>
  <si>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</si>
  <si>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</si>
  <si>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</si>
  <si>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</si>
  <si>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</si>
  <si>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</si>
  <si>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</si>
  <si>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</si>
  <si>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</si>
  <si>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</si>
  <si>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</si>
  <si>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</si>
  <si>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</si>
  <si>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</si>
  <si>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</si>
  <si>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</si>
  <si>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</si>
  <si>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</si>
  <si>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</si>
  <si>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</si>
  <si>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</si>
  <si>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</si>
  <si>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</si>
  <si>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</si>
  <si>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</si>
  <si>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</si>
  <si>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</si>
  <si>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</si>
  <si>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</si>
  <si>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</si>
  <si>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</si>
  <si>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</si>
  <si>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</si>
  <si>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</si>
  <si>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</si>
  <si>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</si>
  <si>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</si>
  <si>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</si>
  <si>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</si>
  <si>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</si>
  <si>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</si>
  <si>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</si>
  <si>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</si>
  <si>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</si>
  <si>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</si>
  <si>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</si>
  <si>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</si>
  <si>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</si>
  <si>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</si>
  <si>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</si>
  <si>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</si>
  <si>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</si>
  <si>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</si>
  <si>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</si>
  <si>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</si>
  <si>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</si>
  <si>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</si>
  <si>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</si>
  <si>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</si>
  <si>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</si>
  <si>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</si>
  <si>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</si>
  <si>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</si>
  <si>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</si>
  <si>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</si>
  <si>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</si>
  <si>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</si>
  <si>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</si>
  <si>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</si>
  <si>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</si>
  <si>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</si>
  <si>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</si>
  <si>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</si>
  <si>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</si>
  <si>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</si>
  <si>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</si>
  <si>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</si>
  <si>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</si>
  <si>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</si>
  <si>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</si>
  <si>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</si>
  <si>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</si>
  <si>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</si>
  <si>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</si>
  <si>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</si>
  <si>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</si>
  <si>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</si>
  <si>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</si>
  <si>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</si>
  <si>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</si>
  <si>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</si>
  <si>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</si>
  <si>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</si>
  <si>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</si>
  <si>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</si>
  <si>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</si>
  <si>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</si>
  <si>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</si>
  <si>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</si>
  <si>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</si>
  <si>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</si>
  <si>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</si>
  <si>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</si>
  <si>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</si>
  <si>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</si>
  <si>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</si>
  <si>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</si>
  <si>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</si>
  <si>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</si>
  <si>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</si>
  <si>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</si>
  <si>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</si>
  <si>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</si>
  <si>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</si>
  <si>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</si>
  <si>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</si>
  <si>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</si>
  <si>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</si>
  <si>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</si>
  <si>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</si>
  <si>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</si>
  <si>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</si>
  <si>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</si>
  <si>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</si>
  <si>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</si>
  <si>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</si>
  <si>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</si>
  <si>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</si>
  <si>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</si>
  <si>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</si>
  <si>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</si>
  <si>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</si>
  <si>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</si>
  <si>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</si>
  <si>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</si>
  <si>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</si>
  <si>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</si>
  <si>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</si>
  <si>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</si>
  <si>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</si>
  <si>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</si>
  <si>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</si>
  <si>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</si>
  <si>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</si>
  <si>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</si>
  <si>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</si>
  <si>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</si>
  <si>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</si>
  <si>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</si>
  <si>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</si>
  <si>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</si>
  <si>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</si>
  <si>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</si>
  <si>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</si>
  <si>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</si>
  <si>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</si>
  <si>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</si>
  <si>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</si>
  <si>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</si>
  <si>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</si>
  <si>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</si>
  <si>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</si>
  <si>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</si>
  <si>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</si>
  <si>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</si>
  <si>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</si>
  <si>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</si>
  <si>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</si>
  <si>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</si>
  <si>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</si>
  <si>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</si>
  <si>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</si>
  <si>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</si>
  <si>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</si>
  <si>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</si>
  <si>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</si>
  <si>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</si>
  <si>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</si>
  <si>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</si>
  <si>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</si>
  <si>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</si>
  <si>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</si>
  <si>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</si>
  <si>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</si>
  <si>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</si>
  <si>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</si>
  <si>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</si>
  <si>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</si>
  <si>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</si>
  <si>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</si>
  <si>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</si>
  <si>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</si>
  <si>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</si>
  <si>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</si>
  <si>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</si>
  <si>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</si>
  <si>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</si>
  <si>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</si>
  <si>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</si>
  <si>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</si>
  <si>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</si>
  <si>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</si>
  <si>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</si>
  <si>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</si>
  <si>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</si>
  <si>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</si>
  <si>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</si>
  <si>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</si>
  <si>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</si>
  <si>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</si>
  <si>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</si>
  <si>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</si>
  <si>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</si>
  <si>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</si>
  <si>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</si>
  <si>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</si>
  <si>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</si>
  <si>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</si>
  <si>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</si>
  <si>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</si>
  <si>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</si>
  <si>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</si>
  <si>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</si>
  <si>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</si>
  <si>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</si>
  <si>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</si>
  <si>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</si>
  <si>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</si>
  <si>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</si>
  <si>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</si>
  <si>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</si>
  <si>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</si>
  <si>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</si>
  <si>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</si>
  <si>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</si>
  <si>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</si>
  <si>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</si>
  <si>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</si>
  <si>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</si>
  <si>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</si>
  <si>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</si>
  <si>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</si>
  <si>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</si>
  <si>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</si>
  <si>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</si>
  <si>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</si>
  <si>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</si>
  <si>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</si>
  <si>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</si>
  <si>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</si>
  <si>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</si>
  <si>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</si>
  <si>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</si>
  <si>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</si>
  <si>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</si>
  <si>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</si>
  <si>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</si>
  <si>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</si>
  <si>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</si>
  <si>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</si>
  <si>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</si>
  <si>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</si>
  <si>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</si>
  <si>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</si>
  <si>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</si>
  <si>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</si>
  <si>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</si>
  <si>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</si>
  <si>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</si>
  <si>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</si>
  <si>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</si>
  <si>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</si>
  <si>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</si>
  <si>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</si>
  <si>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</si>
  <si>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</si>
  <si>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</si>
  <si>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</si>
  <si>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</si>
  <si>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</si>
  <si>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</si>
  <si>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</si>
  <si>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</si>
  <si>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</si>
  <si>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</si>
  <si>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</si>
  <si>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</si>
  <si>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</si>
  <si>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</si>
  <si>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</si>
  <si>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</si>
  <si>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</si>
  <si>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</si>
  <si>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</si>
  <si>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</si>
  <si>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</si>
  <si>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</si>
  <si>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</si>
  <si>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</si>
  <si>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</si>
  <si>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</si>
  <si>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</si>
  <si>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</si>
  <si>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</si>
  <si>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</si>
  <si>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</si>
  <si>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</si>
  <si>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</si>
  <si>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</si>
  <si>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</si>
  <si>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</si>
  <si>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</si>
  <si>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</si>
  <si>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</si>
  <si>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</si>
  <si>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</si>
  <si>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</si>
  <si>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</si>
  <si>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</si>
  <si>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</si>
  <si>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</si>
  <si>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</si>
  <si>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</si>
  <si>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</si>
  <si>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</si>
  <si>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</si>
  <si>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</si>
  <si>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</si>
  <si>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</si>
  <si>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</si>
  <si>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</si>
  <si>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</si>
  <si>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</si>
  <si>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</si>
  <si>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</si>
  <si>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</si>
  <si>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</si>
  <si>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</si>
  <si>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</si>
  <si>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</si>
  <si>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</si>
  <si>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</si>
  <si>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</si>
  <si>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</si>
  <si>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</si>
  <si>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</si>
  <si>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</si>
  <si>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</si>
  <si>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</si>
  <si>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</si>
  <si>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</si>
  <si>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</si>
  <si>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</si>
  <si>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</si>
  <si>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</si>
  <si>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</si>
  <si>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</si>
  <si>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</si>
  <si>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</si>
  <si>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</si>
  <si>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</si>
  <si>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</si>
  <si>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</si>
  <si>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</si>
  <si>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</si>
  <si>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</si>
  <si>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</si>
  <si>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</si>
  <si>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</si>
  <si>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</si>
  <si>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</si>
  <si>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</si>
  <si>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</si>
  <si>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</si>
  <si>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</si>
  <si>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</si>
  <si>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</si>
  <si>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</si>
  <si>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</si>
  <si>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</si>
  <si>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</si>
  <si>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</si>
  <si>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</si>
  <si>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</si>
  <si>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</si>
  <si>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</si>
  <si>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</si>
  <si>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</si>
  <si>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</si>
  <si>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</si>
  <si>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</si>
  <si>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</si>
  <si>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</si>
  <si>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</si>
  <si>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</si>
  <si>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</si>
  <si>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</si>
  <si>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</si>
  <si>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</si>
  <si>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</si>
  <si>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</si>
  <si>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</si>
  <si>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</si>
  <si>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</si>
  <si>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</si>
  <si>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</si>
  <si>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</si>
  <si>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</si>
  <si>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</si>
  <si>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</si>
  <si>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</si>
  <si>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</si>
  <si>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</si>
  <si>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</si>
  <si>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</si>
  <si>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</si>
  <si>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</si>
  <si>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</si>
  <si>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</si>
  <si>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</si>
  <si>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</si>
  <si>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</si>
  <si>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</si>
  <si>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</si>
  <si>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</si>
  <si>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</si>
  <si>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</si>
  <si>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</si>
  <si>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</si>
  <si>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</si>
  <si>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</si>
  <si>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</si>
  <si>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</si>
  <si>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</si>
  <si>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</si>
  <si>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</si>
  <si>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</si>
  <si>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</si>
  <si>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</si>
  <si>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</si>
  <si>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</si>
  <si>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</si>
  <si>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</si>
  <si>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</si>
  <si>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</si>
  <si>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</si>
  <si>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</si>
  <si>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</si>
  <si>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</si>
  <si>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</si>
  <si>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</si>
  <si>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</si>
  <si>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</si>
  <si>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</si>
  <si>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</si>
  <si>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</si>
  <si>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</si>
  <si>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</si>
  <si>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</si>
  <si>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</si>
  <si>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</si>
  <si>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</si>
  <si>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</si>
  <si>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</si>
  <si>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</si>
  <si>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</si>
  <si>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</si>
  <si>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</si>
  <si>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</si>
  <si>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</si>
  <si>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</si>
  <si>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</si>
  <si>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</si>
  <si>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</si>
  <si>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</si>
  <si>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</si>
  <si>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</si>
  <si>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</si>
  <si>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</si>
  <si>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</si>
  <si>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</si>
  <si>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</si>
  <si>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</si>
  <si>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</si>
  <si>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</si>
  <si>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</si>
  <si>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</si>
  <si>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</si>
  <si>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</si>
  <si>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</si>
  <si>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</si>
  <si>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</si>
  <si>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</si>
  <si>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</si>
  <si>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</si>
  <si>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</si>
  <si>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</si>
  <si>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</si>
  <si>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</si>
  <si>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</si>
  <si>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</si>
  <si>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</si>
  <si>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</si>
  <si>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</si>
  <si>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</si>
  <si>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</si>
  <si>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</si>
  <si>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</si>
  <si>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</si>
  <si>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</si>
  <si>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</si>
  <si>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</si>
  <si>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</si>
  <si>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</si>
  <si>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</si>
  <si>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</si>
  <si>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</si>
  <si>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</si>
  <si>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</si>
  <si>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</si>
  <si>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</si>
  <si>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</si>
  <si>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</si>
  <si>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</si>
  <si>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</si>
  <si>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</si>
  <si>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</si>
  <si>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</si>
  <si>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</si>
  <si>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</si>
  <si>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</si>
  <si>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</si>
  <si>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</si>
  <si>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</si>
  <si>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</si>
  <si>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</si>
  <si>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</si>
  <si>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</si>
  <si>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</si>
  <si>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</si>
  <si>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</si>
  <si>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</si>
  <si>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</si>
  <si>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</si>
  <si>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</si>
  <si>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</si>
  <si>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</si>
  <si>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</si>
  <si>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</si>
  <si>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</si>
  <si>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</si>
  <si>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</si>
  <si>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</si>
  <si>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</si>
  <si>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</si>
  <si>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</si>
  <si>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</si>
  <si>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</si>
  <si>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</si>
  <si>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</si>
  <si>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</si>
  <si>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</si>
  <si>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</si>
  <si>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</si>
  <si>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</si>
  <si>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</si>
  <si>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</si>
  <si>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</si>
  <si>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</si>
  <si>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</si>
  <si>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</si>
  <si>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</si>
  <si>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</si>
  <si>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</si>
  <si>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</si>
  <si>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</si>
  <si>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</si>
  <si>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</si>
  <si>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</si>
  <si>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</si>
  <si>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</si>
  <si>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</si>
  <si>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</si>
  <si>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</si>
  <si>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</si>
  <si>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</si>
  <si>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</si>
  <si>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</si>
  <si>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</si>
  <si>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</si>
  <si>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</si>
  <si>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</si>
  <si>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</si>
  <si>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</si>
  <si>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</si>
  <si>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</si>
  <si>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</si>
  <si>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</si>
  <si>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</si>
  <si>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</si>
  <si>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</si>
  <si>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</si>
  <si>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</si>
  <si>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</si>
  <si>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</si>
  <si>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</si>
  <si>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</si>
  <si>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</si>
  <si>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</si>
  <si>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</si>
  <si>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</si>
  <si>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</si>
  <si>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</si>
  <si>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</si>
  <si>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</si>
  <si>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</si>
  <si>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</si>
  <si>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</si>
  <si>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</si>
  <si>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</si>
  <si>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</si>
  <si>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</si>
  <si>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</si>
  <si>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</si>
  <si>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</si>
  <si>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</si>
  <si>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</si>
  <si>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</si>
  <si>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</si>
  <si>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</si>
  <si>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</si>
  <si>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</si>
  <si>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</si>
  <si>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</si>
  <si>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</si>
  <si>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</si>
  <si>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</si>
  <si>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</si>
  <si>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</si>
  <si>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</si>
  <si>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</si>
  <si>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</si>
  <si>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</si>
  <si>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</si>
  <si>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</si>
  <si>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</si>
  <si>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</si>
  <si>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</si>
  <si>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</si>
  <si>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</si>
  <si>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</si>
  <si>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</si>
  <si>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</si>
  <si>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</si>
  <si>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</si>
  <si>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</si>
  <si>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</si>
  <si>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</si>
  <si>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</si>
  <si>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</si>
  <si>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</si>
  <si>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</si>
  <si>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</si>
  <si>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</si>
  <si>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</si>
  <si>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</si>
  <si>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</si>
  <si>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</si>
  <si>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</si>
  <si>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</si>
  <si>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</si>
  <si>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</si>
  <si>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</si>
  <si>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</si>
  <si>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</si>
  <si>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</si>
  <si>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</si>
  <si>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</si>
  <si>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</si>
  <si>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</si>
  <si>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</si>
  <si>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</si>
  <si>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</si>
  <si>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</si>
  <si>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</si>
  <si>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</si>
  <si>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</si>
  <si>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</si>
  <si>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</si>
  <si>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</si>
  <si>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</si>
  <si>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</si>
  <si>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</si>
  <si>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</si>
  <si>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</si>
  <si>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</si>
  <si>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</si>
  <si>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</si>
  <si>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</si>
  <si>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</si>
  <si>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</si>
  <si>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</si>
  <si>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</si>
  <si>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</si>
  <si>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</si>
  <si>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</si>
  <si>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</si>
  <si>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</si>
  <si>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</si>
  <si>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</si>
  <si>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</si>
  <si>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</si>
  <si>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</si>
  <si>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</si>
  <si>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</si>
  <si>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</si>
  <si>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</si>
  <si>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</si>
  <si>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</si>
  <si>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</si>
  <si>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</si>
  <si>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</si>
  <si>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</si>
  <si>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</si>
  <si>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</si>
  <si>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</si>
  <si>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</si>
  <si>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</si>
  <si>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</si>
  <si>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</si>
  <si>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</si>
  <si>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</si>
  <si>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</si>
  <si>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</si>
  <si>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</si>
  <si>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</si>
  <si>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</si>
  <si>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</si>
  <si>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</si>
  <si>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</si>
  <si>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</si>
  <si>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</si>
  <si>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</si>
  <si>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</si>
  <si>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</si>
  <si>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</si>
  <si>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</si>
  <si>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</si>
  <si>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</si>
  <si>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</si>
  <si>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</si>
  <si>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</si>
  <si>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</si>
  <si>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</si>
  <si>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</si>
  <si>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</si>
  <si>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</si>
  <si>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</si>
  <si>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</si>
  <si>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</si>
  <si>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</si>
  <si>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</si>
  <si>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</si>
  <si>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</si>
  <si>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</si>
  <si>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</si>
  <si>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</si>
  <si>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</si>
  <si>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</si>
  <si>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</si>
  <si>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</si>
  <si>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</si>
  <si>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</si>
  <si>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</si>
  <si>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</si>
  <si>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</si>
  <si>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</si>
  <si>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</si>
  <si>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</si>
  <si>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</si>
  <si>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</si>
  <si>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</si>
  <si>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</si>
  <si>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</si>
  <si>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</si>
  <si>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</si>
  <si>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</si>
  <si>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</si>
  <si>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</si>
  <si>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</si>
  <si>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</si>
  <si>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</si>
  <si>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</si>
  <si>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</si>
  <si>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</si>
  <si>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</si>
  <si>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</si>
  <si>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</si>
  <si>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</si>
  <si>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</si>
  <si>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</si>
  <si>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</si>
  <si>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</si>
  <si>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</si>
  <si>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</si>
  <si>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</si>
  <si>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</si>
  <si>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</si>
  <si>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</si>
  <si>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</si>
  <si>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</si>
  <si>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</si>
  <si>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</si>
  <si>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</si>
  <si>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</si>
  <si>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</si>
  <si>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</si>
  <si>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</si>
  <si>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</si>
  <si>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</si>
  <si>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</si>
  <si>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</si>
  <si>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</si>
  <si>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</si>
  <si>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</si>
  <si>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</si>
  <si>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</si>
  <si>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</si>
  <si>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</si>
  <si>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</si>
  <si>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</si>
  <si>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</si>
  <si>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</si>
  <si>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</si>
  <si>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</si>
  <si>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</si>
  <si>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</si>
  <si>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</si>
  <si>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</si>
  <si>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</si>
  <si>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</si>
  <si>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</si>
  <si>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</si>
  <si>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</si>
  <si>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</si>
  <si>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</si>
  <si>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</si>
  <si>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</si>
  <si>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</si>
  <si>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</si>
  <si>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</si>
  <si>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</si>
  <si>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</si>
  <si>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</si>
  <si>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</si>
  <si>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</si>
  <si>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</si>
  <si>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</si>
  <si>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</si>
  <si>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</si>
  <si>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</si>
  <si>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</si>
  <si>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</si>
  <si>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</si>
  <si>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</si>
  <si>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</si>
  <si>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</si>
  <si>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</si>
  <si>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</si>
  <si>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</si>
  <si>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</si>
  <si>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</si>
  <si>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</si>
  <si>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</si>
  <si>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</si>
  <si>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</si>
  <si>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</si>
  <si>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</si>
  <si>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</si>
  <si>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</si>
  <si>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</si>
  <si>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</si>
  <si>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</si>
  <si>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</si>
  <si>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</si>
  <si>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</si>
  <si>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</si>
  <si>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</si>
  <si>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</si>
  <si>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</si>
  <si>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</si>
  <si>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</si>
  <si>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</si>
  <si>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</si>
  <si>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</si>
  <si>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</si>
  <si>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</si>
  <si>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</si>
  <si>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</si>
  <si>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</si>
  <si>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</si>
  <si>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</si>
  <si>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</si>
  <si>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</si>
  <si>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</si>
  <si>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</si>
  <si>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</si>
  <si>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</si>
  <si>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</si>
  <si>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</si>
  <si>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</si>
  <si>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</si>
  <si>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</si>
  <si>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</si>
  <si>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</si>
  <si>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</si>
  <si>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</si>
  <si>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</si>
  <si>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</si>
  <si>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</si>
  <si>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</si>
  <si>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</si>
  <si>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</si>
  <si>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</si>
  <si>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</si>
  <si>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</si>
  <si>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</si>
  <si>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</si>
  <si>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</si>
  <si>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</si>
  <si>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</si>
  <si>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</si>
  <si>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</si>
  <si>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</si>
  <si>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</si>
  <si>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</si>
  <si>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</si>
  <si>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</si>
  <si>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</si>
  <si>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</si>
  <si>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</si>
  <si>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</si>
  <si>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</si>
  <si>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</si>
  <si>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</si>
  <si>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</si>
  <si>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</si>
  <si>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</si>
  <si>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</si>
  <si>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</si>
  <si>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</si>
  <si>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</si>
  <si>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</si>
  <si>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</si>
  <si>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</si>
  <si>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</si>
  <si>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</si>
  <si>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</si>
  <si>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</si>
  <si>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</si>
  <si>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</si>
  <si>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</si>
  <si>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</si>
  <si>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</si>
  <si>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</si>
  <si>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</si>
  <si>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</si>
  <si>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</si>
  <si>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</si>
  <si>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</si>
  <si>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</si>
  <si>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</si>
  <si>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</si>
  <si>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</si>
  <si>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</si>
  <si>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</si>
  <si>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</si>
  <si>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</si>
  <si>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</si>
  <si>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</si>
  <si>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</si>
  <si>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</si>
  <si>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</si>
  <si>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</si>
  <si>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</si>
  <si>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</si>
  <si>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</si>
  <si>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</si>
  <si>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</si>
  <si>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</si>
  <si>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</si>
  <si>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</si>
  <si>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</si>
  <si>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</si>
  <si>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</si>
  <si>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</si>
  <si>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</si>
  <si>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</si>
  <si>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</si>
  <si>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</si>
  <si>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</si>
  <si>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</si>
  <si>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</si>
  <si>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</si>
  <si>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</si>
  <si>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</si>
  <si>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</si>
  <si>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</si>
  <si>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</si>
  <si>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</si>
  <si>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</si>
  <si>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</si>
  <si>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</si>
  <si>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</si>
  <si>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</si>
  <si>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</si>
  <si>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</si>
  <si>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</si>
  <si>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</si>
  <si>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</si>
  <si>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</si>
  <si>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</si>
  <si>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</si>
  <si>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</si>
  <si>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</si>
  <si>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</si>
  <si>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</si>
  <si>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</si>
  <si>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</si>
  <si>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</si>
  <si>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</si>
  <si>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</si>
  <si>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</si>
  <si>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</si>
  <si>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</si>
  <si>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</si>
  <si>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</si>
  <si>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</si>
  <si>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</si>
  <si>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</si>
  <si>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</si>
  <si>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</si>
  <si>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</si>
  <si>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</si>
  <si>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</si>
  <si>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</si>
  <si>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</si>
  <si>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</si>
  <si>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</si>
  <si>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</si>
  <si>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</si>
  <si>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</si>
  <si>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</si>
  <si>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</si>
  <si>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</si>
  <si>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</si>
  <si>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</si>
  <si>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</si>
  <si>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</si>
  <si>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</si>
  <si>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</si>
  <si>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</si>
  <si>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</si>
  <si>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</si>
  <si>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</si>
  <si>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</si>
  <si>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</si>
  <si>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</si>
  <si>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</si>
  <si>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</si>
  <si>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</si>
  <si>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</si>
  <si>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</si>
  <si>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</si>
  <si>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</si>
  <si>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</si>
  <si>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地上</t>
  </si>
  <si>
    <t>是</t>
  </si>
  <si>
    <t>工业</t>
    <phoneticPr fontId="7" type="noConversion"/>
  </si>
  <si>
    <t>直线</t>
    <phoneticPr fontId="3" type="noConversion"/>
  </si>
  <si>
    <t>观察</t>
    <phoneticPr fontId="3" type="noConversion"/>
  </si>
  <si>
    <t>成新度</t>
  </si>
  <si>
    <t>收益法</t>
  </si>
  <si>
    <t>未包含在土地购买价格中</t>
  </si>
  <si>
    <t>全部缴纳</t>
  </si>
  <si>
    <t>已包含在土地取得成本中</t>
  </si>
  <si>
    <t>押一</t>
  </si>
  <si>
    <t>钢</t>
  </si>
  <si>
    <t>非生产用房</t>
  </si>
  <si>
    <t>否</t>
  </si>
  <si>
    <t>成本法</t>
  </si>
  <si>
    <t>自定义容积率</t>
  </si>
  <si>
    <t>与级别开发程度一致</t>
  </si>
  <si>
    <t>规证</t>
    <phoneticPr fontId="7" type="noConversion"/>
  </si>
  <si>
    <t>较好</t>
  </si>
  <si>
    <t>一般</t>
  </si>
  <si>
    <t>较差</t>
  </si>
  <si>
    <t>地块名称</t>
  </si>
  <si>
    <t>地块编号</t>
  </si>
  <si>
    <t>用地性质</t>
  </si>
  <si>
    <t>建设用地面积(㎡)</t>
  </si>
  <si>
    <t>规划建筑面积(㎡)</t>
  </si>
  <si>
    <t>容积率</t>
  </si>
  <si>
    <t>详细规划</t>
  </si>
  <si>
    <t>成交时间</t>
  </si>
  <si>
    <t>交易状态</t>
  </si>
  <si>
    <t>受让单位</t>
  </si>
  <si>
    <t>成交价(万元)</t>
  </si>
  <si>
    <t>成交楼面价(元/㎡)</t>
  </si>
  <si>
    <t>顺义区马坡镇A07-02-1地块M1工业用地</t>
  </si>
  <si>
    <t>京土储挂(顺)工业[2025]001号</t>
  </si>
  <si>
    <t>一类工业用地</t>
  </si>
  <si>
    <t>2025-06-03</t>
  </si>
  <si>
    <t>已成交</t>
  </si>
  <si>
    <t>北京东方昊为工业装备有限公司</t>
  </si>
  <si>
    <t>京土储挂(顺)工业[2024]003号</t>
  </si>
  <si>
    <t>1.50</t>
  </si>
  <si>
    <t>M1工业用地</t>
  </si>
  <si>
    <t>2025-02-03</t>
  </si>
  <si>
    <t>北京顺义生态港置业有限公司</t>
  </si>
  <si>
    <t>顺义新城07街区SY00-0702-05-019地块M1工业用地</t>
  </si>
  <si>
    <t>京土储挂(顺)工业[2024]001号</t>
  </si>
  <si>
    <t>2024-04-22</t>
  </si>
  <si>
    <t>北京高顺投资有限公司</t>
  </si>
  <si>
    <t>京土储挂(顺)工业[2023]001号</t>
  </si>
  <si>
    <t>物流用地</t>
  </si>
  <si>
    <t>2023-06-21</t>
  </si>
  <si>
    <t>北京之泰仓储服务有限公司</t>
  </si>
  <si>
    <t>顺义区SY00-2402街区C-30地块(网内6号地)工业用地国有建设用地使用权出让</t>
  </si>
  <si>
    <t>京土储挂(顺)工业[2022]005号</t>
  </si>
  <si>
    <t>≥1.0,≤1.0</t>
  </si>
  <si>
    <t>100101(原M1)工业用地</t>
  </si>
  <si>
    <t>2023-01-05</t>
  </si>
  <si>
    <t>北京航空发动机维修有限公司</t>
  </si>
  <si>
    <t>京土储挂(顺)工业[2022]004号</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</si>
  <si>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</si>
  <si>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</si>
  <si>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</si>
  <si>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</si>
  <si>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</si>
  <si>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</si>
  <si>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</si>
  <si>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</si>
  <si>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</si>
  <si>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</si>
  <si>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</si>
  <si>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</si>
  <si>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</si>
  <si>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</si>
  <si>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</si>
  <si>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</si>
  <si>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</si>
  <si>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</si>
  <si>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</si>
  <si>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</si>
  <si>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</si>
  <si>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</si>
  <si>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</si>
  <si>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</si>
  <si>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</si>
  <si>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</si>
  <si>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</si>
  <si>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</si>
  <si>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</si>
  <si>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</si>
  <si>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</si>
  <si>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</si>
  <si>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2021-04-21</t>
  </si>
  <si>
    <t>中电科光电科技有限公司 、中国电子科技集团公司第十一研究所</t>
  </si>
  <si>
    <t>顺义区赵全营板桥SY04-0100-6006-2地块M4工业研发用地</t>
  </si>
  <si>
    <t>京土整储挂(顺)研发【2019】004号</t>
  </si>
  <si>
    <t>≤1.8</t>
  </si>
  <si>
    <t>工业研发M4</t>
  </si>
  <si>
    <t>2020-02-12</t>
  </si>
  <si>
    <t>北京怡和中源科技有限公司</t>
  </si>
  <si>
    <t>顺义区赵全营镇SY04-0100-6006-3地块M4工业研发项目</t>
  </si>
  <si>
    <t>京土整储挂(顺)工业研发[2019]002号</t>
  </si>
  <si>
    <t>1.80</t>
  </si>
  <si>
    <t>M4工业研发</t>
  </si>
  <si>
    <t>2019-07-16</t>
  </si>
  <si>
    <t>北京吉源医药科技有限公司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</si>
  <si>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</si>
  <si>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</si>
  <si>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</si>
  <si>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</si>
  <si>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t>顺义区大孙各庄镇总体规划范围内工业用地B01、B02、B03、B04、B05、B06地块土地一级开发项目二期SY09-0102-6015、SY09-0102-6023地块110101物流用地</t>
    <phoneticPr fontId="134" type="noConversion"/>
  </si>
  <si>
    <r>
      <t>5</t>
    </r>
    <r>
      <rPr>
        <sz val="11"/>
        <color theme="1"/>
        <rFont val="宋体"/>
        <family val="3"/>
        <charset val="134"/>
        <scheme val="minor"/>
      </rPr>
      <t>0年</t>
    </r>
    <phoneticPr fontId="134" type="noConversion"/>
  </si>
  <si>
    <t>正常</t>
  </si>
  <si>
    <t>工业</t>
    <phoneticPr fontId="30" type="noConversion"/>
  </si>
  <si>
    <t>50</t>
    <phoneticPr fontId="30" type="noConversion"/>
  </si>
  <si>
    <t>单位面积地价</t>
  </si>
  <si>
    <t>工业</t>
    <phoneticPr fontId="32" type="noConversion"/>
  </si>
  <si>
    <t>七通</t>
  </si>
  <si>
    <t>较规则</t>
  </si>
  <si>
    <t>较规则</t>
    <phoneticPr fontId="32" type="noConversion"/>
  </si>
  <si>
    <t>较好</t>
    <phoneticPr fontId="32" type="noConversion"/>
  </si>
  <si>
    <r>
      <t>2024</t>
    </r>
    <r>
      <rPr>
        <sz val="10"/>
        <color indexed="8"/>
        <rFont val="宋体"/>
        <family val="3"/>
        <charset val="134"/>
      </rPr>
      <t>年估值</t>
    </r>
    <phoneticPr fontId="8" type="noConversion"/>
  </si>
  <si>
    <t>总值</t>
    <phoneticPr fontId="8" type="noConversion"/>
  </si>
  <si>
    <t>单价</t>
    <phoneticPr fontId="8" type="noConversion"/>
  </si>
  <si>
    <t>总价</t>
  </si>
  <si>
    <t>成本比率</t>
  </si>
  <si>
    <t>京津冀智能网联新能源汽车科技生态港(顺义)一期1、2号地项目SY00-3702-0005地块M1工业用地</t>
    <phoneticPr fontId="134" type="noConversion"/>
  </si>
  <si>
    <t>顺义新城3401街区(高丽营镇中关村顺义园三代半产业基地)3-2-4(北区)(3号地A)地块M1工业用地国有建设用地使用权出让</t>
    <phoneticPr fontId="134" type="noConversion"/>
  </si>
  <si>
    <t>容积率修正</t>
    <phoneticPr fontId="134" type="noConversion"/>
  </si>
  <si>
    <t>修正后楼面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</si>
</sst>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0" borderId="0" xfId="0" applyNumberFormat="1" applyAlignment="1"/>
    <xf numFmtId="0" fontId="273" fillId="6" borderId="16" xfId="12" applyFont="1" applyFill="1" applyBorder="1" applyAlignment="1">
      <alignment vertical="center"/>
    </xf>
    <xf numFmtId="0" fontId="274" fillId="6" borderId="31" xfId="12" applyFont="1" applyFill="1" applyBorder="1" applyAlignment="1">
      <alignment vertical="center"/>
    </xf>
    <xf numFmtId="0" fontId="274" fillId="0" borderId="0" xfId="12" applyFont="1" applyAlignment="1">
      <alignment vertical="center"/>
    </xf>
    <xf numFmtId="0" fontId="274" fillId="6" borderId="63" xfId="12" applyFont="1" applyFill="1" applyBorder="1"/>
    <xf numFmtId="0" fontId="275" fillId="6" borderId="64" xfId="12" applyFont="1" applyFill="1" applyBorder="1" applyAlignment="1">
      <alignment horizontal="right" vertical="center"/>
    </xf>
    <xf numFmtId="0" fontId="275" fillId="6" borderId="65" xfId="12" applyFont="1" applyFill="1" applyBorder="1" applyAlignment="1">
      <alignment horizontal="right" vertical="center"/>
    </xf>
    <xf numFmtId="0" fontId="274"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0" fillId="5" borderId="0" xfId="0" applyNumberFormat="1" applyFill="1" applyAlignment="1"/>
    <xf numFmtId="0" fontId="95" fillId="5" borderId="0" xfId="0" applyNumberFormat="1" applyFont="1" applyFill="1" applyAlignment="1"/>
    <xf numFmtId="0" fontId="272"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1" fontId="0" fillId="0" borderId="0" xfId="0" applyNumberFormat="1" applyAlignment="1"/>
    <xf numFmtId="1" fontId="0" fillId="5" borderId="0" xfId="0" applyNumberFormat="1" applyFill="1" applyAlignment="1"/>
    <xf numFmtId="0" fontId="0" fillId="18" borderId="0" xfId="0" applyNumberForma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5" fillId="6" borderId="63" xfId="12" applyFont="1" applyFill="1" applyBorder="1" applyAlignment="1">
      <alignment horizontal="center"/>
    </xf>
    <xf numFmtId="0" fontId="275"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2025年7月3日</v>
      </c>
    </row>
    <row r="13" spans="1:2" s="1202" customFormat="1">
      <c r="A13" s="1200" t="s">
        <v>529</v>
      </c>
      <c r="B13" s="1201"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8231</v>
      </c>
    </row>
    <row r="21" spans="1:2" s="1202" customFormat="1">
      <c r="A21" s="1200" t="s">
        <v>537</v>
      </c>
      <c r="B21" s="1201">
        <f ca="1">'预评函-2'!D7</f>
        <v>6186</v>
      </c>
    </row>
    <row r="22" spans="1:2" s="1202" customFormat="1">
      <c r="A22" s="1200" t="s">
        <v>538</v>
      </c>
      <c r="B22" s="1201" t="str">
        <f ca="1">'预评函-2'!D6</f>
        <v>捌仟贰佰叁拾壹万元整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8231</v>
      </c>
    </row>
    <row r="31" spans="1:2" s="1202" customFormat="1">
      <c r="A31" s="1200" t="s">
        <v>576</v>
      </c>
      <c r="B31" s="1201">
        <f ca="1">'预评函-2'!D15</f>
        <v>6186</v>
      </c>
    </row>
    <row r="32" spans="1:2" s="1202" customFormat="1">
      <c r="A32" s="1200" t="s">
        <v>543</v>
      </c>
      <c r="B32" s="1201" t="str">
        <f ca="1">'预评函-2'!D14</f>
        <v>捌仟贰佰叁拾壹万元整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4247</v>
      </c>
    </row>
    <row r="48" spans="1:2" s="1202" customFormat="1">
      <c r="A48" s="1200" t="s">
        <v>549</v>
      </c>
      <c r="B48" s="1201">
        <f ca="1">'预评函-3'!E4</f>
        <v>3192</v>
      </c>
    </row>
    <row r="49" spans="1:2" s="1202" customFormat="1">
      <c r="A49" s="1200" t="s">
        <v>550</v>
      </c>
      <c r="B49" s="1201" t="str">
        <f ca="1">'预评函-3'!D5</f>
        <v>肆仟贰佰肆拾柒万元整</v>
      </c>
    </row>
    <row r="50" spans="1:2" s="1202" customFormat="1">
      <c r="A50" s="1200" t="s">
        <v>574</v>
      </c>
      <c r="B50" s="1201" t="str">
        <f>'预评函-3'!F2</f>
        <v>在建建筑物价值</v>
      </c>
    </row>
    <row r="51" spans="1:2" s="1202" customFormat="1">
      <c r="A51" s="1200" t="s">
        <v>551</v>
      </c>
      <c r="B51" s="1201">
        <f ca="1">'预评函-3'!F4</f>
        <v>3984</v>
      </c>
    </row>
    <row r="52" spans="1:2" s="1202" customFormat="1">
      <c r="A52" s="1200" t="s">
        <v>552</v>
      </c>
      <c r="B52" s="1201">
        <f ca="1">'预评函-3'!G4</f>
        <v>2994</v>
      </c>
    </row>
    <row r="53" spans="1:2" s="1202" customFormat="1">
      <c r="A53" s="1200" t="s">
        <v>580</v>
      </c>
      <c r="B53" s="1201" t="str">
        <f ca="1">'预评函-3'!F5</f>
        <v>叁仟玖佰捌拾肆万元整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2291</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J53" sqref="J5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40" t="s">
        <v>2578</v>
      </c>
      <c r="J2" s="3540"/>
      <c r="K2" s="3540"/>
      <c r="L2" s="3540"/>
      <c r="M2" s="3540"/>
      <c r="N2" s="3540"/>
      <c r="O2" s="3540"/>
      <c r="P2" s="3540"/>
      <c r="Q2" s="3540"/>
      <c r="R2" s="3540"/>
    </row>
    <row r="3" spans="1:18">
      <c r="A3" s="3019" t="s">
        <v>2499</v>
      </c>
      <c r="B3" s="3020">
        <f>项目基本情况!D3</f>
        <v>45841</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1.46</v>
      </c>
      <c r="D5" s="3024">
        <f>IF(ISERROR(ROUND(POWER(1+E5,A5-C5)*(POWER(1+E5,C5)-1)/(POWER(1+E5,A5)-1),3)),0,ROUND(POWER(1+E5,A5-C5)*(POWER(1+E5,C5)-1)/(POWER(1+E5,A5)-1),4))</f>
        <v>7.0300000000000001E-2</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11.47</v>
      </c>
      <c r="D6" s="3024">
        <f>IF(ISERROR(ROUND(POWER(1+E6,A6-C6)*(POWER(1+E6,C6)-1)/(POWER(1+E6,A6)-1),3)),0,ROUND(POWER(1+E6,A6-C6)*(POWER(1+E6,C6)-1)/(POWER(1+E6,A6)-1),4))</f>
        <v>0.42159999999999997</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31.48</v>
      </c>
      <c r="D7" s="3024">
        <f>IF(ISERROR(ROUND(POWER(1+E7,A7-C7)*(POWER(1+E7,C7)-1)/(POWER(1+E7,A7)-1),3)),0,ROUND(POWER(1+E7,A7-C7)*(POWER(1+E7,C7)-1)/(POWER(1+E7,A7)-1),4))</f>
        <v>0.75770000000000004</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4">
      <c r="A17" s="3019" t="s">
        <v>2515</v>
      </c>
      <c r="B17" s="3028">
        <v>4810</v>
      </c>
      <c r="C17" s="3021"/>
      <c r="D17" s="3017"/>
      <c r="E17" s="3017"/>
      <c r="F17" s="3018"/>
    </row>
    <row r="18" spans="1:14" ht="14.25" thickBot="1">
      <c r="A18" s="3030" t="s">
        <v>2514</v>
      </c>
      <c r="B18" s="3031">
        <f>ROUND(B17*F11/F12,2)</f>
        <v>5541.87</v>
      </c>
      <c r="C18" s="3031">
        <f>ROUND(F11/F12,4)</f>
        <v>1.1521999999999999</v>
      </c>
      <c r="D18" s="3032"/>
      <c r="E18" s="3032"/>
      <c r="F18" s="3033"/>
    </row>
    <row r="19" spans="1:14" ht="14.25" thickBot="1"/>
    <row r="20" spans="1:14" s="3068" customFormat="1" ht="14.25" thickTop="1">
      <c r="A20" s="3065" t="s">
        <v>2517</v>
      </c>
      <c r="B20" s="3066"/>
      <c r="C20" s="3066"/>
      <c r="D20" s="3066"/>
      <c r="E20" s="3066"/>
      <c r="F20" s="3066"/>
      <c r="G20" s="3067"/>
      <c r="I20" s="3069" t="s">
        <v>2562</v>
      </c>
      <c r="J20" s="3069" t="s">
        <v>2567</v>
      </c>
      <c r="K20" s="3069"/>
      <c r="L20" s="3069"/>
      <c r="M20" s="3069"/>
    </row>
    <row r="21" spans="1:14">
      <c r="A21" s="3034"/>
      <c r="B21" s="3035" t="s">
        <v>2518</v>
      </c>
      <c r="C21" s="3035" t="s">
        <v>2519</v>
      </c>
      <c r="D21" s="3035" t="s">
        <v>2520</v>
      </c>
      <c r="E21" s="3035" t="s">
        <v>2521</v>
      </c>
      <c r="F21" s="3035" t="s">
        <v>2522</v>
      </c>
      <c r="G21" s="3036" t="s">
        <v>2523</v>
      </c>
      <c r="I21" s="3057">
        <v>5</v>
      </c>
      <c r="J21" s="3057">
        <v>54.2</v>
      </c>
    </row>
    <row r="22" spans="1:14">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N23" s="3456" t="s">
        <v>2566</v>
      </c>
    </row>
    <row r="24" spans="1:14">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N24" s="3456">
        <v>10</v>
      </c>
    </row>
    <row r="25" spans="1:14">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N25" s="3456">
        <v>8</v>
      </c>
    </row>
    <row r="26" spans="1:14">
      <c r="A26" s="3039"/>
      <c r="B26" s="3040"/>
      <c r="C26" s="3040"/>
      <c r="D26" s="3040"/>
      <c r="E26" s="3040"/>
      <c r="F26" s="3040"/>
      <c r="G26" s="3041"/>
      <c r="I26" s="3057">
        <v>30</v>
      </c>
      <c r="J26" s="3057">
        <v>90.5</v>
      </c>
      <c r="K26" s="3057">
        <f t="shared" si="2"/>
        <v>4.2000000000000028</v>
      </c>
      <c r="L26" s="3057" t="s">
        <v>2569</v>
      </c>
      <c r="N26" s="3456">
        <v>5</v>
      </c>
    </row>
    <row r="27" spans="1:14">
      <c r="A27" s="3039" t="s">
        <v>2528</v>
      </c>
      <c r="B27" s="3040"/>
      <c r="C27" s="3040"/>
      <c r="D27" s="3040"/>
      <c r="E27" s="3040"/>
      <c r="F27" s="3040"/>
      <c r="G27" s="3041"/>
      <c r="I27" s="3057">
        <v>35</v>
      </c>
      <c r="J27" s="3057">
        <v>93.8</v>
      </c>
      <c r="K27" s="3057">
        <f t="shared" si="2"/>
        <v>3.2999999999999972</v>
      </c>
      <c r="L27" s="3057" t="s">
        <v>2570</v>
      </c>
      <c r="N27" s="3456">
        <v>3</v>
      </c>
    </row>
    <row r="28" spans="1:14">
      <c r="A28" s="3039" t="s">
        <v>2529</v>
      </c>
      <c r="B28" s="3040"/>
      <c r="C28" s="3040"/>
      <c r="D28" s="3040"/>
      <c r="E28" s="3040"/>
      <c r="F28" s="3040"/>
      <c r="G28" s="3041"/>
      <c r="I28" s="3057">
        <v>40</v>
      </c>
      <c r="J28" s="3057">
        <v>96.4</v>
      </c>
      <c r="K28" s="3057">
        <f t="shared" si="2"/>
        <v>2.6000000000000085</v>
      </c>
      <c r="L28" s="3057" t="s">
        <v>2571</v>
      </c>
      <c r="N28" s="3456">
        <v>2</v>
      </c>
    </row>
    <row r="29" spans="1:14">
      <c r="A29" s="3039" t="s">
        <v>2530</v>
      </c>
      <c r="B29" s="3040"/>
      <c r="C29" s="3040"/>
      <c r="D29" s="3040"/>
      <c r="E29" s="3040"/>
      <c r="F29" s="3040"/>
      <c r="G29" s="3041"/>
      <c r="I29" s="3057">
        <v>45</v>
      </c>
      <c r="J29" s="3057">
        <v>98.4</v>
      </c>
      <c r="K29" s="3057">
        <f t="shared" si="2"/>
        <v>2</v>
      </c>
    </row>
    <row r="30" spans="1:14">
      <c r="A30" s="3039" t="s">
        <v>2531</v>
      </c>
      <c r="B30" s="3040"/>
      <c r="C30" s="3040"/>
      <c r="D30" s="3040"/>
      <c r="E30" s="3040"/>
      <c r="F30" s="3040"/>
      <c r="G30" s="3041"/>
      <c r="I30" s="3057">
        <v>50</v>
      </c>
      <c r="J30" s="3057">
        <v>100</v>
      </c>
      <c r="K30" s="3057">
        <f t="shared" si="2"/>
        <v>1.5999999999999943</v>
      </c>
    </row>
    <row r="31" spans="1:14">
      <c r="A31" s="3039" t="s">
        <v>2532</v>
      </c>
      <c r="B31" s="3040"/>
      <c r="C31" s="3040"/>
      <c r="D31" s="3040"/>
      <c r="E31" s="3040"/>
      <c r="F31" s="3040"/>
      <c r="G31" s="3041"/>
      <c r="I31" s="3057" t="s">
        <v>2563</v>
      </c>
    </row>
    <row r="32" spans="1:14">
      <c r="A32" s="3039" t="s">
        <v>2533</v>
      </c>
      <c r="B32" s="3040"/>
      <c r="C32" s="3040"/>
      <c r="D32" s="3040"/>
      <c r="E32" s="3040"/>
      <c r="F32" s="3040"/>
      <c r="G32" s="3041"/>
    </row>
    <row r="33" spans="1:14">
      <c r="A33" s="3039" t="s">
        <v>2534</v>
      </c>
      <c r="B33" s="3040"/>
      <c r="C33" s="3040"/>
      <c r="D33" s="3040"/>
      <c r="E33" s="3040"/>
      <c r="F33" s="3040"/>
      <c r="G33" s="3041"/>
      <c r="I33" s="3057" t="s">
        <v>2562</v>
      </c>
      <c r="J33" s="3057" t="s">
        <v>2572</v>
      </c>
    </row>
    <row r="34" spans="1:14">
      <c r="A34" s="3039" t="s">
        <v>2535</v>
      </c>
      <c r="B34" s="3040"/>
      <c r="C34" s="3040"/>
      <c r="D34" s="3040"/>
      <c r="E34" s="3040"/>
      <c r="F34" s="3040"/>
      <c r="G34" s="3041"/>
      <c r="I34" s="3057">
        <v>5</v>
      </c>
      <c r="J34" s="3057">
        <v>55.1</v>
      </c>
    </row>
    <row r="35" spans="1:14">
      <c r="A35" s="3039" t="s">
        <v>2536</v>
      </c>
      <c r="B35" s="3040"/>
      <c r="C35" s="3040"/>
      <c r="D35" s="3040"/>
      <c r="E35" s="3040"/>
      <c r="F35" s="3040"/>
      <c r="G35" s="3041"/>
      <c r="I35" s="3057">
        <v>10</v>
      </c>
      <c r="J35" s="3057">
        <v>67</v>
      </c>
      <c r="K35" s="3057">
        <f>J35-J34</f>
        <v>11.899999999999999</v>
      </c>
    </row>
    <row r="36" spans="1:14">
      <c r="A36" s="3039" t="s">
        <v>2537</v>
      </c>
      <c r="B36" s="3040"/>
      <c r="C36" s="3040"/>
      <c r="D36" s="3040"/>
      <c r="E36" s="3040"/>
      <c r="F36" s="3040"/>
      <c r="G36" s="3041"/>
      <c r="I36" s="3057">
        <v>15</v>
      </c>
      <c r="J36" s="3057">
        <v>76.3</v>
      </c>
      <c r="K36" s="3057">
        <f t="shared" ref="K36:K41" si="3">J36-J35</f>
        <v>9.2999999999999972</v>
      </c>
      <c r="L36" s="3057" t="s">
        <v>2565</v>
      </c>
      <c r="N36" s="3456" t="s">
        <v>2566</v>
      </c>
    </row>
    <row r="37" spans="1:14">
      <c r="A37" s="3039" t="s">
        <v>2538</v>
      </c>
      <c r="B37" s="3040"/>
      <c r="C37" s="3040"/>
      <c r="D37" s="3040"/>
      <c r="E37" s="3040"/>
      <c r="F37" s="3040"/>
      <c r="G37" s="3041"/>
      <c r="I37" s="3057">
        <v>20</v>
      </c>
      <c r="J37" s="3057">
        <v>83.6</v>
      </c>
      <c r="K37" s="3057">
        <f t="shared" si="3"/>
        <v>7.2999999999999972</v>
      </c>
      <c r="L37" s="3057" t="s">
        <v>2564</v>
      </c>
      <c r="N37" s="3456">
        <v>10</v>
      </c>
    </row>
    <row r="38" spans="1:14">
      <c r="A38" s="3039" t="s">
        <v>2539</v>
      </c>
      <c r="B38" s="3040"/>
      <c r="C38" s="3040"/>
      <c r="D38" s="3040"/>
      <c r="E38" s="3040"/>
      <c r="F38" s="3040"/>
      <c r="G38" s="3041"/>
      <c r="I38" s="3057">
        <v>25</v>
      </c>
      <c r="J38" s="3057">
        <v>89.3</v>
      </c>
      <c r="K38" s="3057">
        <f t="shared" si="3"/>
        <v>5.7000000000000028</v>
      </c>
      <c r="L38" s="3057" t="s">
        <v>2568</v>
      </c>
      <c r="N38" s="3456">
        <v>8</v>
      </c>
    </row>
    <row r="39" spans="1:14">
      <c r="A39" s="3039"/>
      <c r="B39" s="3040"/>
      <c r="C39" s="3040"/>
      <c r="D39" s="3040"/>
      <c r="E39" s="3040"/>
      <c r="F39" s="3040"/>
      <c r="G39" s="3041"/>
      <c r="I39" s="3057">
        <v>30</v>
      </c>
      <c r="J39" s="3057">
        <v>93.8</v>
      </c>
      <c r="K39" s="3057">
        <f t="shared" si="3"/>
        <v>4.5</v>
      </c>
      <c r="L39" s="3057" t="s">
        <v>2569</v>
      </c>
      <c r="N39" s="3456">
        <v>6</v>
      </c>
    </row>
    <row r="40" spans="1:14">
      <c r="A40" s="3042" t="s">
        <v>2540</v>
      </c>
      <c r="B40" s="3043"/>
      <c r="C40" s="3043"/>
      <c r="D40" s="3043"/>
      <c r="E40" s="3043"/>
      <c r="F40" s="3043"/>
      <c r="G40" s="3044"/>
      <c r="I40" s="3057">
        <v>35</v>
      </c>
      <c r="J40" s="3057">
        <v>97.2</v>
      </c>
      <c r="K40" s="3057">
        <f t="shared" si="3"/>
        <v>3.4000000000000057</v>
      </c>
      <c r="L40" s="3057" t="s">
        <v>2570</v>
      </c>
      <c r="N40" s="3456">
        <v>3</v>
      </c>
    </row>
    <row r="41" spans="1:14">
      <c r="A41" s="3045" t="s">
        <v>2541</v>
      </c>
      <c r="B41" s="3046" t="s">
        <v>2542</v>
      </c>
      <c r="C41" s="3047" t="s">
        <v>2543</v>
      </c>
      <c r="D41" s="3047" t="s">
        <v>2544</v>
      </c>
      <c r="E41" s="3048"/>
      <c r="F41" s="3049"/>
      <c r="G41" s="3050"/>
      <c r="I41" s="3057">
        <v>40</v>
      </c>
      <c r="J41" s="3057">
        <v>100</v>
      </c>
      <c r="K41" s="3057">
        <f t="shared" si="3"/>
        <v>2.7999999999999972</v>
      </c>
    </row>
    <row r="42" spans="1:14">
      <c r="A42" s="3045" t="s">
        <v>2545</v>
      </c>
      <c r="B42" s="3046" t="s">
        <v>2546</v>
      </c>
      <c r="C42" s="3047" t="s">
        <v>2547</v>
      </c>
      <c r="D42" s="3051" t="s">
        <v>2548</v>
      </c>
      <c r="E42" s="3043" t="s">
        <v>2549</v>
      </c>
      <c r="F42" s="3043"/>
      <c r="G42" s="3044"/>
    </row>
    <row r="43" spans="1:14">
      <c r="A43" s="3045" t="s">
        <v>2550</v>
      </c>
      <c r="B43" s="3046" t="s">
        <v>2551</v>
      </c>
      <c r="C43" s="3047" t="s">
        <v>2552</v>
      </c>
      <c r="D43" s="3047" t="s">
        <v>2553</v>
      </c>
      <c r="E43" s="3048" t="s">
        <v>2554</v>
      </c>
      <c r="F43" s="3049"/>
      <c r="G43" s="3050"/>
      <c r="I43" s="3057" t="s">
        <v>2562</v>
      </c>
      <c r="J43" s="3057" t="s">
        <v>2573</v>
      </c>
    </row>
    <row r="44" spans="1:14">
      <c r="A44" s="3045" t="s">
        <v>2555</v>
      </c>
      <c r="B44" s="3046" t="s">
        <v>2556</v>
      </c>
      <c r="C44" s="3047" t="s">
        <v>2557</v>
      </c>
      <c r="D44" s="3051">
        <v>0.5</v>
      </c>
      <c r="E44" s="3048" t="s">
        <v>2558</v>
      </c>
      <c r="F44" s="3049"/>
      <c r="G44" s="3050"/>
      <c r="I44" s="3057">
        <v>30</v>
      </c>
      <c r="J44" s="3057">
        <v>81.7</v>
      </c>
    </row>
    <row r="45" spans="1:14" ht="14.25" thickBot="1">
      <c r="A45" s="3052" t="s">
        <v>2559</v>
      </c>
      <c r="B45" s="3053" t="s">
        <v>2546</v>
      </c>
      <c r="C45" s="3054" t="s">
        <v>2546</v>
      </c>
      <c r="D45" s="3054" t="s">
        <v>2560</v>
      </c>
      <c r="E45" s="3055" t="s">
        <v>2561</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2"/>
      <c r="C3" s="2373" t="s">
        <v>2169</v>
      </c>
      <c r="D3" s="2372">
        <v>45841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3410</v>
      </c>
      <c r="C8" s="2389"/>
      <c r="D8" s="3544" t="s">
        <v>2175</v>
      </c>
      <c r="E8" s="2390" t="s">
        <v>3411</v>
      </c>
      <c r="F8" s="2391"/>
      <c r="G8" s="2662"/>
      <c r="H8" s="2662"/>
      <c r="I8" s="2662"/>
      <c r="J8" s="2438"/>
      <c r="K8" s="2613"/>
      <c r="L8" s="2612"/>
      <c r="M8" s="2612"/>
      <c r="N8" s="2438"/>
      <c r="O8" s="2449"/>
      <c r="P8" s="2438"/>
      <c r="Q8" s="2438"/>
      <c r="R8" s="2438"/>
    </row>
    <row r="9" spans="1:30" ht="13.5" thickBot="1">
      <c r="A9" s="2392" t="s">
        <v>2176</v>
      </c>
      <c r="B9" s="2393" t="s">
        <v>3411</v>
      </c>
      <c r="C9" s="2394"/>
      <c r="D9" s="3545"/>
      <c r="E9" s="2393" t="s">
        <v>43</v>
      </c>
      <c r="F9" s="2395"/>
      <c r="G9" s="2664"/>
      <c r="H9" s="2664"/>
      <c r="I9" s="2664"/>
      <c r="J9" s="2438"/>
      <c r="K9" s="2615"/>
      <c r="L9" s="2612"/>
      <c r="M9" s="2612"/>
      <c r="N9" s="2438"/>
      <c r="O9" s="2449"/>
      <c r="P9" s="2438"/>
      <c r="Q9" s="2438"/>
      <c r="R9" s="2438"/>
    </row>
    <row r="10" spans="1:30" ht="13.5" thickTop="1">
      <c r="A10" s="2396" t="s">
        <v>2177</v>
      </c>
      <c r="B10" s="2397" t="s">
        <v>3412</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3413</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2574</v>
      </c>
      <c r="J12" s="3061"/>
      <c r="K12" s="2612"/>
      <c r="L12" s="2612"/>
      <c r="M12" s="2438"/>
      <c r="N12" s="2449"/>
      <c r="O12" s="2438"/>
      <c r="P12" s="2438"/>
      <c r="Q12" s="2438"/>
      <c r="AD12" s="1744"/>
    </row>
    <row r="13" spans="1:30">
      <c r="A13" s="3422" t="s">
        <v>3330</v>
      </c>
      <c r="B13" s="2406" t="s">
        <v>2188</v>
      </c>
      <c r="C13" s="856"/>
      <c r="D13" s="856"/>
      <c r="E13" s="856"/>
      <c r="F13" s="856"/>
      <c r="G13" s="856"/>
      <c r="H13" s="856">
        <v>57409</v>
      </c>
      <c r="I13" s="856"/>
      <c r="J13" s="3061"/>
      <c r="K13" s="2612"/>
      <c r="L13" s="2612"/>
      <c r="M13" s="2438"/>
      <c r="N13" s="2449"/>
      <c r="O13" s="2438"/>
      <c r="P13" s="2438"/>
      <c r="Q13" s="2438"/>
      <c r="AD13" s="1744"/>
    </row>
    <row r="14" spans="1:30">
      <c r="A14" s="1081"/>
      <c r="B14" s="2406" t="s">
        <v>2189</v>
      </c>
      <c r="C14" s="2407"/>
      <c r="D14" s="2407"/>
      <c r="E14" s="2407"/>
      <c r="F14" s="2407"/>
      <c r="G14" s="2407"/>
      <c r="H14" s="2407">
        <v>50</v>
      </c>
      <c r="I14" s="2407"/>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31.69</v>
      </c>
      <c r="I15" s="2409" t="str">
        <f>IF(A13="出让",IF(I13="","",ROUNDDOWN(MIN((I13-$D$3)/365,I14),2)),I14)</f>
        <v/>
      </c>
      <c r="J15" s="3063"/>
      <c r="K15" s="2450"/>
      <c r="L15" s="2450"/>
      <c r="M15" s="2508"/>
      <c r="N15" s="2450"/>
      <c r="O15" s="2508"/>
      <c r="P15" s="2438"/>
      <c r="Q15" s="2438"/>
      <c r="AD15" s="1744"/>
    </row>
    <row r="16" spans="1:30">
      <c r="A16" s="2399" t="s">
        <v>2191</v>
      </c>
      <c r="B16" s="3551"/>
      <c r="C16" s="3552"/>
      <c r="D16" s="3553"/>
      <c r="E16" s="2412" t="s">
        <v>2192</v>
      </c>
      <c r="F16" s="3554"/>
      <c r="G16" s="3555"/>
      <c r="H16" s="3555"/>
      <c r="I16" s="3556"/>
      <c r="J16" s="2438"/>
      <c r="K16" s="2616"/>
      <c r="L16" s="2450"/>
      <c r="M16" s="2450"/>
      <c r="N16" s="2508"/>
      <c r="O16" s="2450"/>
      <c r="P16" s="2508"/>
      <c r="Q16" s="2438"/>
      <c r="R16" s="2438"/>
    </row>
    <row r="17" spans="1:28">
      <c r="A17" s="313" t="s">
        <v>2193</v>
      </c>
      <c r="B17" s="302" t="s">
        <v>2194</v>
      </c>
      <c r="C17" s="8">
        <f>'数据-汇总表'!E3</f>
        <v>13305.62</v>
      </c>
      <c r="D17" s="2321" t="s">
        <v>2195</v>
      </c>
      <c r="E17" s="3557" t="s">
        <v>2196</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21428.52</v>
      </c>
      <c r="D18" s="1092" t="s">
        <v>2199</v>
      </c>
      <c r="E18" s="3560" t="s">
        <v>2200</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1055</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47" t="s">
        <v>2204</v>
      </c>
      <c r="C20" s="3548"/>
      <c r="D20" s="3549" t="s">
        <v>2205</v>
      </c>
      <c r="E20" s="3550"/>
      <c r="F20" s="2646" t="s">
        <v>1056</v>
      </c>
      <c r="G20" s="2663"/>
      <c r="H20" s="2663"/>
      <c r="I20" s="2663"/>
      <c r="J20" s="2438"/>
      <c r="K20" s="354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4"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4"/>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4"/>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5"/>
      <c r="B30" s="302" t="s">
        <v>2216</v>
      </c>
      <c r="C30" s="3566"/>
      <c r="D30" s="3567"/>
      <c r="E30" s="2663"/>
      <c r="F30" s="2663"/>
      <c r="G30" s="2663"/>
      <c r="H30" s="2663"/>
      <c r="I30" s="2663"/>
      <c r="J30" s="2438"/>
      <c r="K30" s="2615"/>
      <c r="L30" s="2612"/>
      <c r="M30" s="2612"/>
      <c r="N30" s="2438"/>
      <c r="O30" s="2449"/>
      <c r="P30" s="2438"/>
      <c r="Q30" s="2438"/>
      <c r="R30" s="2438"/>
      <c r="S30" s="2438"/>
      <c r="T30" s="2438"/>
      <c r="U30" s="2438"/>
      <c r="V30" s="2438"/>
    </row>
    <row r="31" spans="1:28">
      <c r="A31" s="3568"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63" t="s">
        <v>2226</v>
      </c>
      <c r="T34" s="2427" t="str">
        <f>NUMBERSTRING(7-K34,1)&amp;"通"</f>
        <v>七通</v>
      </c>
      <c r="U34" s="2438"/>
      <c r="V34" s="2438"/>
    </row>
    <row r="35" spans="1:30">
      <c r="A35" s="2428"/>
      <c r="B35" s="3570" t="s">
        <v>2227</v>
      </c>
      <c r="C35" s="3570"/>
      <c r="D35" s="3570"/>
      <c r="E35" s="357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4" t="s">
        <v>2577</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3415</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3415</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9" sqref="K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0" t="s">
        <v>1131</v>
      </c>
      <c r="B2" s="3580"/>
      <c r="C2" s="3580"/>
      <c r="D2" s="796" t="s">
        <v>1107</v>
      </c>
      <c r="E2" s="1638" t="s">
        <v>1108</v>
      </c>
      <c r="F2" s="2658"/>
      <c r="G2" s="2649"/>
      <c r="H2" s="2650"/>
      <c r="I2" s="2324" t="s">
        <v>1132</v>
      </c>
      <c r="J2" s="2658"/>
      <c r="K2" s="2658"/>
      <c r="L2" s="2658"/>
      <c r="M2" s="2658"/>
      <c r="N2" s="2660"/>
      <c r="O2" s="2658"/>
      <c r="P2" s="2658"/>
    </row>
    <row r="3" spans="1:16" ht="15.75" thickBot="1">
      <c r="A3" s="3581" t="s">
        <v>1105</v>
      </c>
      <c r="B3" s="3581"/>
      <c r="C3" s="3581"/>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82"/>
      <c r="B4" s="3583"/>
      <c r="C4" s="3584"/>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85" t="s">
        <v>1110</v>
      </c>
      <c r="C5" s="3585"/>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85" t="s">
        <v>1111</v>
      </c>
      <c r="C6" s="3585"/>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77"/>
      <c r="B7" s="3578"/>
      <c r="C7" s="357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v>0.91</v>
      </c>
      <c r="J8" s="2658"/>
      <c r="K8" s="3467" t="s">
        <v>3431</v>
      </c>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74" t="s">
        <v>1135</v>
      </c>
      <c r="L16" s="3575"/>
      <c r="M16" s="3575"/>
      <c r="N16" s="3575"/>
      <c r="O16" s="3575"/>
      <c r="P16" s="3576"/>
    </row>
    <row r="17" spans="1:19" ht="15">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3416</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45841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3419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31.69</v>
      </c>
      <c r="G6" s="65">
        <f>IF(ISERROR(ROUND(POWER(1+H6,D6-F6)*(POWER(1+H6,F6)-1)/(POWER(1+H6,D6)-1),3)),0,ROUND(POWER(1+H6,D6-F6)*(POWER(1+H6,F6)-1)/(POWER(1+H6,D6)-1),3))</f>
        <v>0.84599999999999997</v>
      </c>
      <c r="H6" s="732">
        <v>4.4999999999999998E-2</v>
      </c>
      <c r="I6" s="732">
        <v>0.05</v>
      </c>
      <c r="J6" s="66">
        <v>7.0000000000000007E-2</v>
      </c>
      <c r="K6" s="1030">
        <f>SUMIF('数据-汇总表'!C$19:C$33,A6,'数据-汇总表'!E$19:E$33)</f>
        <v>13305.62</v>
      </c>
      <c r="L6" s="733">
        <v>3000</v>
      </c>
      <c r="M6" s="67">
        <f t="shared" ref="M6:M14" si="0">ROUND(K6*L6/10000,0)</f>
        <v>3992</v>
      </c>
      <c r="N6" s="731">
        <f>N21</f>
        <v>0.75</v>
      </c>
      <c r="O6" s="67" t="str">
        <f>IF($N$5="成新度","——",ROUND(M6*N6,0))</f>
        <v>——</v>
      </c>
      <c r="P6" s="68" t="str">
        <f>IF($N$5="成新度","——",M6-O6)</f>
        <v>——</v>
      </c>
      <c r="Q6" s="734">
        <v>7.0000000000000007E-2</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1.4999999999999999E-2</v>
      </c>
      <c r="W6" s="70">
        <v>0.1</v>
      </c>
      <c r="X6" s="1040"/>
      <c r="Y6" s="71">
        <f>N6</f>
        <v>0.75</v>
      </c>
      <c r="Z6" s="72"/>
      <c r="AA6" s="66"/>
      <c r="AB6" s="66"/>
      <c r="AC6" s="1040"/>
      <c r="AD6" s="73"/>
      <c r="AE6" s="1041">
        <f ca="1">IF(AN6="",0,SUMIF(INDIRECT("'"&amp;AN6&amp;"'"&amp;"!E:E"),$AE$5,INDIRECT("'"&amp;AN6&amp;"'"&amp;"!F:F")))</f>
        <v>31.69</v>
      </c>
      <c r="AF6" s="1347"/>
      <c r="AG6" s="138">
        <f>IF(AF6="",0,AE6-AF6)</f>
        <v>0</v>
      </c>
      <c r="AH6" s="74"/>
      <c r="AI6" s="76">
        <v>365</v>
      </c>
      <c r="AJ6" s="77"/>
      <c r="AK6" s="78">
        <v>2E-3</v>
      </c>
      <c r="AL6" s="79">
        <v>1E-3</v>
      </c>
      <c r="AM6" s="80">
        <v>0.01</v>
      </c>
      <c r="AN6" s="1714" t="s">
        <v>3420</v>
      </c>
      <c r="AO6" s="52">
        <f ca="1">SUMIF(INDIRECT("'"&amp;AN6&amp;"'"&amp;"!A:A"),"总价",INDIRECT("'"&amp;AN6&amp;"'"&amp;"!B:B"))</f>
        <v>8062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0.84599999999999997</v>
      </c>
      <c r="H16" s="90">
        <f>ROUND(SUMPRODUCT(H6:H13,K6:K13)/SUMPRODUCT((H6:H13&gt;0)*(K6:K13)),3)</f>
        <v>4.4999999999999998E-2</v>
      </c>
      <c r="I16" s="91"/>
      <c r="J16" s="91"/>
      <c r="K16" s="92">
        <f>SUM(K6:K15)</f>
        <v>13305.62</v>
      </c>
      <c r="L16" s="93">
        <f>ROUND(M16*10000/SUM(K6:K14),0)</f>
        <v>3000</v>
      </c>
      <c r="M16" s="93">
        <f>SUM(M6:M14)</f>
        <v>3992</v>
      </c>
      <c r="N16" s="94">
        <f>ROUND(SUMPRODUCT(M6:M14,N6:N14)/M16,3)</f>
        <v>0.75</v>
      </c>
      <c r="O16" s="93">
        <f>SUM(O6:O14)</f>
        <v>0</v>
      </c>
      <c r="P16" s="93">
        <f>SUM(P6:P14)</f>
        <v>0</v>
      </c>
      <c r="Q16" s="95">
        <f>ROUND(SUMPRODUCT(Q6:Q13,K6:K13)/SUMPRODUCT((Q6:Q13&gt;0)*(K6:K13)),2)</f>
        <v>7.0000000000000007E-2</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2300</v>
      </c>
      <c r="D19" s="2675"/>
      <c r="E19" s="2672"/>
      <c r="F19" s="2672"/>
      <c r="G19" s="2672"/>
      <c r="H19" s="2672"/>
      <c r="I19" s="2672"/>
      <c r="J19" s="2672"/>
      <c r="K19" s="2671"/>
      <c r="L19" s="2671"/>
      <c r="M19" s="3466" t="s">
        <v>3417</v>
      </c>
      <c r="N19" s="2670">
        <f>ROUND(1-(1-2%)*(2025-2003)/70,2)</f>
        <v>0.69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2298</v>
      </c>
      <c r="D20" s="2675"/>
      <c r="E20" s="2672"/>
      <c r="F20" s="2672"/>
      <c r="G20" s="2672"/>
      <c r="H20" s="2672"/>
      <c r="I20" s="2672"/>
      <c r="J20" s="2672"/>
      <c r="K20" s="2671"/>
      <c r="L20" s="2671"/>
      <c r="M20" s="3466" t="s">
        <v>3418</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f>ROUND((N19+N20)/2,2)</f>
        <v>0.75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2302</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2299</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2295</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2296</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2295</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2297</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2301</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6" t="s">
        <v>2284</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45841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8231</v>
      </c>
      <c r="C5" s="2511">
        <f ca="1">IF(B5=D14,结果表!H102,ROUND(B5*10000/$B$1,0))</f>
        <v>6186</v>
      </c>
      <c r="D5" s="2511">
        <f ca="1">ROUND(B5*10000/$B$2,0)</f>
        <v>3841</v>
      </c>
      <c r="E5" s="2685"/>
      <c r="F5" s="2686"/>
      <c r="G5" s="2686"/>
      <c r="H5" s="2687"/>
      <c r="I5" s="2687"/>
      <c r="J5" s="2687"/>
      <c r="K5" s="2687"/>
    </row>
    <row r="6" spans="1:11" ht="16.5">
      <c r="A6" s="2511" t="s">
        <v>656</v>
      </c>
      <c r="B6" s="2511">
        <f>SUM(G14:G23)</f>
        <v>0</v>
      </c>
      <c r="C6" s="2511">
        <f ca="1">IF(B6=G14,结果表!H108,ROUND(B6*10000/$B$1,0))</f>
        <v>6186</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13305.62</v>
      </c>
      <c r="C14" s="2517">
        <f>结果表!C118</f>
        <v>21428.52</v>
      </c>
      <c r="D14" s="2517">
        <f ca="1">结果表!H118</f>
        <v>8231</v>
      </c>
      <c r="E14" s="2517">
        <f ca="1">ROUND(D14*10000/B14,0)</f>
        <v>6186</v>
      </c>
      <c r="F14" s="2517">
        <f ca="1">ROUND(D14*10000/C14,0)</f>
        <v>3841</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115" zoomScaleNormal="100" zoomScaleSheetLayoutView="115" zoomScalePageLayoutView="80" workbookViewId="0">
      <selection activeCell="H33" sqref="H3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3428</v>
      </c>
      <c r="D4" s="1755" t="s">
        <v>3420</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658">
        <v>25</v>
      </c>
      <c r="C5" s="3661"/>
      <c r="D5" s="3649"/>
      <c r="E5" s="131" t="s">
        <v>1269</v>
      </c>
      <c r="F5" s="1756"/>
      <c r="G5" s="1756"/>
      <c r="H5" s="1756"/>
      <c r="I5" s="1372"/>
    </row>
    <row r="6" spans="1:12" ht="12.75">
      <c r="A6" s="3603"/>
      <c r="B6" s="3658"/>
      <c r="C6" s="3663"/>
      <c r="D6" s="3649"/>
      <c r="E6" s="131" t="s">
        <v>1270</v>
      </c>
      <c r="F6" s="1756"/>
      <c r="G6" s="1756"/>
      <c r="H6" s="1756"/>
      <c r="I6" s="1372"/>
    </row>
    <row r="7" spans="1:12" ht="12.75">
      <c r="A7" s="3603"/>
      <c r="B7" s="3658"/>
      <c r="C7" s="3662"/>
      <c r="D7" s="3649"/>
      <c r="E7" s="131" t="s">
        <v>1271</v>
      </c>
      <c r="F7" s="1756"/>
      <c r="G7" s="1756"/>
      <c r="H7" s="1756"/>
      <c r="I7" s="1372"/>
    </row>
    <row r="8" spans="1:12" ht="12.75">
      <c r="A8" s="3603" t="s">
        <v>1272</v>
      </c>
      <c r="B8" s="3658">
        <v>15</v>
      </c>
      <c r="C8" s="3661"/>
      <c r="D8" s="3649"/>
      <c r="E8" s="131" t="s">
        <v>1273</v>
      </c>
      <c r="F8" s="1756"/>
      <c r="G8" s="1756"/>
      <c r="H8" s="1756"/>
      <c r="I8" s="1372"/>
    </row>
    <row r="9" spans="1:12" ht="12.75">
      <c r="A9" s="3603"/>
      <c r="B9" s="3658"/>
      <c r="C9" s="3662"/>
      <c r="D9" s="3649"/>
      <c r="E9" s="131" t="s">
        <v>1274</v>
      </c>
      <c r="F9" s="1756"/>
      <c r="G9" s="1756"/>
      <c r="H9" s="1756"/>
      <c r="I9" s="1372"/>
    </row>
    <row r="10" spans="1:12" ht="12.75">
      <c r="A10" s="3603" t="s">
        <v>1275</v>
      </c>
      <c r="B10" s="3658">
        <v>15</v>
      </c>
      <c r="C10" s="3661"/>
      <c r="D10" s="3649"/>
      <c r="E10" s="131" t="s">
        <v>1276</v>
      </c>
      <c r="F10" s="1756"/>
      <c r="G10" s="1756"/>
      <c r="H10" s="1756"/>
      <c r="I10" s="1372"/>
    </row>
    <row r="11" spans="1:12" ht="12.75">
      <c r="A11" s="3603"/>
      <c r="B11" s="3658"/>
      <c r="C11" s="3662"/>
      <c r="D11" s="3649"/>
      <c r="E11" s="131" t="s">
        <v>1277</v>
      </c>
      <c r="F11" s="1756"/>
      <c r="G11" s="1756"/>
      <c r="H11" s="1756"/>
      <c r="I11" s="1372"/>
    </row>
    <row r="12" spans="1:12" ht="12.75">
      <c r="A12" s="3603" t="s">
        <v>1278</v>
      </c>
      <c r="B12" s="3658">
        <v>15</v>
      </c>
      <c r="C12" s="3661"/>
      <c r="D12" s="3649"/>
      <c r="E12" s="131" t="s">
        <v>1279</v>
      </c>
      <c r="F12" s="1756"/>
      <c r="G12" s="1756"/>
      <c r="H12" s="1756"/>
      <c r="I12" s="1372"/>
    </row>
    <row r="13" spans="1:12" ht="12.75">
      <c r="A13" s="3603"/>
      <c r="B13" s="3658"/>
      <c r="C13" s="3662"/>
      <c r="D13" s="3649"/>
      <c r="E13" s="131" t="s">
        <v>1280</v>
      </c>
      <c r="F13" s="1756"/>
      <c r="G13" s="1756"/>
      <c r="H13" s="1756"/>
      <c r="I13" s="1372"/>
    </row>
    <row r="14" spans="1:12" ht="12.75">
      <c r="A14" s="3603" t="s">
        <v>1281</v>
      </c>
      <c r="B14" s="3658">
        <v>30</v>
      </c>
      <c r="C14" s="3661">
        <v>5</v>
      </c>
      <c r="D14" s="3649">
        <v>5</v>
      </c>
      <c r="E14" s="131" t="s">
        <v>1282</v>
      </c>
      <c r="F14" s="1756"/>
      <c r="G14" s="1756"/>
      <c r="H14" s="1756"/>
      <c r="I14" s="1372"/>
    </row>
    <row r="15" spans="1:12" ht="12.75">
      <c r="A15" s="3603"/>
      <c r="B15" s="3658"/>
      <c r="C15" s="3663"/>
      <c r="D15" s="3649"/>
      <c r="E15" s="131" t="s">
        <v>1283</v>
      </c>
      <c r="F15" s="1756"/>
      <c r="G15" s="1756"/>
      <c r="H15" s="1756"/>
      <c r="I15" s="1372"/>
    </row>
    <row r="16" spans="1:12" ht="12.75">
      <c r="A16" s="3603"/>
      <c r="B16" s="3658"/>
      <c r="C16" s="3662"/>
      <c r="D16" s="3649"/>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80" t="s">
        <v>2129</v>
      </c>
      <c r="F18" s="3681"/>
      <c r="G18" s="3681"/>
      <c r="H18" s="3681"/>
      <c r="I18" s="3681"/>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8400</v>
      </c>
      <c r="D19" s="135">
        <f ca="1">SUMIF(INDIRECT("'"&amp;D4&amp;"'"&amp;"!A:A"),结果表!B19,INDIRECT("'"&amp;D4&amp;"'"&amp;"!B:B"))</f>
        <v>8062</v>
      </c>
      <c r="E19" s="1760" t="s">
        <v>1292</v>
      </c>
      <c r="F19" s="1761" t="s">
        <v>1291</v>
      </c>
      <c r="G19" s="136">
        <f ca="1">ROUND(C19*$C$18+D19*$D$18,0)</f>
        <v>8231</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6313</v>
      </c>
      <c r="D20" s="138">
        <f ca="1">SUMIF(INDIRECT("'"&amp;D4&amp;"'"&amp;"!A:A"),结果表!B20,INDIRECT("'"&amp;D4&amp;"'"&amp;"!B:B"))</f>
        <v>6059</v>
      </c>
      <c r="E20" s="1763"/>
      <c r="F20" s="1026" t="s">
        <v>1295</v>
      </c>
      <c r="G20" s="139">
        <f ca="1">ROUND(C20*$C$18+D20*$D$18,0)</f>
        <v>6186</v>
      </c>
      <c r="H20" s="808" t="s">
        <v>1296</v>
      </c>
      <c r="I20" s="129"/>
    </row>
    <row r="21" spans="1:36" ht="15" customHeight="1" thickBot="1">
      <c r="A21" s="828"/>
      <c r="B21" s="1764" t="s">
        <v>1297</v>
      </c>
      <c r="C21" s="719">
        <f ca="1">ROUND(C19*10000/L19,0)</f>
        <v>3920</v>
      </c>
      <c r="D21" s="720">
        <f ca="1">ROUND(D19*10000/L19,0)</f>
        <v>3762</v>
      </c>
      <c r="E21" s="828"/>
      <c r="F21" s="1764" t="s">
        <v>1297</v>
      </c>
      <c r="G21" s="140">
        <f ca="1">ROUND(G19*10000/L19,0)</f>
        <v>3841</v>
      </c>
      <c r="H21" s="1765" t="s">
        <v>1296</v>
      </c>
      <c r="I21" s="129"/>
      <c r="J21" s="725" t="s">
        <v>3534</v>
      </c>
    </row>
    <row r="22" spans="1:36" ht="15" thickBot="1">
      <c r="A22" s="1687" t="s">
        <v>1298</v>
      </c>
      <c r="B22" s="1766"/>
      <c r="C22" s="1767"/>
      <c r="D22" s="721">
        <f ca="1">IF(C19&lt;D19,D19/C19-1,C19/D19-1)</f>
        <v>4.1925080625154987E-2</v>
      </c>
      <c r="E22" s="129"/>
      <c r="F22" s="129"/>
      <c r="G22" s="129"/>
      <c r="H22" s="129"/>
      <c r="I22" s="129"/>
      <c r="J22" s="725">
        <v>8571</v>
      </c>
      <c r="K22" s="3495" t="s">
        <v>3535</v>
      </c>
    </row>
    <row r="23" spans="1:36" ht="13.5" thickBot="1">
      <c r="A23" s="1746"/>
      <c r="B23" s="1746"/>
      <c r="C23" s="1746"/>
      <c r="D23" s="1746"/>
      <c r="E23" s="129"/>
      <c r="F23" s="129"/>
      <c r="G23" s="129"/>
      <c r="H23" s="129"/>
      <c r="I23" s="129"/>
      <c r="J23" s="725">
        <v>6442</v>
      </c>
      <c r="K23" s="3495" t="s">
        <v>3536</v>
      </c>
    </row>
    <row r="24" spans="1:36" ht="14.25">
      <c r="A24" s="3673" t="s">
        <v>1299</v>
      </c>
      <c r="B24" s="1761" t="s">
        <v>1291</v>
      </c>
      <c r="C24" s="136">
        <f>IF(B30=0,0,D30)</f>
        <v>0</v>
      </c>
      <c r="D24" s="1768"/>
      <c r="E24" s="129"/>
      <c r="F24" s="129"/>
      <c r="G24" s="129"/>
      <c r="H24" s="129"/>
      <c r="I24" s="129"/>
    </row>
    <row r="25" spans="1:36" ht="14.25">
      <c r="A25" s="367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8231</v>
      </c>
      <c r="D32" s="1774" t="s">
        <v>3537</v>
      </c>
      <c r="E32" s="129"/>
      <c r="F32" s="129"/>
      <c r="G32" s="129"/>
      <c r="H32" s="129"/>
      <c r="I32" s="129"/>
    </row>
    <row r="33" spans="1:15" ht="15">
      <c r="A33" s="786" t="s">
        <v>1306</v>
      </c>
      <c r="B33" s="1775"/>
      <c r="C33" s="1776" t="s">
        <v>3538</v>
      </c>
      <c r="D33" s="1777" t="s">
        <v>3428</v>
      </c>
      <c r="E33" s="1778" t="s">
        <v>1307</v>
      </c>
      <c r="F33" s="1779" t="str">
        <f>IF(D32="楼面单价","取值（单价）","取值（总价）")</f>
        <v>取值（总价）</v>
      </c>
      <c r="G33" s="129"/>
      <c r="H33" s="129"/>
      <c r="I33" s="129"/>
    </row>
    <row r="34" spans="1:15" ht="15">
      <c r="A34" s="1780"/>
      <c r="B34" s="1781" t="s">
        <v>1308</v>
      </c>
      <c r="C34" s="148">
        <f ca="1">IF(C33="自定义",F34,C32-C35)</f>
        <v>4247</v>
      </c>
      <c r="D34" s="861">
        <f ca="1">IF(C33="自定义",ROUND(C34/C32,3),IF(C33="收益比率",SUMIF(INDIRECT("'"&amp;D33&amp;"'"&amp;"!b:b"),"土地收益比率",INDIRECT("'"&amp;D33&amp;"'"&amp;"!c:c")),SUMIF(INDIRECT("'"&amp;D33&amp;"'"&amp;"!b:b"),"土地成本比率",INDIRECT("'"&amp;D33&amp;"'"&amp;"!c:c"))))</f>
        <v>0.51600000000000001</v>
      </c>
      <c r="E34" s="1782" t="s">
        <v>1309</v>
      </c>
      <c r="F34" s="1329"/>
      <c r="G34" s="129"/>
      <c r="H34" s="129"/>
      <c r="I34" s="129"/>
    </row>
    <row r="35" spans="1:15" ht="15.75" thickBot="1">
      <c r="A35" s="1783"/>
      <c r="B35" s="1784" t="s">
        <v>1310</v>
      </c>
      <c r="C35" s="1170">
        <f ca="1">IF(C33="自定义",F35,ROUND(C32*D35,0))</f>
        <v>3984</v>
      </c>
      <c r="D35" s="1171">
        <f ca="1">IF(C33="自定义",ROUND(C35/C32,3),IF(C33="收益比率",SUMIF(INDIRECT("'"&amp;D33&amp;"'"&amp;"!b:b"),"建筑物收益比率",INDIRECT("'"&amp;D33&amp;"'"&amp;"!c:c")),SUMIF(INDIRECT("'"&amp;D33&amp;"'"&amp;"!b:b"),"建筑物成本比率",INDIRECT("'"&amp;D33&amp;"'"&amp;"!c:c"))))</f>
        <v>0.48399999999999999</v>
      </c>
      <c r="E35" s="1785" t="s">
        <v>1311</v>
      </c>
      <c r="F35" s="154"/>
      <c r="G35" s="129"/>
      <c r="H35" s="129"/>
      <c r="I35" s="129"/>
    </row>
    <row r="36" spans="1:15" ht="15.75" thickBot="1">
      <c r="A36" s="3650" t="s">
        <v>1312</v>
      </c>
      <c r="B36" s="1786" t="s">
        <v>1313</v>
      </c>
      <c r="C36" s="145"/>
      <c r="D36" s="1787"/>
      <c r="E36" s="1788"/>
      <c r="F36" s="1789"/>
      <c r="G36" s="129"/>
      <c r="H36" s="129"/>
      <c r="I36" s="129"/>
    </row>
    <row r="37" spans="1:15" ht="15.75" thickBot="1">
      <c r="A37" s="3651"/>
      <c r="B37" s="1673" t="s">
        <v>1314</v>
      </c>
      <c r="C37" s="147"/>
      <c r="D37" s="1139"/>
      <c r="E37" s="1139"/>
      <c r="F37" s="1789"/>
      <c r="G37" s="129"/>
      <c r="H37" s="129"/>
      <c r="I37" s="129"/>
    </row>
    <row r="38" spans="1:15" ht="15.75" thickBot="1">
      <c r="A38" s="365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0" t="s">
        <v>1326</v>
      </c>
      <c r="B45" s="3671"/>
      <c r="C45" s="3672"/>
      <c r="D45" s="155">
        <f ca="1">ROUND(H101*F45,0)</f>
        <v>8231</v>
      </c>
      <c r="E45" s="156" t="s">
        <v>1327</v>
      </c>
      <c r="F45" s="157">
        <v>1</v>
      </c>
      <c r="G45" s="158" t="s">
        <v>1328</v>
      </c>
      <c r="H45" s="129"/>
      <c r="I45" s="129"/>
      <c r="J45" s="3590" t="s">
        <v>1329</v>
      </c>
      <c r="K45" s="3590"/>
      <c r="L45" s="3590"/>
      <c r="M45" s="3590"/>
      <c r="N45" s="3590"/>
      <c r="O45" s="3590"/>
    </row>
    <row r="46" spans="1:15" ht="14.25" customHeight="1">
      <c r="A46" s="3667" t="s">
        <v>1330</v>
      </c>
      <c r="B46" s="3668"/>
      <c r="C46" s="3668"/>
      <c r="D46" s="3668"/>
      <c r="E46" s="3668"/>
      <c r="F46" s="3668"/>
      <c r="G46" s="3669"/>
      <c r="H46" s="1805"/>
      <c r="I46" s="159"/>
      <c r="J46" s="2522">
        <v>1</v>
      </c>
      <c r="K46" s="3591" t="s">
        <v>1331</v>
      </c>
      <c r="L46" s="3591"/>
      <c r="M46" s="3592"/>
      <c r="N46" s="3592"/>
      <c r="O46" s="3592"/>
    </row>
    <row r="47" spans="1:15" ht="12" customHeight="1">
      <c r="A47" s="160" t="s">
        <v>1332</v>
      </c>
      <c r="B47" s="161"/>
      <c r="C47" s="162"/>
      <c r="D47" s="1087" t="s">
        <v>1333</v>
      </c>
      <c r="E47" s="302" t="s">
        <v>1334</v>
      </c>
      <c r="F47" s="163" t="s">
        <v>1335</v>
      </c>
      <c r="G47" s="2545" t="s">
        <v>1336</v>
      </c>
      <c r="H47" s="2546"/>
      <c r="I47" s="159"/>
      <c r="J47" s="2522">
        <v>2</v>
      </c>
      <c r="K47" s="3591" t="s">
        <v>1337</v>
      </c>
      <c r="L47" s="3591"/>
      <c r="M47" s="3593">
        <f>'数据-取费表'!B2</f>
        <v>45841</v>
      </c>
      <c r="N47" s="3593"/>
      <c r="O47" s="3593"/>
    </row>
    <row r="48" spans="1:15" ht="25.5">
      <c r="A48" s="3653" t="s">
        <v>1338</v>
      </c>
      <c r="B48" s="3654"/>
      <c r="C48" s="365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1" t="s">
        <v>1340</v>
      </c>
      <c r="L48" s="3591"/>
      <c r="M48" s="3594">
        <f ca="1">H101</f>
        <v>8231</v>
      </c>
      <c r="N48" s="3594"/>
      <c r="O48" s="3594"/>
    </row>
    <row r="49" spans="1:35" ht="25.5" customHeight="1">
      <c r="A49" s="2332" t="s">
        <v>1341</v>
      </c>
      <c r="B49" s="3639" t="s">
        <v>1342</v>
      </c>
      <c r="C49" s="3639"/>
      <c r="D49" s="1589">
        <v>0</v>
      </c>
      <c r="E49" s="324" t="s">
        <v>1343</v>
      </c>
      <c r="F49" s="2423" t="s">
        <v>28</v>
      </c>
      <c r="G49" s="3622"/>
      <c r="H49" s="2309" t="s">
        <v>2132</v>
      </c>
      <c r="I49" s="2310"/>
      <c r="J49" s="2522">
        <v>4</v>
      </c>
      <c r="K49" s="3591" t="str">
        <f>IF(项目基本情况!E8="房地产抵押价值","房地产抵押价值","抵押担保权已注销时的房地产抵押价值")</f>
        <v>房地产抵押价值</v>
      </c>
      <c r="L49" s="3591"/>
      <c r="M49" s="3594">
        <f ca="1">IF(项目基本情况!E8="房地产抵押价值",H107,H109)</f>
        <v>8231</v>
      </c>
      <c r="N49" s="3594"/>
      <c r="O49" s="3594"/>
    </row>
    <row r="50" spans="1:35" ht="25.5" customHeight="1">
      <c r="A50" s="2550"/>
      <c r="B50" s="3639" t="s">
        <v>1344</v>
      </c>
      <c r="C50" s="3639"/>
      <c r="D50" s="2551"/>
      <c r="E50" s="332"/>
      <c r="F50" s="2423"/>
      <c r="G50" s="3623"/>
      <c r="H50" s="2311" t="s">
        <v>2133</v>
      </c>
      <c r="I50" s="2310"/>
      <c r="J50" s="3590" t="s">
        <v>1345</v>
      </c>
      <c r="K50" s="3590"/>
      <c r="L50" s="3590"/>
      <c r="M50" s="3590"/>
      <c r="N50" s="3590"/>
      <c r="O50" s="3590"/>
    </row>
    <row r="51" spans="1:35" ht="20.45" customHeight="1">
      <c r="A51" s="2552"/>
      <c r="B51" s="3639" t="s">
        <v>1346</v>
      </c>
      <c r="C51" s="3639"/>
      <c r="D51" s="1087"/>
      <c r="E51" s="327"/>
      <c r="F51" s="2423"/>
      <c r="G51" s="3624"/>
      <c r="H51" s="2311" t="s">
        <v>2134</v>
      </c>
      <c r="I51" s="2310"/>
      <c r="J51" s="2523" t="s">
        <v>1347</v>
      </c>
      <c r="K51" s="3591" t="s">
        <v>1348</v>
      </c>
      <c r="L51" s="3591"/>
      <c r="M51" s="2523" t="s">
        <v>1349</v>
      </c>
      <c r="N51" s="2523" t="s">
        <v>1350</v>
      </c>
      <c r="O51" s="2523" t="s">
        <v>1351</v>
      </c>
    </row>
    <row r="52" spans="1:35" ht="24" customHeight="1">
      <c r="A52" s="2334" t="s">
        <v>1352</v>
      </c>
      <c r="B52" s="3639" t="s">
        <v>1353</v>
      </c>
      <c r="C52" s="3639"/>
      <c r="D52" s="1087">
        <f ca="1">ROUND(D45*'数据-取费表'!B41/(1+'数据-取费表'!C42),0)</f>
        <v>431</v>
      </c>
      <c r="E52" s="2333" t="s">
        <v>1354</v>
      </c>
      <c r="F52" s="2553">
        <f>'数据-取费表'!B41</f>
        <v>5.5000000000000007E-2</v>
      </c>
      <c r="G52" s="2554"/>
      <c r="H52" s="2543"/>
      <c r="I52" s="1806"/>
      <c r="J52" s="2522">
        <v>1</v>
      </c>
      <c r="K52" s="3616" t="s">
        <v>1355</v>
      </c>
      <c r="L52" s="3616"/>
      <c r="M52" s="2524" t="b">
        <f>D48</f>
        <v>0</v>
      </c>
      <c r="N52" s="2522" t="str">
        <f>E48</f>
        <v>销售额×税（费）率</v>
      </c>
      <c r="O52" s="2525">
        <f>F48</f>
        <v>5.5000000000000007E-2</v>
      </c>
    </row>
    <row r="53" spans="1:35" ht="12" customHeight="1">
      <c r="A53" s="2334" t="s">
        <v>1356</v>
      </c>
      <c r="B53" s="3640" t="s">
        <v>2289</v>
      </c>
      <c r="C53" s="3641"/>
      <c r="D53" s="1087">
        <f ca="1">ROUND(D45*'数据-取费表'!B41/(1+'数据-取费表'!C42),0)</f>
        <v>431</v>
      </c>
      <c r="E53" s="2333" t="s">
        <v>1354</v>
      </c>
      <c r="F53" s="2553">
        <f>'数据-取费表'!B41</f>
        <v>5.5000000000000007E-2</v>
      </c>
      <c r="G53" s="2554"/>
      <c r="H53" s="2543"/>
      <c r="I53" s="1806"/>
      <c r="J53" s="2522">
        <v>2</v>
      </c>
      <c r="K53" s="3616" t="s">
        <v>1357</v>
      </c>
      <c r="L53" s="3616"/>
      <c r="M53" s="2524">
        <f t="shared" ref="M53:O54" ca="1" si="0">D55</f>
        <v>4</v>
      </c>
      <c r="N53" s="2522" t="str">
        <f t="shared" si="0"/>
        <v>销售额×税（费）率</v>
      </c>
      <c r="O53" s="2525" t="str">
        <f t="shared" si="0"/>
        <v>免征</v>
      </c>
    </row>
    <row r="54" spans="1:35" ht="12" customHeight="1">
      <c r="A54" s="2334" t="s">
        <v>1358</v>
      </c>
      <c r="B54" s="3640" t="s">
        <v>2290</v>
      </c>
      <c r="C54" s="3641"/>
      <c r="D54" s="1087">
        <f ca="1">C68</f>
        <v>431</v>
      </c>
      <c r="E54" s="327" t="s">
        <v>1359</v>
      </c>
      <c r="F54" s="2553">
        <f>'数据-取费表'!B41</f>
        <v>5.5000000000000007E-2</v>
      </c>
      <c r="G54" s="2554"/>
      <c r="H54" s="2555"/>
      <c r="I54" s="1806"/>
      <c r="J54" s="2522">
        <v>3</v>
      </c>
      <c r="K54" s="3616" t="s">
        <v>1360</v>
      </c>
      <c r="L54" s="3616"/>
      <c r="M54" s="2524">
        <f t="shared" ca="1" si="0"/>
        <v>4666</v>
      </c>
      <c r="N54" s="2522" t="str">
        <f t="shared" si="0"/>
        <v>增值额×税（费）率</v>
      </c>
      <c r="O54" s="2526" t="str">
        <f t="shared" si="0"/>
        <v>免征</v>
      </c>
    </row>
    <row r="55" spans="1:35" ht="24" customHeight="1">
      <c r="A55" s="3676" t="s">
        <v>1361</v>
      </c>
      <c r="B55" s="3654"/>
      <c r="C55" s="3654"/>
      <c r="D55" s="2323">
        <f ca="1">IF(H55="个人住宅",0,ROUND(D45*I55,0))</f>
        <v>4</v>
      </c>
      <c r="E55" s="2333"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f ca="1">D59</f>
        <v>78</v>
      </c>
      <c r="N55" s="2039" t="str">
        <f>E59</f>
        <v>差额计税</v>
      </c>
      <c r="O55" s="2528">
        <f>F59</f>
        <v>0.01</v>
      </c>
    </row>
    <row r="56" spans="1:35" ht="24.75">
      <c r="A56" s="3676" t="s">
        <v>1363</v>
      </c>
      <c r="B56" s="3654"/>
      <c r="C56" s="3654"/>
      <c r="D56" s="2323">
        <f ca="1">IF(H56="个人住宅",D57,D58)</f>
        <v>4666</v>
      </c>
      <c r="E56" s="2333" t="s">
        <v>1364</v>
      </c>
      <c r="F56" s="2553" t="str">
        <f>IF(H56="正常",F58,"免征")</f>
        <v>免征</v>
      </c>
      <c r="G56" s="2556" t="s">
        <v>1365</v>
      </c>
      <c r="H56" s="2557"/>
      <c r="I56" s="1807"/>
      <c r="J56" s="2522" t="str">
        <f>IF(项目基本情况!K6="上海银行",IF(J55="",4,J55+1),"")</f>
        <v/>
      </c>
      <c r="K56" s="3597" t="str">
        <f>IF(项目基本情况!K6="上海银行","其他处置费用","")</f>
        <v/>
      </c>
      <c r="L56" s="3598"/>
      <c r="M56" s="2524" t="str">
        <f>IF(项目基本情况!K6="上海银行",M69,"")</f>
        <v/>
      </c>
      <c r="N56" s="3597" t="str">
        <f>IF(项目基本情况!K6="上海银行","包含处置中涉及的律师、诉讼、拍卖、评估等费用","")</f>
        <v/>
      </c>
      <c r="O56" s="3600"/>
    </row>
    <row r="57" spans="1:35" ht="12.75">
      <c r="A57" s="2334" t="s">
        <v>1341</v>
      </c>
      <c r="B57" s="3640" t="s">
        <v>1366</v>
      </c>
      <c r="C57" s="3641"/>
      <c r="D57" s="1589">
        <v>0</v>
      </c>
      <c r="E57" s="324" t="s">
        <v>1343</v>
      </c>
      <c r="F57" s="302"/>
      <c r="G57" s="2554"/>
      <c r="H57" s="2558"/>
      <c r="I57" s="1807"/>
      <c r="J57" s="3616">
        <f>IF(AND(J55="",J56=""),4,IF(项目基本情况!K6="上海银行",结果表!J56+1,结果表!J55+1))</f>
        <v>5</v>
      </c>
      <c r="K57" s="3616" t="s">
        <v>1367</v>
      </c>
      <c r="L57" s="2529" t="s">
        <v>1368</v>
      </c>
      <c r="M57" s="2530"/>
      <c r="N57" s="2531">
        <f ca="1">SUMIF(M52:M56,"&lt;9e307")</f>
        <v>4748</v>
      </c>
      <c r="O57" s="2532"/>
      <c r="P57" s="2689">
        <f ca="1">N57/M49</f>
        <v>0.57684363989794674</v>
      </c>
    </row>
    <row r="58" spans="1:35" ht="24.75">
      <c r="A58" s="2334" t="s">
        <v>1352</v>
      </c>
      <c r="B58" s="3640" t="s">
        <v>1369</v>
      </c>
      <c r="C58" s="3639"/>
      <c r="D58" s="2323">
        <f ca="1">IF(H58="转让取得",C81,C97)</f>
        <v>4666</v>
      </c>
      <c r="E58" s="2333" t="s">
        <v>1364</v>
      </c>
      <c r="F58" s="302" t="s">
        <v>28</v>
      </c>
      <c r="G58" s="2554"/>
      <c r="H58" s="2557"/>
      <c r="I58" s="1807"/>
      <c r="J58" s="3616"/>
      <c r="K58" s="3616"/>
      <c r="L58" s="2529" t="s">
        <v>1370</v>
      </c>
      <c r="M58" s="2533"/>
      <c r="N58" s="2534" t="str">
        <f ca="1">NUMBERSTRING(INT(N57*10000),2)&amp;"元整"</f>
        <v>肆仟柒佰肆拾捌万元整</v>
      </c>
      <c r="O58" s="2535"/>
    </row>
    <row r="59" spans="1:35" ht="24.75" thickBot="1">
      <c r="A59" s="3620" t="s">
        <v>1371</v>
      </c>
      <c r="B59" s="3621"/>
      <c r="C59" s="3621"/>
      <c r="D59" s="2559">
        <f ca="1">IF(H59="非个人房产","——",IF(H59="个人住宅（满五唯一有凭证）",0,IF(H59="个人其他（无凭证）",ROUND(D45*F59,0),ROUND(C67*F59,0))))</f>
        <v>78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618">
        <f>J57+1</f>
        <v>6</v>
      </c>
      <c r="K59" s="3616" t="s">
        <v>1372</v>
      </c>
      <c r="L59" s="2522" t="s">
        <v>1368</v>
      </c>
      <c r="M59" s="2536"/>
      <c r="N59" s="2537">
        <f ca="1">M49-N57</f>
        <v>3483</v>
      </c>
      <c r="O59" s="2538"/>
    </row>
    <row r="60" spans="1:35" ht="12" customHeight="1">
      <c r="A60" s="1808"/>
      <c r="B60" s="1746"/>
      <c r="C60" s="1746"/>
      <c r="D60" s="1746"/>
      <c r="E60" s="1577"/>
      <c r="F60" s="1807"/>
      <c r="G60" s="1807"/>
      <c r="H60" s="1809"/>
      <c r="I60" s="129"/>
      <c r="J60" s="3619"/>
      <c r="K60" s="3616"/>
      <c r="L60" s="2529" t="s">
        <v>1370</v>
      </c>
      <c r="M60" s="2533"/>
      <c r="N60" s="2534" t="str">
        <f ca="1">NUMBERSTRING(INT(N59*10000),2)&amp;"元整"</f>
        <v>叁仟肆佰捌拾叁万元整</v>
      </c>
      <c r="O60" s="2535"/>
    </row>
    <row r="61" spans="1:35" ht="13.5" thickBot="1">
      <c r="A61" s="3675" t="s">
        <v>1373</v>
      </c>
      <c r="B61" s="3675"/>
      <c r="C61" s="3675"/>
      <c r="D61" s="3675"/>
      <c r="E61" s="3675"/>
      <c r="F61" s="1807"/>
      <c r="G61" s="1807"/>
      <c r="H61" s="1809"/>
      <c r="I61" s="129"/>
      <c r="J61" s="2522">
        <f>J59+1</f>
        <v>7</v>
      </c>
      <c r="K61" s="3616" t="s">
        <v>1374</v>
      </c>
      <c r="L61" s="3616"/>
      <c r="M61" s="2539"/>
      <c r="N61" s="2540">
        <f ca="1">ROUND(N59*10000/'数据-汇总表'!E3,0)</f>
        <v>2618</v>
      </c>
      <c r="O61" s="2541"/>
    </row>
    <row r="62" spans="1:35" ht="12.75">
      <c r="A62" s="3635" t="s">
        <v>1375</v>
      </c>
      <c r="B62" s="3636"/>
      <c r="C62" s="2020"/>
      <c r="D62" s="2020" t="s">
        <v>1376</v>
      </c>
      <c r="E62" s="166" t="s">
        <v>1377</v>
      </c>
      <c r="F62" s="1807"/>
      <c r="G62" s="1807"/>
      <c r="H62" s="1809"/>
      <c r="I62" s="129"/>
    </row>
    <row r="63" spans="1:35" ht="12.75">
      <c r="A63" s="173" t="s">
        <v>330</v>
      </c>
      <c r="B63" s="167" t="s">
        <v>1378</v>
      </c>
      <c r="C63" s="2563">
        <f ca="1">ROUND((C64+C65)/(1+'数据-取费表'!C42),0)</f>
        <v>7839</v>
      </c>
      <c r="D63" s="167"/>
      <c r="E63" s="168"/>
      <c r="F63" s="1807"/>
      <c r="G63" s="1807"/>
      <c r="H63" s="1809"/>
      <c r="I63" s="129"/>
      <c r="J63" s="3599" t="s">
        <v>1379</v>
      </c>
      <c r="K63" s="1331" t="s">
        <v>1380</v>
      </c>
      <c r="L63" s="1331">
        <f ca="1">IF(M49&gt;10000,M49*0.5%,IF(AND(M49&gt;1000,M49&lt;=10000),M49*1%,IF(AND(M49&gt;100,M49&lt;=1000),M49*3%,IF(AND(M49&gt;10,M49&lt;=100),M49*5%,M49*8%))))</f>
        <v>82.31</v>
      </c>
      <c r="M63" s="302">
        <f ca="1">ROUND(L63,1)</f>
        <v>82.3</v>
      </c>
      <c r="N63" s="2542"/>
      <c r="Z63" s="1751"/>
      <c r="AI63" s="1752"/>
    </row>
    <row r="64" spans="1:35" ht="14.25" customHeight="1">
      <c r="A64" s="169" t="s">
        <v>325</v>
      </c>
      <c r="B64" s="170" t="s">
        <v>1381</v>
      </c>
      <c r="C64" s="2564">
        <f ca="1">D45</f>
        <v>8231</v>
      </c>
      <c r="D64" s="170" t="s">
        <v>26</v>
      </c>
      <c r="E64" s="172"/>
      <c r="F64" s="1807"/>
      <c r="G64" s="1807"/>
      <c r="H64" s="1809"/>
      <c r="I64" s="129"/>
      <c r="J64" s="3599"/>
      <c r="K64" s="1331" t="s">
        <v>1382</v>
      </c>
      <c r="L64" s="1331">
        <f ca="1">IF(M49&gt;2000,M49*0.5%,IF(AND(M49&gt;1000,M49&lt;=2000),M49*0.6%,IF(AND(M49&gt;500,M49&lt;=1000),M49*0.7%,IF(AND(M49&gt;200,M49&lt;=500),M49*0.8%,IF(AND(M49&gt;100,M49&lt;=200),M49*0.9%,IF(AND(M49&gt;50,M49&lt;=100),M49*1%,IF(AND(M49&gt;20,M49&lt;=50),M49*1.5%,IF(AND(M49&gt;10,M49&lt;=20),M49*2%,IF(AND(M49&gt;1,M49&lt;=10),M49*2.5%)))))))))</f>
        <v>41.155000000000001</v>
      </c>
      <c r="M64" s="302">
        <f t="shared" ref="M64:M65" ca="1" si="1">ROUND(L64,1)</f>
        <v>41.2</v>
      </c>
      <c r="N64" s="2543" t="s">
        <v>1383</v>
      </c>
      <c r="Z64" s="1751"/>
      <c r="AI64" s="1752"/>
    </row>
    <row r="65" spans="1:35" ht="14.25" customHeight="1">
      <c r="A65" s="169" t="s">
        <v>326</v>
      </c>
      <c r="B65" s="170" t="s">
        <v>1384</v>
      </c>
      <c r="C65" s="2565"/>
      <c r="D65" s="170"/>
      <c r="E65" s="172"/>
      <c r="F65" s="1807"/>
      <c r="G65" s="1807"/>
      <c r="H65" s="1809"/>
      <c r="I65" s="129"/>
      <c r="J65" s="3599"/>
      <c r="K65" s="1331" t="s">
        <v>1385</v>
      </c>
      <c r="L65" s="1331">
        <f ca="1">IF(M49&gt;1000,M49*0.1%,IF(AND(M49&gt;500,M49&lt;=1000),M49*0.5%,IF(AND(M49&gt;50,M49&lt;=500),M49*1%,IF(AND(M49&gt;1,M49&lt;=50),M49*1.5%))))</f>
        <v>8.2309999999999999</v>
      </c>
      <c r="M65" s="302">
        <f t="shared" ca="1" si="1"/>
        <v>8.1999999999999993</v>
      </c>
      <c r="N65" s="2543" t="s">
        <v>1383</v>
      </c>
      <c r="Z65" s="1751"/>
      <c r="AI65" s="1752"/>
    </row>
    <row r="66" spans="1:35" ht="14.25" customHeight="1">
      <c r="A66" s="173" t="s">
        <v>327</v>
      </c>
      <c r="B66" s="174" t="s">
        <v>1386</v>
      </c>
      <c r="C66" s="2566"/>
      <c r="D66" s="174" t="s">
        <v>26</v>
      </c>
      <c r="E66" s="1337" t="s">
        <v>671</v>
      </c>
      <c r="F66" s="1807"/>
      <c r="G66" s="1807"/>
      <c r="H66" s="1809"/>
      <c r="I66" s="129"/>
      <c r="J66" s="3599"/>
      <c r="K66" s="1331" t="s">
        <v>1387</v>
      </c>
      <c r="L66" s="1331">
        <f ca="1">M49*0.5%</f>
        <v>41.155000000000001</v>
      </c>
      <c r="M66" s="302">
        <f ca="1">IF(L66&gt;0.5,0.5,ROUND(L66,0))</f>
        <v>0.5</v>
      </c>
      <c r="N66" s="2543" t="s">
        <v>1388</v>
      </c>
      <c r="Z66" s="1751"/>
      <c r="AI66" s="1752"/>
    </row>
    <row r="67" spans="1:35" ht="14.25" customHeight="1">
      <c r="A67" s="173" t="s">
        <v>328</v>
      </c>
      <c r="B67" s="174" t="s">
        <v>1389</v>
      </c>
      <c r="C67" s="2567">
        <f ca="1">C63-C66</f>
        <v>7839</v>
      </c>
      <c r="D67" s="170" t="s">
        <v>26</v>
      </c>
      <c r="E67" s="172"/>
      <c r="F67" s="1807"/>
      <c r="G67" s="1807"/>
      <c r="H67" s="1809"/>
      <c r="I67" s="129"/>
      <c r="J67" s="3599"/>
      <c r="K67" s="1331" t="s">
        <v>1390</v>
      </c>
      <c r="L67" s="1331">
        <f ca="1">IF(M49&gt;=10000,(8.25+(M49-10000)*0.01%),IF(AND(M49&gt;=8000,M49&lt;10000),(7.85+(M49-8000)*0.02%),IF(AND(M49&gt;=5000,M49&lt;8000),(6.65+(M49-5000)*0.04%),IF(AND(M49&gt;=2000,M49&lt;5000),(4.25+(PM49-2000)*0.08%),IF(AND(M49&gt;=1000,M49&lt;2000),(2.75+(M49-1000)*0.15%),IF(AND(M49&gt;=100,M49&lt;1000),(0.5+(M49-100)*0.25%),IF(AND(M49&gt;0,M49&lt;100),M49*0.5%)))))))</f>
        <v>7.8961999999999994</v>
      </c>
      <c r="M67" s="302">
        <f ca="1">ROUND(L67*0.9,1)</f>
        <v>7.1</v>
      </c>
      <c r="N67" s="2542"/>
      <c r="Z67" s="1751"/>
      <c r="AI67" s="1752"/>
    </row>
    <row r="68" spans="1:35" ht="14.25" customHeight="1" thickBot="1">
      <c r="A68" s="176" t="s">
        <v>329</v>
      </c>
      <c r="B68" s="177" t="s">
        <v>1391</v>
      </c>
      <c r="C68" s="2568">
        <f ca="1">IF(C67&lt;=0,0,ROUND(C67*D68,0))</f>
        <v>431</v>
      </c>
      <c r="D68" s="2569">
        <f>'数据-取费表'!B41</f>
        <v>5.5000000000000007E-2</v>
      </c>
      <c r="E68" s="178"/>
      <c r="F68" s="1807"/>
      <c r="G68" s="1807"/>
      <c r="H68" s="1809"/>
      <c r="I68" s="129"/>
      <c r="J68" s="3599"/>
      <c r="K68" s="1331" t="s">
        <v>1392</v>
      </c>
      <c r="L68" s="1331">
        <f ca="1">IF(M49&gt;10000,M49*0.5%,IF(AND(M49&gt;5000,M49&lt;=10000),M49*1%,IF(AND(M49&gt;1000,M49&lt;=5000),M49*2%,IF(AND(M49&gt;200,M49&lt;=1000),M49*3%,M49*5%))))</f>
        <v>82.31</v>
      </c>
      <c r="M68" s="302">
        <f ca="1">ROUND(L68,1)</f>
        <v>82.3</v>
      </c>
      <c r="N68" s="2542"/>
      <c r="Z68" s="1751"/>
      <c r="AI68" s="1752"/>
    </row>
    <row r="69" spans="1:35" s="1771" customFormat="1" ht="16.5" customHeight="1">
      <c r="A69" s="1810"/>
      <c r="B69" s="1811"/>
      <c r="C69" s="1812"/>
      <c r="D69" s="1813"/>
      <c r="E69" s="1814"/>
      <c r="F69" s="1577"/>
      <c r="G69" s="1577"/>
      <c r="H69" s="1576"/>
      <c r="I69" s="1746"/>
      <c r="J69" s="3599"/>
      <c r="K69" s="1331" t="s">
        <v>1393</v>
      </c>
      <c r="L69" s="1331"/>
      <c r="M69" s="302">
        <f ca="1">ROUND(SUM(M63:M68),0)</f>
        <v>222</v>
      </c>
      <c r="N69" s="2544">
        <f ca="1">M69/M49</f>
        <v>2.6971206414773418E-2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3" t="s">
        <v>1394</v>
      </c>
      <c r="B70" s="3644"/>
      <c r="C70" s="3644"/>
      <c r="D70" s="3644"/>
      <c r="E70" s="3644"/>
      <c r="F70" s="3644"/>
      <c r="G70" s="3644"/>
      <c r="H70" s="364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1375</v>
      </c>
      <c r="B71" s="363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7839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39</v>
      </c>
      <c r="D78" s="2576">
        <f>'数据-取费表'!B43</f>
        <v>5.000000000000001E-3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7800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200</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4666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1375</v>
      </c>
      <c r="B84" s="363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7839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1" t="s">
        <v>2127</v>
      </c>
      <c r="H90" s="3602"/>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2" t="s">
        <v>1422</v>
      </c>
      <c r="F92" s="3633"/>
      <c r="G92" s="3633"/>
      <c r="H92" s="3634"/>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39</v>
      </c>
      <c r="D93" s="2576">
        <f>'数据-取费表'!B43</f>
        <v>5.000000000000001E-3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7" t="s">
        <v>1426</v>
      </c>
      <c r="F94" s="3678"/>
      <c r="G94" s="3678"/>
      <c r="H94" s="36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7800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200</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4666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4" t="str">
        <f>C4</f>
        <v>成本法</v>
      </c>
      <c r="D101" s="2585" t="str">
        <f>D4</f>
        <v>收益法</v>
      </c>
      <c r="E101" s="3595" t="s">
        <v>1431</v>
      </c>
      <c r="F101" s="3596"/>
      <c r="G101" s="1826" t="s">
        <v>1432</v>
      </c>
      <c r="H101" s="2594">
        <f ca="1">H118</f>
        <v>8231</v>
      </c>
      <c r="I101" s="129"/>
    </row>
    <row r="102" spans="1:35" ht="18.75" customHeight="1">
      <c r="A102" s="3627" t="s">
        <v>1433</v>
      </c>
      <c r="B102" s="2583" t="s">
        <v>1432</v>
      </c>
      <c r="C102" s="2584">
        <f ca="1">IF(D32="楼面单价",ROUND(C19,0),C19)</f>
        <v>8400</v>
      </c>
      <c r="D102" s="2585">
        <f ca="1">IF(D32="楼面单价",ROUND(D19,0),D19)</f>
        <v>8062</v>
      </c>
      <c r="E102" s="3595"/>
      <c r="F102" s="3596"/>
      <c r="G102" s="1826" t="s">
        <v>1434</v>
      </c>
      <c r="H102" s="2554">
        <f ca="1">I118</f>
        <v>6186</v>
      </c>
      <c r="I102" s="129"/>
    </row>
    <row r="103" spans="1:35" ht="42.75" customHeight="1">
      <c r="A103" s="3627"/>
      <c r="B103" s="2583" t="s">
        <v>1434</v>
      </c>
      <c r="C103" s="2586">
        <f ca="1">C20</f>
        <v>6313</v>
      </c>
      <c r="D103" s="2587">
        <f ca="1">D20</f>
        <v>6059</v>
      </c>
      <c r="E103" s="3588" t="s">
        <v>1435</v>
      </c>
      <c r="F103" s="3589"/>
      <c r="G103" s="1827" t="s">
        <v>1436</v>
      </c>
      <c r="H103" s="2594">
        <f>IF(D36="正常操作",H104+H105+H106,H105+H106)</f>
        <v>0</v>
      </c>
      <c r="I103" s="129"/>
    </row>
    <row r="104" spans="1:35" ht="18.75" customHeight="1">
      <c r="A104" s="3627" t="s">
        <v>1437</v>
      </c>
      <c r="B104" s="2588" t="s">
        <v>1432</v>
      </c>
      <c r="C104" s="2589">
        <f ca="1">H118</f>
        <v>8231</v>
      </c>
      <c r="D104" s="2590"/>
      <c r="E104" s="1673" t="s">
        <v>1438</v>
      </c>
      <c r="F104" s="1665"/>
      <c r="G104" s="1827" t="s">
        <v>1436</v>
      </c>
      <c r="H104" s="2595">
        <f>IF(D36="同一抵押权人同一抵押物续贷",C36&amp;"（续贷，未扣减，详见特别提示）",C36)</f>
        <v>0</v>
      </c>
      <c r="I104" s="129"/>
    </row>
    <row r="105" spans="1:35" ht="18.75" customHeight="1" thickBot="1">
      <c r="A105" s="3637"/>
      <c r="B105" s="2591" t="s">
        <v>1434</v>
      </c>
      <c r="C105" s="2592">
        <f ca="1">I118</f>
        <v>6186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8" t="str">
        <f>IF(项目基本情况!E8="已注销","——","3.房地产抵押价值")</f>
        <v>3.房地产抵押价值</v>
      </c>
      <c r="F107" s="3596"/>
      <c r="G107" s="1826" t="s">
        <v>1432</v>
      </c>
      <c r="H107" s="2594">
        <f ca="1">IF(E107="——","——",H101-H103)</f>
        <v>8231</v>
      </c>
      <c r="I107" s="129"/>
    </row>
    <row r="108" spans="1:35" ht="18.75" customHeight="1">
      <c r="A108" s="129"/>
      <c r="B108" s="129"/>
      <c r="C108" s="129"/>
      <c r="D108" s="129"/>
      <c r="E108" s="3628"/>
      <c r="F108" s="3596"/>
      <c r="G108" s="1826" t="s">
        <v>1434</v>
      </c>
      <c r="H108" s="2554">
        <f ca="1">IF(H107=H101,H102,ROUND(H107*10000/'数据-汇总表'!E3,0))</f>
        <v>6186</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6" t="s">
        <v>1432</v>
      </c>
      <c r="H109" s="2597" t="str">
        <f>IF(E109="——","——",H101-H105-H106)</f>
        <v>——</v>
      </c>
      <c r="I109" s="129"/>
    </row>
    <row r="110" spans="1:35" ht="18.75" customHeight="1">
      <c r="A110" s="129"/>
      <c r="B110" s="129"/>
      <c r="C110" s="129"/>
      <c r="D110" s="129"/>
      <c r="E110" s="3628"/>
      <c r="F110" s="3596"/>
      <c r="G110" s="1826" t="s">
        <v>1434</v>
      </c>
      <c r="H110" s="2554"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4" t="str">
        <f>IF(E111="——","——",N59)</f>
        <v>——</v>
      </c>
      <c r="I111" s="129"/>
    </row>
    <row r="112" spans="1:35" ht="18.75" customHeight="1" thickBot="1">
      <c r="A112" s="129"/>
      <c r="B112" s="129"/>
      <c r="C112" s="129"/>
      <c r="D112" s="129"/>
      <c r="E112" s="3630"/>
      <c r="F112" s="3631"/>
      <c r="G112" s="1829" t="s">
        <v>1434</v>
      </c>
      <c r="H112" s="2598"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4247</v>
      </c>
      <c r="E118" s="2328">
        <f ca="1">ROUND(IF(C33="自定义",IF(D32="楼面单价",C34,D118*10000/B118),I118-G118),0)</f>
        <v>3192</v>
      </c>
      <c r="F118" s="2328">
        <f ca="1">ROUND(IF(D32="总价",C35,G118*B118/10000),0)</f>
        <v>3984</v>
      </c>
      <c r="G118" s="2328">
        <f ca="1">ROUND(IF(D32="楼面单价",C35,F118*10000/B118),0)</f>
        <v>2994</v>
      </c>
      <c r="H118" s="2328">
        <f ca="1">ROUND(IF(D32="总价",C32,I118*B118/10000),0)</f>
        <v>8231</v>
      </c>
      <c r="I118" s="2328">
        <f ca="1">ROUND(IF(D32="楼面单价",C32,H118*10000/B118),0)</f>
        <v>6186</v>
      </c>
      <c r="K118" s="725">
        <f ca="1">D118/(C118/666.67)</f>
        <v>132.12986664501327</v>
      </c>
    </row>
    <row r="119" spans="1:27" ht="18.75" customHeight="1">
      <c r="A119" s="3603" t="s">
        <v>1452</v>
      </c>
      <c r="B119" s="3603"/>
      <c r="C119" s="3603"/>
      <c r="D119" s="3609" t="str">
        <f ca="1">NUMBERSTRING(INT(D118*10000),2)&amp;"元整"</f>
        <v>肆仟贰佰肆拾柒万元整</v>
      </c>
      <c r="E119" s="3610"/>
      <c r="F119" s="3609" t="str">
        <f ca="1">NUMBERSTRING(INT(F118*10000),2)&amp;"元整"</f>
        <v>叁仟玖佰捌拾肆万元整</v>
      </c>
      <c r="G119" s="3610"/>
      <c r="H119" s="3609" t="str">
        <f ca="1">NUMBERSTRING(INT(H118*10000),2)&amp;"元整"</f>
        <v>捌仟贰佰叁拾壹万元整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f ca="1">H107</f>
        <v>8231</v>
      </c>
      <c r="E122" s="3605"/>
      <c r="F122" s="3605"/>
      <c r="G122" s="3605"/>
      <c r="H122" s="3605"/>
      <c r="I122" s="3606"/>
      <c r="AA122" s="725"/>
    </row>
    <row r="123" spans="1:27" ht="18.75" customHeight="1">
      <c r="A123" s="3603" t="s">
        <v>1452</v>
      </c>
      <c r="B123" s="3603"/>
      <c r="C123" s="3603"/>
      <c r="D123" s="3609" t="str">
        <f ca="1">NUMBERSTRING(INT(D122*10000),2)&amp;"元整"</f>
        <v>捌仟贰佰叁拾壹万元整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8400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6313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3576</v>
      </c>
      <c r="D5" s="211" t="s">
        <v>1469</v>
      </c>
      <c r="E5" s="212" t="s">
        <v>1470</v>
      </c>
      <c r="F5" s="212" t="s">
        <v>1471</v>
      </c>
      <c r="G5" s="213"/>
    </row>
    <row r="6" spans="1:9" s="214" customFormat="1" ht="13.5" customHeight="1">
      <c r="A6" s="778" t="s">
        <v>1472</v>
      </c>
      <c r="B6" s="215" t="s">
        <v>1473</v>
      </c>
      <c r="C6" s="216">
        <f>'土地比较法-工业'!B2</f>
        <v>3225</v>
      </c>
      <c r="D6" s="217"/>
      <c r="E6" s="218"/>
      <c r="F6" s="218"/>
      <c r="G6" s="219"/>
    </row>
    <row r="7" spans="1:9" s="214" customFormat="1" ht="13.5" customHeight="1">
      <c r="A7" s="778" t="s">
        <v>1474</v>
      </c>
      <c r="B7" s="215" t="s">
        <v>1475</v>
      </c>
      <c r="C7" s="220">
        <f>ROUND(C6*F7,0)</f>
        <v>98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3422</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3423</v>
      </c>
    </row>
    <row r="20" spans="1:7" s="214" customFormat="1" ht="13.5" customHeight="1">
      <c r="A20" s="255" t="s">
        <v>1493</v>
      </c>
      <c r="B20" s="210" t="s">
        <v>1494</v>
      </c>
      <c r="C20" s="232">
        <f ca="1">ROUND((C5+C19)*F20,0)</f>
        <v>72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108</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255</v>
      </c>
      <c r="D27" s="235">
        <f ca="1">C29</f>
        <v>1.4E-3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ROUND((C5+C19+C20)*F27*'数据-取费表'!B21/'数据-取费表'!B20,0)</f>
        <v>255</v>
      </c>
      <c r="D28" s="235"/>
      <c r="E28" s="236"/>
      <c r="F28" s="246"/>
      <c r="G28" s="247"/>
    </row>
    <row r="29" spans="1:7" s="214" customFormat="1" ht="13.5" customHeight="1">
      <c r="A29" s="780" t="s">
        <v>347</v>
      </c>
      <c r="B29" s="248" t="s">
        <v>1517</v>
      </c>
      <c r="C29" s="238">
        <f ca="1">ROUND(C21*F27*'数据-取费表'!B21/'数据-取费表'!B20,4)</f>
        <v>1.4E-3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4332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200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91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68</v>
      </c>
      <c r="D42" s="238"/>
      <c r="E42" s="238"/>
      <c r="F42" s="239"/>
      <c r="G42" s="3682" t="s">
        <v>1544</v>
      </c>
    </row>
    <row r="43" spans="1:7" ht="13.5" customHeight="1">
      <c r="A43" s="780" t="s">
        <v>347</v>
      </c>
      <c r="B43" s="215" t="s">
        <v>1545</v>
      </c>
      <c r="C43" s="238">
        <f ca="1">ROUND(IF('数据-取费表'!B22&lt;=1,C39*F22*'数据-取费表'!B21/2,C39*(POWER((1+F22),'数据-取费表'!B21/2)-1)),0)</f>
        <v>1</v>
      </c>
      <c r="D43" s="238"/>
      <c r="E43" s="238"/>
      <c r="F43" s="239"/>
      <c r="G43" s="3683"/>
    </row>
    <row r="44" spans="1:7" ht="13.5" customHeight="1">
      <c r="A44" s="780" t="s">
        <v>348</v>
      </c>
      <c r="B44" s="215" t="s">
        <v>1546</v>
      </c>
      <c r="C44" s="238">
        <f ca="1">ROUND(IF('数据-取费表'!B22&lt;=1,C40*F22*'数据-取费表'!B21/2,C40*(POWER((1+F22),'数据-取费表'!B21/2)-1)),4)</f>
        <v>2.9999999999999997E-4</v>
      </c>
      <c r="D44" s="238"/>
      <c r="E44" s="238"/>
      <c r="F44" s="239"/>
      <c r="G44" s="3684"/>
    </row>
    <row r="45" spans="1:7" s="214" customFormat="1" ht="13.5" customHeight="1">
      <c r="A45" s="255" t="s">
        <v>1547</v>
      </c>
      <c r="B45" s="244" t="s">
        <v>1513</v>
      </c>
      <c r="C45" s="245">
        <f ca="1">C46</f>
        <v>324</v>
      </c>
      <c r="D45" s="235">
        <f ca="1">C47</f>
        <v>1.4E-3</v>
      </c>
      <c r="E45" s="236" t="s">
        <v>1539</v>
      </c>
      <c r="F45" s="246">
        <f ca="1">F27</f>
        <v>7.0000000000000007E-2</v>
      </c>
      <c r="G45" s="247" t="s">
        <v>1548</v>
      </c>
    </row>
    <row r="46" spans="1:7" s="214" customFormat="1" ht="13.5" customHeight="1">
      <c r="A46" s="780" t="s">
        <v>346</v>
      </c>
      <c r="B46" s="248" t="s">
        <v>1549</v>
      </c>
      <c r="C46" s="249">
        <f ca="1">ROUND((C33+C39)*F27,0)</f>
        <v>324</v>
      </c>
      <c r="D46" s="263"/>
      <c r="E46" s="236"/>
      <c r="F46" s="246"/>
      <c r="G46" s="247"/>
    </row>
    <row r="47" spans="1:7" s="214" customFormat="1" ht="13.5" customHeight="1">
      <c r="A47" s="780" t="s">
        <v>347</v>
      </c>
      <c r="B47" s="248" t="s">
        <v>1550</v>
      </c>
      <c r="C47" s="238">
        <f ca="1">ROUND(C40*F27,4)</f>
        <v>1.4E-3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5424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4068</v>
      </c>
      <c r="D51" s="232"/>
      <c r="E51" s="232"/>
      <c r="F51" s="264"/>
      <c r="G51" s="234" t="s">
        <v>1560</v>
      </c>
    </row>
    <row r="52" spans="1:7" s="208" customFormat="1" ht="16.5" thickBot="1">
      <c r="A52" s="265" t="s">
        <v>1561</v>
      </c>
      <c r="B52" s="266"/>
      <c r="C52" s="267">
        <f ca="1">C31+C51</f>
        <v>8400</v>
      </c>
      <c r="D52" s="266"/>
      <c r="E52" s="266"/>
      <c r="F52" s="266"/>
      <c r="G52" s="268"/>
    </row>
    <row r="55" spans="1:7" ht="15">
      <c r="B55" s="270" t="s">
        <v>1562</v>
      </c>
      <c r="C55" s="271"/>
    </row>
    <row r="56" spans="1:7">
      <c r="B56" s="273" t="s">
        <v>802</v>
      </c>
      <c r="C56" s="275">
        <f ca="1">1-C57</f>
        <v>0.51600000000000001</v>
      </c>
    </row>
    <row r="57" spans="1:7">
      <c r="B57" s="273" t="s">
        <v>803</v>
      </c>
      <c r="C57" s="274">
        <f ca="1">ROUND(C51/C52,3)</f>
        <v>0.48399999999999999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北京市房地产抵押价值预评估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4696.0520999999999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157233</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75842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79834</v>
      </c>
      <c r="D24" s="238"/>
      <c r="E24" s="238"/>
      <c r="F24" s="239"/>
      <c r="G24" s="240" t="s">
        <v>1586</v>
      </c>
    </row>
    <row r="25" spans="1:7" s="214" customFormat="1" ht="24">
      <c r="A25" s="780" t="s">
        <v>1476</v>
      </c>
      <c r="B25" s="215" t="s">
        <v>1587</v>
      </c>
      <c r="C25" s="1128">
        <f ca="1">ROUND(IF('数据-取费表'!B22&lt;=1,C20*F22*'数据-取费表'!B22/2,C20*(POWER((1+F22),'数据-取费表'!B22/2)-1)),0)</f>
        <v>1557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370508</v>
      </c>
      <c r="D27" s="235">
        <f ca="1">C29</f>
        <v>1.4E-3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ROUND((C5+C19+C20)*F27,0)</f>
        <v>370508</v>
      </c>
      <c r="D28" s="235"/>
      <c r="E28" s="236"/>
      <c r="F28" s="246"/>
      <c r="G28" s="247"/>
    </row>
    <row r="29" spans="1:7" s="214" customFormat="1" ht="13.5" customHeight="1">
      <c r="A29" s="780" t="s">
        <v>347</v>
      </c>
      <c r="B29" s="248" t="s">
        <v>1517</v>
      </c>
      <c r="C29" s="238">
        <f ca="1">ROUND(C21*F27,4)</f>
        <v>1.4E-3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45372164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1995843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907443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694194</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680582</v>
      </c>
      <c r="D42" s="238"/>
      <c r="E42" s="238"/>
      <c r="F42" s="239"/>
      <c r="G42" s="3682" t="s">
        <v>1591</v>
      </c>
    </row>
    <row r="43" spans="1:7" ht="13.5" customHeight="1">
      <c r="A43" s="780" t="s">
        <v>347</v>
      </c>
      <c r="B43" s="215" t="s">
        <v>1545</v>
      </c>
      <c r="C43" s="238">
        <f ca="1">ROUND(IF('数据-取费表'!B22&lt;=1,C39*F22*'数据-取费表'!B20/2,C39*(POWER((1+F22),'数据-取费表'!B20/2)-1)),0)</f>
        <v>13612</v>
      </c>
      <c r="D43" s="238"/>
      <c r="E43" s="238"/>
      <c r="F43" s="239"/>
      <c r="G43" s="3683"/>
    </row>
    <row r="44" spans="1:7" ht="13.5" customHeight="1">
      <c r="A44" s="780" t="s">
        <v>348</v>
      </c>
      <c r="B44" s="215" t="s">
        <v>1546</v>
      </c>
      <c r="C44" s="238">
        <f ca="1">ROUND(IF('数据-取费表'!B22&lt;=1,C40*F22*'数据-取费表'!B20/2,C40*(POWER((1+F22),'数据-取费表'!B20/2)-1)),4)</f>
        <v>2.9999999999999997E-4</v>
      </c>
      <c r="D44" s="238"/>
      <c r="E44" s="238"/>
      <c r="F44" s="239"/>
      <c r="G44" s="3684"/>
    </row>
    <row r="45" spans="1:7" s="214" customFormat="1" ht="13.5" customHeight="1">
      <c r="A45" s="255" t="s">
        <v>1547</v>
      </c>
      <c r="B45" s="244" t="s">
        <v>1513</v>
      </c>
      <c r="C45" s="245">
        <f ca="1">C46</f>
        <v>3239572</v>
      </c>
      <c r="D45" s="235">
        <f ca="1">C47</f>
        <v>1.4E-3</v>
      </c>
      <c r="E45" s="236" t="s">
        <v>1539</v>
      </c>
      <c r="F45" s="246">
        <f ca="1">F27</f>
        <v>7.0000000000000007E-2</v>
      </c>
      <c r="G45" s="247" t="s">
        <v>1548</v>
      </c>
    </row>
    <row r="46" spans="1:7" s="214" customFormat="1" ht="13.5" customHeight="1">
      <c r="A46" s="780" t="s">
        <v>346</v>
      </c>
      <c r="B46" s="248" t="s">
        <v>1549</v>
      </c>
      <c r="C46" s="249">
        <f ca="1">ROUND((C33+C39)*F27,0)</f>
        <v>3239572</v>
      </c>
      <c r="D46" s="263"/>
      <c r="E46" s="236"/>
      <c r="F46" s="246"/>
      <c r="G46" s="247"/>
    </row>
    <row r="47" spans="1:7" s="214" customFormat="1" ht="13.5" customHeight="1">
      <c r="A47" s="780" t="s">
        <v>347</v>
      </c>
      <c r="B47" s="248" t="s">
        <v>1550</v>
      </c>
      <c r="C47" s="238">
        <f ca="1">ROUND(C40*F27,4)</f>
        <v>1.4E-3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54231961</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40673971</v>
      </c>
      <c r="D51" s="232"/>
      <c r="E51" s="232"/>
      <c r="F51" s="264"/>
      <c r="G51" s="234" t="s">
        <v>1560</v>
      </c>
    </row>
    <row r="52" spans="1:7" s="208" customFormat="1" ht="16.5" thickBot="1">
      <c r="A52" s="265" t="s">
        <v>1561</v>
      </c>
      <c r="B52" s="266"/>
      <c r="C52" s="267">
        <f ca="1">C31+C51</f>
        <v>46960521</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7.0000000000000007E-2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Normal="70" zoomScaleSheetLayoutView="10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31.69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8062</v>
      </c>
      <c r="C2" s="1386" t="s">
        <v>805</v>
      </c>
      <c r="D2" s="1386"/>
      <c r="E2" s="1387"/>
      <c r="F2" s="1388"/>
      <c r="G2" s="2705"/>
      <c r="H2" s="2694"/>
      <c r="I2" s="2694"/>
      <c r="J2" s="2694"/>
      <c r="K2" s="2695"/>
      <c r="L2" s="2694"/>
      <c r="M2" s="2694"/>
    </row>
    <row r="3" spans="1:37" ht="18" customHeight="1" thickBot="1">
      <c r="A3" s="1389" t="s">
        <v>806</v>
      </c>
      <c r="B3" s="1390">
        <f ca="1">IF(ISERROR(B2*10000/F43),0,ROUND(B2*10000/F43,0))</f>
        <v>6059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87" t="s">
        <v>694</v>
      </c>
      <c r="C6" s="1074">
        <f ca="1">ROUND(F6*F8*F7*(1-F9)/10000,0)</f>
        <v>525</v>
      </c>
      <c r="D6" s="155" t="s">
        <v>2107</v>
      </c>
      <c r="E6" s="302" t="s">
        <v>696</v>
      </c>
      <c r="F6" s="303">
        <f ca="1">INDIRECT("'数据-取费表'!u"&amp;$G$1)</f>
        <v>1.2</v>
      </c>
      <c r="G6" s="1383"/>
      <c r="H6" s="1069" t="s">
        <v>398</v>
      </c>
      <c r="I6" s="3687" t="s">
        <v>694</v>
      </c>
      <c r="J6" s="301">
        <f ca="1">ROUND(M6*M8*M7*(1-M9)/10000,0)</f>
        <v>0</v>
      </c>
      <c r="K6" s="155" t="s">
        <v>2106</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13305.62</v>
      </c>
      <c r="G7" s="1383"/>
      <c r="H7" s="304"/>
      <c r="I7" s="3688"/>
      <c r="J7" s="306"/>
      <c r="K7" s="307"/>
      <c r="L7" s="302" t="s">
        <v>697</v>
      </c>
      <c r="M7" s="303">
        <f ca="1">F7</f>
        <v>13305.62</v>
      </c>
    </row>
    <row r="8" spans="1:37" ht="18" customHeight="1">
      <c r="A8" s="304"/>
      <c r="B8" s="3688"/>
      <c r="C8" s="306"/>
      <c r="D8" s="307"/>
      <c r="E8" s="302" t="s">
        <v>698</v>
      </c>
      <c r="F8" s="303">
        <f ca="1">INDIRECT("'数据-取费表'!ai"&amp;$G$1)</f>
        <v>365</v>
      </c>
      <c r="G8" s="1383"/>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2115</v>
      </c>
      <c r="E10" s="313" t="s">
        <v>701</v>
      </c>
      <c r="F10" s="1116" t="s">
        <v>3424</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4068</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5424</v>
      </c>
      <c r="K14" s="12"/>
      <c r="L14" s="807"/>
      <c r="M14" s="808"/>
    </row>
    <row r="15" spans="1:37" s="1396" customFormat="1" ht="18" customHeight="1" thickBot="1">
      <c r="A15" s="982" t="s">
        <v>399</v>
      </c>
      <c r="B15" s="302" t="s">
        <v>710</v>
      </c>
      <c r="C15" s="21">
        <f ca="1">ROUND(C14*F15,0)</f>
        <v>200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4538</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91</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10.85</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69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v>
      </c>
      <c r="K25" s="1095" t="s">
        <v>753</v>
      </c>
      <c r="L25" s="1096"/>
      <c r="M25" s="1097"/>
    </row>
    <row r="26" spans="1:37">
      <c r="A26" s="982" t="s">
        <v>397</v>
      </c>
      <c r="B26" s="302" t="s">
        <v>754</v>
      </c>
      <c r="C26" s="21">
        <f ca="1">ROUND((C19+C20)*F26,0)</f>
        <v>324</v>
      </c>
      <c r="D26" s="323" t="s">
        <v>755</v>
      </c>
      <c r="E26" s="313" t="s">
        <v>756</v>
      </c>
      <c r="F26" s="312">
        <f ca="1">INDIRECT("'数据-取费表'!q"&amp;$G$1)</f>
        <v>7.0000000000000007E-2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1.4E-3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5424</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111</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10.85</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4.07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5.26</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415</v>
      </c>
      <c r="D39" s="1095" t="s">
        <v>773</v>
      </c>
      <c r="E39" s="1096"/>
      <c r="F39" s="1097"/>
      <c r="G39" s="1383"/>
      <c r="H39" s="2699"/>
      <c r="I39" s="1397"/>
      <c r="J39" s="1398"/>
      <c r="K39" s="2703"/>
      <c r="L39" s="2699"/>
      <c r="M39" s="2699"/>
    </row>
    <row r="40" spans="1:18" ht="18" customHeight="1">
      <c r="A40" s="299" t="s">
        <v>395</v>
      </c>
      <c r="B40" s="300" t="s">
        <v>774</v>
      </c>
      <c r="C40" s="301">
        <f ca="1">ROUND(C39*(1-((1+F42)/(1+F40))^F41)/(F40-F42),0)</f>
        <v>7808</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31.69</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5868</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-8091</v>
      </c>
      <c r="D46" s="1405" t="str">
        <f>C2</f>
        <v>万元</v>
      </c>
      <c r="E46" s="1399"/>
      <c r="F46" s="1399"/>
      <c r="I46" s="1406" t="s">
        <v>810</v>
      </c>
      <c r="J46" s="1407"/>
      <c r="K46" s="1408"/>
      <c r="L46" s="1409">
        <f ca="1">IF(M47="住宅",0,IF(L48&gt;J51,L60,J60))</f>
        <v>254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3425</v>
      </c>
      <c r="K47" s="1415" t="s">
        <v>816</v>
      </c>
      <c r="L47" s="1416">
        <f ca="1">INDIRECT("'数据-取费表'!d"&amp;$G$1)</f>
        <v>50</v>
      </c>
      <c r="M47" s="1379" t="str">
        <f>IF(ISNUMBER(FIND("住宅",C1)),"住宅","非住宅")</f>
        <v>非住宅</v>
      </c>
      <c r="O47" s="1417" t="s">
        <v>403</v>
      </c>
      <c r="P47" s="1418" t="s">
        <v>817</v>
      </c>
      <c r="Q47" s="1419">
        <f ca="1">C40+J29</f>
        <v>7808</v>
      </c>
      <c r="R47" s="1419" t="s">
        <v>818</v>
      </c>
    </row>
    <row r="48" spans="1:18" s="1383" customFormat="1" ht="28.5" thickBot="1">
      <c r="A48" s="1110" t="s">
        <v>438</v>
      </c>
      <c r="B48" s="300" t="s">
        <v>692</v>
      </c>
      <c r="C48" s="1358">
        <f ca="1">C49+C53+C55</f>
        <v>0</v>
      </c>
      <c r="D48" s="1112"/>
      <c r="E48" s="1113"/>
      <c r="F48" s="962"/>
      <c r="G48" s="722"/>
      <c r="H48" s="723"/>
      <c r="I48" s="1420" t="s">
        <v>819</v>
      </c>
      <c r="J48" s="1421" t="s">
        <v>3426</v>
      </c>
      <c r="K48" s="1422" t="s">
        <v>820</v>
      </c>
      <c r="L48" s="1423">
        <f ca="1">INDIRECT("'数据-取费表'!f"&amp;$G$1)</f>
        <v>31.69</v>
      </c>
      <c r="O48" s="1417" t="s">
        <v>404</v>
      </c>
      <c r="P48" s="1418" t="s">
        <v>821</v>
      </c>
      <c r="Q48" s="1419">
        <f ca="1">J60</f>
        <v>254</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5424</v>
      </c>
      <c r="R49" s="1419" t="s">
        <v>818</v>
      </c>
    </row>
    <row r="50" spans="1:18" s="1383" customFormat="1" ht="13.5" thickBot="1">
      <c r="A50" s="976"/>
      <c r="B50" s="979"/>
      <c r="C50" s="1118"/>
      <c r="D50" s="953"/>
      <c r="E50" s="1056" t="s">
        <v>697</v>
      </c>
      <c r="F50" s="1057">
        <f ca="1">F7</f>
        <v>13305.62</v>
      </c>
      <c r="H50" s="723"/>
      <c r="I50" s="1420" t="s">
        <v>826</v>
      </c>
      <c r="J50" s="1428">
        <f>SUMPRODUCT((I63:I65=J47)*(J62:L62=J48)*(J63:L65))</f>
        <v>80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58</v>
      </c>
      <c r="K51" s="1433" t="s">
        <v>830</v>
      </c>
      <c r="L51" s="1434">
        <f ca="1">ROUND(-PV(INDIRECT("'数据-取费表'!h"&amp;$G$1),J51,(C39-C13*C76),0),0)</f>
        <v>2669</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31.69</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31.69</v>
      </c>
      <c r="K53" s="3685" t="s">
        <v>837</v>
      </c>
      <c r="L53" s="3686"/>
      <c r="O53" s="1417" t="s">
        <v>409</v>
      </c>
      <c r="P53" s="1418" t="s">
        <v>838</v>
      </c>
      <c r="Q53" s="1419">
        <f ca="1">Q47+Q48</f>
        <v>8062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0.34200000000000003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4068</v>
      </c>
      <c r="D56" s="1446"/>
      <c r="E56" s="1447"/>
      <c r="F56" s="1439"/>
      <c r="I56" s="1448" t="s">
        <v>842</v>
      </c>
      <c r="J56" s="1449" t="s">
        <v>3427</v>
      </c>
      <c r="K56" s="1420" t="s">
        <v>843</v>
      </c>
      <c r="L56" s="1423" t="str">
        <f ca="1">IF(L48&lt;J51,"——",L48-J53)</f>
        <v>——</v>
      </c>
      <c r="O56" s="1417" t="s">
        <v>403</v>
      </c>
      <c r="P56" s="1418" t="s">
        <v>817</v>
      </c>
      <c r="Q56" s="1419">
        <f ca="1">C40+J29</f>
        <v>7808</v>
      </c>
      <c r="R56" s="1419" t="s">
        <v>818</v>
      </c>
    </row>
    <row r="57" spans="1:18" s="1383" customFormat="1" ht="24.75" thickBot="1">
      <c r="A57" s="1450"/>
      <c r="B57" s="950" t="s">
        <v>767</v>
      </c>
      <c r="C57" s="238">
        <f ca="1">C29</f>
        <v>5424</v>
      </c>
      <c r="D57" s="1451"/>
      <c r="E57" s="1452"/>
      <c r="F57" s="1453"/>
      <c r="I57" s="1454" t="s">
        <v>844</v>
      </c>
      <c r="J57" s="1455">
        <f ca="1">IF(OR(M47="住宅",J51&lt;L48,J56="是"),"——",J51-L48)</f>
        <v>26.31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2170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254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7808</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10.85</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4.07</v>
      </c>
      <c r="D65" s="964" t="s">
        <v>743</v>
      </c>
      <c r="E65" s="950" t="s">
        <v>744</v>
      </c>
      <c r="F65" s="330">
        <f t="shared" ca="1" si="0"/>
        <v>1E-3</v>
      </c>
      <c r="I65" s="1461" t="s">
        <v>867</v>
      </c>
      <c r="J65" s="1462">
        <v>40</v>
      </c>
      <c r="K65" s="1462">
        <v>30</v>
      </c>
      <c r="L65" s="1462">
        <v>50</v>
      </c>
      <c r="M65" s="1464">
        <v>0.02</v>
      </c>
      <c r="O65" s="1417" t="s">
        <v>403</v>
      </c>
      <c r="P65" s="1418" t="s">
        <v>868</v>
      </c>
      <c r="Q65" s="1419">
        <f ca="1">C40+J29</f>
        <v>7808</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-18</v>
      </c>
      <c r="D67" s="963" t="s">
        <v>753</v>
      </c>
      <c r="E67" s="968"/>
      <c r="F67" s="969"/>
      <c r="O67" s="1427" t="s">
        <v>405</v>
      </c>
      <c r="P67" s="1418" t="s">
        <v>850</v>
      </c>
      <c r="Q67" s="1465">
        <f ca="1">L51</f>
        <v>2669</v>
      </c>
      <c r="R67" s="1419" t="s">
        <v>870</v>
      </c>
    </row>
    <row r="68" spans="1:18" s="1383" customFormat="1" ht="16.5" thickBot="1">
      <c r="A68" s="947" t="s">
        <v>395</v>
      </c>
      <c r="B68" s="948" t="s">
        <v>774</v>
      </c>
      <c r="C68" s="301">
        <f ca="1">ROUND(C67*(1-((1+F70)/(1+F68))^F69)/(F68-F70),0)</f>
        <v>-283</v>
      </c>
      <c r="D68" s="965" t="s">
        <v>758</v>
      </c>
      <c r="E68" s="950" t="s">
        <v>759</v>
      </c>
      <c r="F68" s="312">
        <f ca="1">F40</f>
        <v>0.05</v>
      </c>
      <c r="O68" s="1427" t="s">
        <v>406</v>
      </c>
      <c r="P68" s="1466" t="s">
        <v>871</v>
      </c>
      <c r="Q68" s="1419">
        <f ca="1">ROUND(Q69-Q70*Q71,0)</f>
        <v>130</v>
      </c>
      <c r="R68" s="1419" t="s">
        <v>414</v>
      </c>
    </row>
    <row r="69" spans="1:18" s="1383" customFormat="1" ht="13.5" thickBot="1">
      <c r="A69" s="951"/>
      <c r="B69" s="952"/>
      <c r="C69" s="306"/>
      <c r="D69" s="970" t="s">
        <v>762</v>
      </c>
      <c r="E69" s="950" t="s">
        <v>763</v>
      </c>
      <c r="F69" s="333">
        <f ca="1">F41</f>
        <v>31.69</v>
      </c>
      <c r="O69" s="1427" t="s">
        <v>411</v>
      </c>
      <c r="P69" s="1466" t="s">
        <v>872</v>
      </c>
      <c r="Q69" s="1419">
        <f ca="1">C39</f>
        <v>415</v>
      </c>
      <c r="R69" s="1419" t="s">
        <v>818</v>
      </c>
    </row>
    <row r="70" spans="1:18" s="1383" customFormat="1" ht="13.5" thickBot="1">
      <c r="A70" s="954"/>
      <c r="B70" s="955"/>
      <c r="C70" s="310"/>
      <c r="D70" s="966"/>
      <c r="E70" s="950" t="s">
        <v>766</v>
      </c>
      <c r="F70" s="1054"/>
      <c r="O70" s="1427" t="s">
        <v>412</v>
      </c>
      <c r="P70" s="1466" t="s">
        <v>873</v>
      </c>
      <c r="Q70" s="1419">
        <f ca="1">C13</f>
        <v>4068</v>
      </c>
      <c r="R70" s="1419" t="s">
        <v>818</v>
      </c>
    </row>
    <row r="71" spans="1:18" s="1383" customFormat="1" ht="13.5" thickBot="1">
      <c r="A71" s="971" t="s">
        <v>396</v>
      </c>
      <c r="B71" s="972" t="s">
        <v>776</v>
      </c>
      <c r="C71" s="336">
        <f ca="1">ROUND(C68*10000/F71,0)</f>
        <v>-213</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285</v>
      </c>
      <c r="D75" s="1383"/>
      <c r="E75" s="1383"/>
      <c r="F75" s="1383"/>
      <c r="K75" s="1401"/>
      <c r="L75" s="1383"/>
      <c r="O75" s="1417" t="s">
        <v>409</v>
      </c>
      <c r="P75" s="1418" t="s">
        <v>838</v>
      </c>
      <c r="Q75" s="1419">
        <f ca="1">Q65+Q66</f>
        <v>7808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0.31299999999999994</v>
      </c>
    </row>
    <row r="80" spans="1:18">
      <c r="B80" s="340" t="s">
        <v>800</v>
      </c>
      <c r="C80" s="274">
        <f ca="1">ROUND(C75/C39,3)</f>
        <v>0.68700000000000006</v>
      </c>
    </row>
    <row r="81" spans="2:3">
      <c r="B81" s="270" t="s">
        <v>801</v>
      </c>
      <c r="C81" s="238"/>
    </row>
    <row r="82" spans="2:3">
      <c r="B82" s="273" t="s">
        <v>802</v>
      </c>
      <c r="C82" s="275">
        <f ca="1">1-C83</f>
        <v>0.47899999999999998</v>
      </c>
    </row>
    <row r="83" spans="2:3">
      <c r="B83" s="273" t="s">
        <v>803</v>
      </c>
      <c r="C83" s="274">
        <f ca="1">ROUND(C13/C40,3)</f>
        <v>0.52100000000000002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7" t="s">
        <v>694</v>
      </c>
      <c r="C6" s="1074">
        <f ca="1">ROUND(F6*F8*F7*(1-F9),0)</f>
        <v>0</v>
      </c>
      <c r="D6" s="155" t="s">
        <v>2104</v>
      </c>
      <c r="E6" s="302" t="s">
        <v>696</v>
      </c>
      <c r="F6" s="303">
        <f ca="1">INDIRECT("'数据-取费表'!u"&amp;$G$1)</f>
        <v>0</v>
      </c>
      <c r="G6" s="1383"/>
      <c r="H6" s="1069" t="s">
        <v>398</v>
      </c>
      <c r="I6" s="3687" t="s">
        <v>694</v>
      </c>
      <c r="J6" s="301">
        <f ca="1">ROUND(M6*M8*M7*(1-M9),0)</f>
        <v>0</v>
      </c>
      <c r="K6" s="1375" t="s">
        <v>2105</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t="e">
        <f ca="1">ROUND((C68-C40)/10000,4)</f>
        <v>#DIV/0!</v>
      </c>
      <c r="D45" s="3431" t="s">
        <v>3351</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85" t="s">
        <v>837</v>
      </c>
      <c r="L53" s="368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4" t="s">
        <v>2313</v>
      </c>
      <c r="B2" s="2842" t="e">
        <f>IF(D2="——",C40,C40+E2)</f>
        <v>#DIV/0!</v>
      </c>
      <c r="C2" s="2843" t="s">
        <v>2314</v>
      </c>
      <c r="D2" s="3442" t="s">
        <v>3357</v>
      </c>
      <c r="E2" s="3443"/>
      <c r="F2" s="2845"/>
      <c r="G2" s="2846"/>
      <c r="H2" s="2847"/>
      <c r="I2" s="2848"/>
      <c r="J2" s="3690" t="s">
        <v>2315</v>
      </c>
      <c r="K2" s="3691"/>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ROUND(B2*10000/B4,0)</f>
        <v>#DIV/0!</v>
      </c>
      <c r="C3" s="2843" t="s">
        <v>2324</v>
      </c>
      <c r="D3" s="2843"/>
      <c r="E3" s="2844"/>
      <c r="F3" s="2845"/>
      <c r="G3" s="2846"/>
      <c r="H3" s="2847"/>
      <c r="I3" s="2848"/>
      <c r="J3" s="3692" t="s">
        <v>2325</v>
      </c>
      <c r="K3" s="3693"/>
      <c r="L3" s="2855"/>
      <c r="M3" s="2855"/>
      <c r="N3" s="2855"/>
      <c r="O3" s="2855"/>
      <c r="P3" s="2855"/>
      <c r="Q3" s="2856"/>
      <c r="R3" s="2857">
        <f>SUM(L3:Q3)</f>
        <v>0</v>
      </c>
      <c r="S3" s="2840"/>
      <c r="T3" s="2840"/>
      <c r="U3" s="2840"/>
      <c r="V3" s="2848"/>
    </row>
    <row r="4" spans="1:22" s="2852" customFormat="1" ht="13.15" customHeight="1">
      <c r="A4" s="2858" t="s">
        <v>2326</v>
      </c>
      <c r="B4" s="2859"/>
      <c r="C4" s="2843"/>
      <c r="D4" s="2843"/>
      <c r="E4" s="2844"/>
      <c r="F4" s="2845"/>
      <c r="G4" s="2846"/>
      <c r="H4" s="2847"/>
      <c r="I4" s="2848"/>
      <c r="J4" s="3692" t="s">
        <v>2327</v>
      </c>
      <c r="K4" s="3693"/>
      <c r="L4" s="2860"/>
      <c r="M4" s="2860"/>
      <c r="N4" s="2860"/>
      <c r="O4" s="2860"/>
      <c r="P4" s="2860"/>
      <c r="Q4" s="2861"/>
      <c r="R4" s="2862">
        <f>SUM(L4:Q4)</f>
        <v>0</v>
      </c>
      <c r="S4" s="2840"/>
      <c r="T4" s="2840"/>
      <c r="U4" s="2840"/>
      <c r="V4" s="2848"/>
    </row>
    <row r="5" spans="1:22" s="2852" customFormat="1" ht="13.15"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694" t="s">
        <v>2331</v>
      </c>
      <c r="B6" s="3695"/>
      <c r="C6" s="3696"/>
      <c r="D6" s="2869"/>
      <c r="E6" s="2870"/>
      <c r="F6" s="2871"/>
      <c r="G6" s="2872"/>
      <c r="H6" s="2847"/>
      <c r="I6" s="2848"/>
      <c r="J6" s="3697">
        <v>1</v>
      </c>
      <c r="K6" s="3698"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SUM(D9,D10,D11,D17,0)</f>
        <v>0</v>
      </c>
      <c r="E7" s="2879" t="e">
        <f>E9+E10+E11+E17</f>
        <v>#DIV/0!</v>
      </c>
      <c r="F7" s="2880"/>
      <c r="G7" s="2881"/>
      <c r="H7" s="2847"/>
      <c r="I7" s="2848"/>
      <c r="J7" s="3697"/>
      <c r="K7" s="3699"/>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01" t="s">
        <v>2345</v>
      </c>
      <c r="C8" s="3702"/>
      <c r="D8" s="2888" t="s">
        <v>2346</v>
      </c>
      <c r="E8" s="2889" t="s">
        <v>2347</v>
      </c>
      <c r="F8" s="2890" t="s">
        <v>2348</v>
      </c>
      <c r="G8" s="2891"/>
      <c r="H8" s="2847"/>
      <c r="I8" s="2848"/>
      <c r="J8" s="3697"/>
      <c r="K8" s="3699"/>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01" t="s">
        <v>2351</v>
      </c>
      <c r="C9" s="3702"/>
      <c r="D9" s="2888">
        <f>ROUND(D6*E9,0)</f>
        <v>0</v>
      </c>
      <c r="E9" s="2892"/>
      <c r="F9" s="2893" t="s">
        <v>2352</v>
      </c>
      <c r="G9" s="2872"/>
      <c r="H9" s="2847"/>
      <c r="I9" s="2848"/>
      <c r="J9" s="3697"/>
      <c r="K9" s="3699"/>
      <c r="L9" s="2882" t="s">
        <v>2353</v>
      </c>
      <c r="M9" s="2883"/>
      <c r="N9" s="2859"/>
      <c r="O9" s="2884"/>
      <c r="P9" s="2884"/>
      <c r="Q9" s="2885">
        <v>365</v>
      </c>
      <c r="R9" s="2886">
        <f t="shared" si="0"/>
        <v>0</v>
      </c>
      <c r="S9" s="2840"/>
      <c r="T9" s="2840"/>
      <c r="U9" s="2840"/>
      <c r="V9" s="2848"/>
    </row>
    <row r="10" spans="1:22" s="2852" customFormat="1" ht="13.15" customHeight="1">
      <c r="A10" s="2887">
        <v>2</v>
      </c>
      <c r="B10" s="3701" t="s">
        <v>2354</v>
      </c>
      <c r="C10" s="3702"/>
      <c r="D10" s="2888">
        <f>ROUND(D6*E10,0)</f>
        <v>0</v>
      </c>
      <c r="E10" s="2892"/>
      <c r="F10" s="2893" t="s">
        <v>2355</v>
      </c>
      <c r="G10" s="2872"/>
      <c r="H10" s="2847"/>
      <c r="I10" s="2848"/>
      <c r="J10" s="3697"/>
      <c r="K10" s="3699"/>
      <c r="L10" s="2882" t="s">
        <v>2356</v>
      </c>
      <c r="M10" s="2883"/>
      <c r="N10" s="2859"/>
      <c r="O10" s="2884"/>
      <c r="P10" s="2884"/>
      <c r="Q10" s="2885">
        <v>365</v>
      </c>
      <c r="R10" s="2886">
        <f t="shared" si="0"/>
        <v>0</v>
      </c>
      <c r="S10" s="2840"/>
      <c r="T10" s="2840"/>
      <c r="U10" s="2840"/>
      <c r="V10" s="2848"/>
    </row>
    <row r="11" spans="1:22" s="2852" customFormat="1" ht="13.15" customHeight="1">
      <c r="A11" s="2887">
        <v>3</v>
      </c>
      <c r="B11" s="3701" t="s">
        <v>2357</v>
      </c>
      <c r="C11" s="3702"/>
      <c r="D11" s="2888">
        <f>D12+D14+D15+D16</f>
        <v>0</v>
      </c>
      <c r="E11" s="2894" t="e">
        <f>D11/D6</f>
        <v>#DIV/0!</v>
      </c>
      <c r="F11" s="2890"/>
      <c r="G11" s="2891"/>
      <c r="H11" s="2847"/>
      <c r="I11" s="2848"/>
      <c r="J11" s="3697"/>
      <c r="K11" s="3699"/>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03" t="s">
        <v>2360</v>
      </c>
      <c r="C12" s="3704"/>
      <c r="D12" s="2896">
        <f>ROUND(D13*1.2%*(1-30%),0)</f>
        <v>0</v>
      </c>
      <c r="E12" s="2897">
        <v>1.2E-2</v>
      </c>
      <c r="F12" s="2890" t="s">
        <v>2361</v>
      </c>
      <c r="G12" s="2891"/>
      <c r="H12" s="2847"/>
      <c r="I12" s="2848"/>
      <c r="J12" s="3697"/>
      <c r="K12" s="3699"/>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c r="E13" s="2901"/>
      <c r="F13" s="2890"/>
      <c r="G13" s="2891"/>
      <c r="H13" s="2847"/>
      <c r="I13" s="2848"/>
      <c r="J13" s="3697"/>
      <c r="K13" s="3699"/>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03" t="s">
        <v>2366</v>
      </c>
      <c r="C14" s="3704"/>
      <c r="D14" s="2896">
        <f>ROUND(E14*B5/10000,0)</f>
        <v>0</v>
      </c>
      <c r="E14" s="2885"/>
      <c r="F14" s="2890" t="s">
        <v>2367</v>
      </c>
      <c r="G14" s="2891"/>
      <c r="H14" s="2847"/>
      <c r="I14" s="2848"/>
      <c r="J14" s="3697"/>
      <c r="K14" s="3700"/>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03" t="s">
        <v>2370</v>
      </c>
      <c r="C15" s="3704"/>
      <c r="D15" s="2896">
        <f>ROUND(D6*E15,0)</f>
        <v>0</v>
      </c>
      <c r="E15" s="2897">
        <v>5.5E-2</v>
      </c>
      <c r="F15" s="2890" t="s">
        <v>2371</v>
      </c>
      <c r="G15" s="2872"/>
      <c r="H15" s="2847"/>
      <c r="I15" s="2848"/>
      <c r="J15" s="3697">
        <v>2</v>
      </c>
      <c r="K15" s="3698"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03" t="s">
        <v>2379</v>
      </c>
      <c r="C16" s="3704"/>
      <c r="D16" s="2907">
        <f>D6*E16</f>
        <v>0</v>
      </c>
      <c r="E16" s="2908"/>
      <c r="F16" s="2893" t="s">
        <v>2380</v>
      </c>
      <c r="G16" s="2872"/>
      <c r="H16" s="2847"/>
      <c r="I16" s="2848"/>
      <c r="J16" s="3697"/>
      <c r="K16" s="3699"/>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05" t="s">
        <v>2382</v>
      </c>
      <c r="C17" s="3706"/>
      <c r="D17" s="2910">
        <f>ROUND(D6*E17,0)</f>
        <v>0</v>
      </c>
      <c r="E17" s="2911"/>
      <c r="F17" s="2912" t="s">
        <v>2383</v>
      </c>
      <c r="G17" s="2872"/>
      <c r="H17" s="2847"/>
      <c r="I17" s="2848"/>
      <c r="J17" s="3697"/>
      <c r="K17" s="3699"/>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0</v>
      </c>
      <c r="E18" s="2914"/>
      <c r="F18" s="2915" t="s">
        <v>2386</v>
      </c>
      <c r="G18" s="2872"/>
      <c r="H18" s="2847"/>
      <c r="I18" s="2848"/>
      <c r="J18" s="3697"/>
      <c r="K18" s="3699"/>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697"/>
      <c r="K19" s="3700"/>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7">
        <v>3</v>
      </c>
      <c r="K20" s="3698"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697"/>
      <c r="K21" s="3699"/>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697"/>
      <c r="K22" s="3699"/>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0</v>
      </c>
      <c r="D23" s="2933">
        <f>C23*(1+D24)</f>
        <v>0</v>
      </c>
      <c r="E23" s="2934">
        <f>D23*(1+E24)</f>
        <v>0</v>
      </c>
      <c r="F23" s="2935"/>
      <c r="G23" s="2936"/>
      <c r="H23" s="2847"/>
      <c r="I23" s="2848"/>
      <c r="J23" s="3697"/>
      <c r="K23" s="3699"/>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697"/>
      <c r="K24" s="3700"/>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D7</f>
        <v>0</v>
      </c>
      <c r="D26" s="2933">
        <f>D23*D27</f>
        <v>0</v>
      </c>
      <c r="E26" s="2934">
        <f>E23*E27</f>
        <v>0</v>
      </c>
      <c r="F26" s="2935"/>
      <c r="G26" s="2936"/>
      <c r="H26" s="2847"/>
      <c r="I26" s="2848"/>
      <c r="J26" s="3707">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t="e">
        <f>E7</f>
        <v>#DIV/0!</v>
      </c>
      <c r="D27" s="2940"/>
      <c r="E27" s="2941"/>
      <c r="F27" s="2942"/>
      <c r="G27" s="2936"/>
      <c r="H27" s="2957"/>
      <c r="I27" s="2948"/>
      <c r="J27" s="370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C23-C26-C29</f>
        <v>0</v>
      </c>
      <c r="D32" s="2933">
        <f>D23-D26-D29</f>
        <v>0</v>
      </c>
      <c r="E32" s="2934">
        <f>E23-E26-E29</f>
        <v>0</v>
      </c>
      <c r="F32" s="2935"/>
      <c r="G32" s="2929"/>
      <c r="H32" s="2847"/>
      <c r="I32" s="2848"/>
      <c r="J32" s="3690" t="s">
        <v>2315</v>
      </c>
      <c r="K32" s="3691"/>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692" t="s">
        <v>2325</v>
      </c>
      <c r="K33" s="3693"/>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c r="D34" s="2977"/>
      <c r="E34" s="2978"/>
      <c r="F34" s="2935"/>
      <c r="G34" s="2929"/>
      <c r="H34" s="2957"/>
      <c r="I34" s="2948"/>
      <c r="J34" s="3692" t="s">
        <v>2327</v>
      </c>
      <c r="K34" s="369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c r="D36" s="2987"/>
      <c r="E36" s="2988"/>
      <c r="F36" s="2989">
        <f>C36+D36+E36</f>
        <v>0</v>
      </c>
      <c r="G36" s="2929"/>
      <c r="H36" s="2847"/>
      <c r="I36" s="2848"/>
      <c r="J36" s="3697">
        <v>1</v>
      </c>
      <c r="K36" s="3698"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697"/>
      <c r="K37" s="3699"/>
      <c r="L37" s="2882"/>
      <c r="M37" s="2883"/>
      <c r="N37" s="2859"/>
      <c r="O37" s="2884"/>
      <c r="P37" s="2884"/>
      <c r="Q37" s="2885"/>
      <c r="R37" s="2886"/>
      <c r="S37" s="2921"/>
      <c r="T37" s="2840" t="s">
        <v>2343</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7"/>
      <c r="K38" s="3699"/>
      <c r="L38" s="2882"/>
      <c r="M38" s="2883"/>
      <c r="N38" s="2859"/>
      <c r="O38" s="2884"/>
      <c r="P38" s="2884"/>
      <c r="Q38" s="2885"/>
      <c r="R38" s="2886"/>
      <c r="S38" s="2921"/>
      <c r="T38" s="2840" t="s">
        <v>2350</v>
      </c>
      <c r="U38" s="2840"/>
      <c r="V38" s="2848"/>
    </row>
    <row r="39" spans="1:23" s="2852" customFormat="1" ht="13.15" customHeight="1">
      <c r="A39" s="2930">
        <v>9</v>
      </c>
      <c r="B39" s="2931" t="s">
        <v>2428</v>
      </c>
      <c r="C39" s="2896" t="e">
        <f>C38</f>
        <v>#DIV/0!</v>
      </c>
      <c r="D39" s="2931">
        <f>D38/(1+D34)^C36</f>
        <v>0</v>
      </c>
      <c r="E39" s="2931">
        <f>E38/(1+E34)^(C36+D36)</f>
        <v>0</v>
      </c>
      <c r="F39" s="2935"/>
      <c r="G39" s="2990"/>
      <c r="H39" s="2847"/>
      <c r="I39" s="2848"/>
      <c r="J39" s="3697"/>
      <c r="K39" s="3699"/>
      <c r="L39" s="2882"/>
      <c r="M39" s="2883"/>
      <c r="N39" s="2859"/>
      <c r="O39" s="2884"/>
      <c r="P39" s="2884"/>
      <c r="Q39" s="2885"/>
      <c r="R39" s="2886"/>
      <c r="S39" s="2921"/>
      <c r="T39" s="2840"/>
      <c r="U39" s="2840"/>
      <c r="V39" s="2848"/>
    </row>
    <row r="40" spans="1:23" s="2852" customFormat="1" ht="13.15" customHeight="1">
      <c r="A40" s="2991">
        <v>10</v>
      </c>
      <c r="B40" s="2931" t="s">
        <v>2429</v>
      </c>
      <c r="C40" s="2992" t="e">
        <f>C39+D39+E39</f>
        <v>#DIV/0!</v>
      </c>
      <c r="D40" s="2993"/>
      <c r="E40" s="2993"/>
      <c r="F40" s="2994"/>
      <c r="G40" s="2929"/>
      <c r="H40" s="2847"/>
      <c r="I40" s="2848"/>
      <c r="J40" s="3697"/>
      <c r="K40" s="3700"/>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7">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0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8062</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6059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09" t="s">
        <v>1654</v>
      </c>
      <c r="C5" s="371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8062</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29" t="s">
        <v>1667</v>
      </c>
      <c r="D4" s="3730"/>
      <c r="E4" s="3731" t="s">
        <v>1668</v>
      </c>
      <c r="F4" s="3732"/>
      <c r="G4" s="3729" t="s">
        <v>1669</v>
      </c>
      <c r="H4" s="3730"/>
      <c r="I4" s="3729" t="s">
        <v>1670</v>
      </c>
      <c r="J4" s="3730"/>
      <c r="K4" s="1888" t="s">
        <v>1671</v>
      </c>
      <c r="L4" s="2714"/>
      <c r="M4" s="2715"/>
      <c r="N4" s="2715"/>
      <c r="O4" s="2715"/>
      <c r="P4" s="3733" t="s">
        <v>1672</v>
      </c>
      <c r="Q4" s="3734"/>
      <c r="R4" s="3716" t="s">
        <v>1668</v>
      </c>
      <c r="S4" s="3717"/>
      <c r="T4" s="3716" t="s">
        <v>1669</v>
      </c>
      <c r="U4" s="3717"/>
      <c r="V4" s="3741" t="s">
        <v>1670</v>
      </c>
      <c r="W4" s="3741"/>
      <c r="X4" s="1354"/>
      <c r="Y4" s="3716" t="s">
        <v>1672</v>
      </c>
      <c r="Z4" s="3717"/>
      <c r="AA4" s="3711" t="s">
        <v>1668</v>
      </c>
      <c r="AB4" s="3711" t="s">
        <v>1669</v>
      </c>
      <c r="AC4" s="3711" t="s">
        <v>1670</v>
      </c>
    </row>
    <row r="5" spans="1:29" ht="15">
      <c r="A5" s="358"/>
      <c r="B5" s="359"/>
      <c r="C5" s="3722" t="s">
        <v>1673</v>
      </c>
      <c r="D5" s="3723"/>
      <c r="E5" s="3720" t="s">
        <v>1674</v>
      </c>
      <c r="F5" s="3721"/>
      <c r="G5" s="3722" t="s">
        <v>1675</v>
      </c>
      <c r="H5" s="3723"/>
      <c r="I5" s="3722" t="s">
        <v>1676</v>
      </c>
      <c r="J5" s="3723"/>
      <c r="K5" s="1889"/>
      <c r="L5" s="2714"/>
      <c r="M5" s="2715"/>
      <c r="N5" s="2715"/>
      <c r="O5" s="2715"/>
      <c r="P5" s="3735"/>
      <c r="Q5" s="3736"/>
      <c r="R5" s="3718"/>
      <c r="S5" s="3719"/>
      <c r="T5" s="3718"/>
      <c r="U5" s="3719"/>
      <c r="V5" s="3741"/>
      <c r="W5" s="3741"/>
      <c r="X5" s="1354"/>
      <c r="Y5" s="3718"/>
      <c r="Z5" s="3719"/>
      <c r="AA5" s="3712"/>
      <c r="AB5" s="3712"/>
      <c r="AC5" s="3712"/>
    </row>
    <row r="6" spans="1:29" ht="15.75" thickBot="1">
      <c r="A6" s="360"/>
      <c r="B6" s="361"/>
      <c r="C6" s="3724" t="s">
        <v>1677</v>
      </c>
      <c r="D6" s="3725"/>
      <c r="E6" s="3726" t="s">
        <v>1677</v>
      </c>
      <c r="F6" s="3727"/>
      <c r="G6" s="3724" t="s">
        <v>1677</v>
      </c>
      <c r="H6" s="3725"/>
      <c r="I6" s="3724" t="s">
        <v>1677</v>
      </c>
      <c r="J6" s="3725"/>
      <c r="K6" s="1889" t="s">
        <v>1678</v>
      </c>
      <c r="L6" s="2714"/>
      <c r="M6" s="2715"/>
      <c r="N6" s="2715"/>
      <c r="O6" s="2715"/>
      <c r="P6" s="3737"/>
      <c r="Q6" s="3738"/>
      <c r="R6" s="3718"/>
      <c r="S6" s="3719"/>
      <c r="T6" s="3739"/>
      <c r="U6" s="3740"/>
      <c r="V6" s="3741"/>
      <c r="W6" s="3741"/>
      <c r="X6" s="1354"/>
      <c r="Y6" s="3739"/>
      <c r="Z6" s="3740"/>
      <c r="AA6" s="3713"/>
      <c r="AB6" s="3713"/>
      <c r="AC6" s="3713"/>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4" t="s">
        <v>1680</v>
      </c>
      <c r="Q7" s="3742"/>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8"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8"/>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8"/>
      <c r="Q11" s="1342"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8"/>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8"/>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8"/>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5" t="s">
        <v>1691</v>
      </c>
      <c r="Q15" s="1351" t="str">
        <f t="shared" si="6"/>
        <v>居住社区成熟度</v>
      </c>
      <c r="R15" s="705" t="s">
        <v>18</v>
      </c>
      <c r="S15" s="706">
        <f t="shared" si="0"/>
        <v>100</v>
      </c>
      <c r="T15" s="705" t="s">
        <v>18</v>
      </c>
      <c r="U15" s="706">
        <f t="shared" si="1"/>
        <v>100</v>
      </c>
      <c r="V15" s="705" t="s">
        <v>18</v>
      </c>
      <c r="W15" s="706">
        <f t="shared" si="2"/>
        <v>100</v>
      </c>
      <c r="X15" s="1354"/>
      <c r="Y15" s="374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56"/>
      <c r="Q16" s="1351"/>
      <c r="R16" s="705"/>
      <c r="S16" s="706"/>
      <c r="T16" s="705"/>
      <c r="U16" s="706"/>
      <c r="V16" s="705"/>
      <c r="W16" s="706"/>
      <c r="X16" s="1354"/>
      <c r="Y16" s="374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6"/>
      <c r="Q17" s="1351" t="str">
        <f>B17</f>
        <v>交通便捷度</v>
      </c>
      <c r="R17" s="705" t="s">
        <v>18</v>
      </c>
      <c r="S17" s="706">
        <f>F17</f>
        <v>100</v>
      </c>
      <c r="T17" s="705" t="s">
        <v>18</v>
      </c>
      <c r="U17" s="706">
        <f>H17</f>
        <v>100</v>
      </c>
      <c r="V17" s="705" t="s">
        <v>18</v>
      </c>
      <c r="W17" s="706">
        <f>J17</f>
        <v>100</v>
      </c>
      <c r="X17" s="1354"/>
      <c r="Y17" s="374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56"/>
      <c r="Q18" s="1351"/>
      <c r="R18" s="705"/>
      <c r="S18" s="706"/>
      <c r="T18" s="705"/>
      <c r="U18" s="706"/>
      <c r="V18" s="705"/>
      <c r="W18" s="706"/>
      <c r="X18" s="1354"/>
      <c r="Y18" s="374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6"/>
      <c r="Q19" s="1351" t="str">
        <f>B19</f>
        <v>公共配套设施</v>
      </c>
      <c r="R19" s="705" t="s">
        <v>18</v>
      </c>
      <c r="S19" s="706">
        <f>F19</f>
        <v>100</v>
      </c>
      <c r="T19" s="705" t="s">
        <v>18</v>
      </c>
      <c r="U19" s="706">
        <f>H19</f>
        <v>100</v>
      </c>
      <c r="V19" s="705" t="s">
        <v>18</v>
      </c>
      <c r="W19" s="706">
        <f>J19</f>
        <v>100</v>
      </c>
      <c r="X19" s="1354"/>
      <c r="Y19" s="374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56"/>
      <c r="Q20" s="1351"/>
      <c r="R20" s="705"/>
      <c r="S20" s="706"/>
      <c r="T20" s="705"/>
      <c r="U20" s="706"/>
      <c r="V20" s="705"/>
      <c r="W20" s="706"/>
      <c r="X20" s="1354"/>
      <c r="Y20" s="3749"/>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6"/>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56"/>
      <c r="Q22" s="1351"/>
      <c r="R22" s="705"/>
      <c r="S22" s="706"/>
      <c r="T22" s="705"/>
      <c r="U22" s="706"/>
      <c r="V22" s="705"/>
      <c r="W22" s="706"/>
      <c r="X22" s="1354"/>
      <c r="Y22" s="374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6"/>
      <c r="Q23" s="1351" t="str">
        <f>B23</f>
        <v>自然及人文环境</v>
      </c>
      <c r="R23" s="705" t="s">
        <v>18</v>
      </c>
      <c r="S23" s="706">
        <f>F23</f>
        <v>100</v>
      </c>
      <c r="T23" s="705" t="s">
        <v>18</v>
      </c>
      <c r="U23" s="706">
        <f>H23</f>
        <v>100</v>
      </c>
      <c r="V23" s="705" t="s">
        <v>18</v>
      </c>
      <c r="W23" s="706">
        <f>J23</f>
        <v>100</v>
      </c>
      <c r="X23" s="1354"/>
      <c r="Y23" s="374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56"/>
      <c r="Q24" s="1351"/>
      <c r="R24" s="705"/>
      <c r="S24" s="706"/>
      <c r="T24" s="705"/>
      <c r="U24" s="706"/>
      <c r="V24" s="705"/>
      <c r="W24" s="706"/>
      <c r="X24" s="1354"/>
      <c r="Y24" s="374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56"/>
      <c r="Q26" s="1351" t="str">
        <f t="shared" si="11"/>
        <v>朝向</v>
      </c>
      <c r="R26" s="705" t="s">
        <v>18</v>
      </c>
      <c r="S26" s="706">
        <f t="shared" si="12"/>
        <v>100</v>
      </c>
      <c r="T26" s="705" t="s">
        <v>18</v>
      </c>
      <c r="U26" s="706">
        <f t="shared" si="13"/>
        <v>100</v>
      </c>
      <c r="V26" s="705" t="s">
        <v>18</v>
      </c>
      <c r="W26" s="706">
        <f t="shared" si="14"/>
        <v>100</v>
      </c>
      <c r="X26" s="1354"/>
      <c r="Y26" s="374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56"/>
      <c r="Q27" s="1342">
        <f t="shared" si="11"/>
        <v>111</v>
      </c>
      <c r="R27" s="701" t="s">
        <v>18</v>
      </c>
      <c r="S27" s="702">
        <f t="shared" si="12"/>
        <v>100</v>
      </c>
      <c r="T27" s="701" t="s">
        <v>18</v>
      </c>
      <c r="U27" s="702">
        <f t="shared" si="13"/>
        <v>100</v>
      </c>
      <c r="V27" s="701" t="s">
        <v>18</v>
      </c>
      <c r="W27" s="702">
        <f t="shared" si="14"/>
        <v>100</v>
      </c>
      <c r="X27" s="703"/>
      <c r="Y27" s="374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56"/>
      <c r="Q28" s="1351">
        <f t="shared" si="11"/>
        <v>111</v>
      </c>
      <c r="R28" s="705" t="s">
        <v>18</v>
      </c>
      <c r="S28" s="706">
        <f t="shared" si="12"/>
        <v>100</v>
      </c>
      <c r="T28" s="705" t="s">
        <v>18</v>
      </c>
      <c r="U28" s="706">
        <f t="shared" si="13"/>
        <v>100</v>
      </c>
      <c r="V28" s="705" t="s">
        <v>18</v>
      </c>
      <c r="W28" s="706">
        <f t="shared" si="14"/>
        <v>100</v>
      </c>
      <c r="X28" s="1354"/>
      <c r="Y28" s="374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56"/>
      <c r="Q29" s="1351">
        <f t="shared" si="11"/>
        <v>111</v>
      </c>
      <c r="R29" s="705" t="s">
        <v>18</v>
      </c>
      <c r="S29" s="706">
        <f t="shared" si="12"/>
        <v>100</v>
      </c>
      <c r="T29" s="705" t="s">
        <v>18</v>
      </c>
      <c r="U29" s="706">
        <f t="shared" si="13"/>
        <v>100</v>
      </c>
      <c r="V29" s="705" t="s">
        <v>18</v>
      </c>
      <c r="W29" s="706">
        <f t="shared" si="14"/>
        <v>100</v>
      </c>
      <c r="X29" s="1354"/>
      <c r="Y29" s="374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6"/>
      <c r="Q30" s="1351">
        <f t="shared" si="11"/>
        <v>111</v>
      </c>
      <c r="R30" s="705" t="s">
        <v>18</v>
      </c>
      <c r="S30" s="706">
        <f t="shared" si="12"/>
        <v>100</v>
      </c>
      <c r="T30" s="705" t="s">
        <v>18</v>
      </c>
      <c r="U30" s="706">
        <f t="shared" si="13"/>
        <v>100</v>
      </c>
      <c r="V30" s="705" t="s">
        <v>18</v>
      </c>
      <c r="W30" s="706">
        <f t="shared" si="14"/>
        <v>100</v>
      </c>
      <c r="X30" s="1354"/>
      <c r="Y30" s="374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6"/>
      <c r="Q31" s="1351">
        <f t="shared" si="11"/>
        <v>111</v>
      </c>
      <c r="R31" s="705" t="s">
        <v>18</v>
      </c>
      <c r="S31" s="706">
        <f t="shared" si="12"/>
        <v>100</v>
      </c>
      <c r="T31" s="705" t="s">
        <v>18</v>
      </c>
      <c r="U31" s="706">
        <f t="shared" si="13"/>
        <v>100</v>
      </c>
      <c r="V31" s="705" t="s">
        <v>18</v>
      </c>
      <c r="W31" s="706">
        <f t="shared" si="14"/>
        <v>100</v>
      </c>
      <c r="X31" s="1354"/>
      <c r="Y31" s="374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0" t="s">
        <v>1696</v>
      </c>
      <c r="Q32" s="1351" t="str">
        <f t="shared" si="11"/>
        <v>建筑类型</v>
      </c>
      <c r="R32" s="705" t="s">
        <v>18</v>
      </c>
      <c r="S32" s="706">
        <f t="shared" si="12"/>
        <v>100</v>
      </c>
      <c r="T32" s="705" t="s">
        <v>18</v>
      </c>
      <c r="U32" s="706">
        <f t="shared" si="13"/>
        <v>100</v>
      </c>
      <c r="V32" s="705" t="s">
        <v>18</v>
      </c>
      <c r="W32" s="706">
        <f t="shared" si="14"/>
        <v>100</v>
      </c>
      <c r="X32" s="1354"/>
      <c r="Y32" s="375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51"/>
      <c r="Q33" s="707" t="str">
        <f t="shared" si="11"/>
        <v>项目建筑规模</v>
      </c>
      <c r="R33" s="708" t="s">
        <v>18</v>
      </c>
      <c r="S33" s="709" t="e">
        <f t="shared" si="12"/>
        <v>#N/A</v>
      </c>
      <c r="T33" s="708" t="s">
        <v>18</v>
      </c>
      <c r="U33" s="709" t="e">
        <f t="shared" si="13"/>
        <v>#N/A</v>
      </c>
      <c r="V33" s="708" t="s">
        <v>18</v>
      </c>
      <c r="W33" s="709" t="e">
        <f t="shared" si="14"/>
        <v>#N/A</v>
      </c>
      <c r="X33" s="710"/>
      <c r="Y33" s="375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51"/>
      <c r="Q34" s="1351" t="str">
        <f t="shared" si="11"/>
        <v>建筑结构</v>
      </c>
      <c r="R34" s="705" t="s">
        <v>18</v>
      </c>
      <c r="S34" s="706">
        <f t="shared" si="12"/>
        <v>100</v>
      </c>
      <c r="T34" s="705" t="s">
        <v>18</v>
      </c>
      <c r="U34" s="706">
        <f t="shared" si="13"/>
        <v>100</v>
      </c>
      <c r="V34" s="705" t="s">
        <v>18</v>
      </c>
      <c r="W34" s="706">
        <f t="shared" si="14"/>
        <v>100</v>
      </c>
      <c r="X34" s="1354"/>
      <c r="Y34" s="375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51"/>
      <c r="Q35" s="1351" t="str">
        <f t="shared" si="11"/>
        <v>建筑品质</v>
      </c>
      <c r="R35" s="705" t="s">
        <v>18</v>
      </c>
      <c r="S35" s="706">
        <f t="shared" si="12"/>
        <v>100</v>
      </c>
      <c r="T35" s="705" t="s">
        <v>18</v>
      </c>
      <c r="U35" s="706">
        <f t="shared" si="13"/>
        <v>100</v>
      </c>
      <c r="V35" s="705" t="s">
        <v>18</v>
      </c>
      <c r="W35" s="706">
        <f t="shared" si="14"/>
        <v>100</v>
      </c>
      <c r="X35" s="1354"/>
      <c r="Y35" s="375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51"/>
      <c r="Q36" s="1351" t="str">
        <f t="shared" si="11"/>
        <v>公共部分装修</v>
      </c>
      <c r="R36" s="705" t="s">
        <v>18</v>
      </c>
      <c r="S36" s="706">
        <f t="shared" si="12"/>
        <v>100</v>
      </c>
      <c r="T36" s="705" t="s">
        <v>18</v>
      </c>
      <c r="U36" s="706">
        <f t="shared" si="13"/>
        <v>100</v>
      </c>
      <c r="V36" s="705" t="s">
        <v>18</v>
      </c>
      <c r="W36" s="706">
        <f t="shared" si="14"/>
        <v>100</v>
      </c>
      <c r="X36" s="1354"/>
      <c r="Y36" s="375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51"/>
      <c r="Q37" s="1342" t="str">
        <f t="shared" si="11"/>
        <v>成新度</v>
      </c>
      <c r="R37" s="701" t="s">
        <v>18</v>
      </c>
      <c r="S37" s="702" t="e">
        <f t="shared" si="12"/>
        <v>#N/A</v>
      </c>
      <c r="T37" s="701" t="s">
        <v>18</v>
      </c>
      <c r="U37" s="702" t="e">
        <f t="shared" si="13"/>
        <v>#N/A</v>
      </c>
      <c r="V37" s="701" t="s">
        <v>18</v>
      </c>
      <c r="W37" s="702" t="e">
        <f t="shared" si="14"/>
        <v>#N/A</v>
      </c>
      <c r="X37" s="703"/>
      <c r="Y37" s="375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51" t="s">
        <v>1696</v>
      </c>
      <c r="Q38" s="1351" t="str">
        <f t="shared" si="11"/>
        <v>物业管理</v>
      </c>
      <c r="R38" s="705" t="s">
        <v>18</v>
      </c>
      <c r="S38" s="706">
        <f t="shared" si="12"/>
        <v>100</v>
      </c>
      <c r="T38" s="705" t="s">
        <v>18</v>
      </c>
      <c r="U38" s="706">
        <f t="shared" si="13"/>
        <v>100</v>
      </c>
      <c r="V38" s="705" t="s">
        <v>18</v>
      </c>
      <c r="W38" s="706">
        <f t="shared" si="14"/>
        <v>100</v>
      </c>
      <c r="X38" s="1354"/>
      <c r="Y38" s="375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1"/>
      <c r="Q39" s="1351" t="str">
        <f t="shared" si="11"/>
        <v>市政基础设施</v>
      </c>
      <c r="R39" s="705" t="s">
        <v>18</v>
      </c>
      <c r="S39" s="706">
        <f t="shared" si="12"/>
        <v>100</v>
      </c>
      <c r="T39" s="705" t="s">
        <v>18</v>
      </c>
      <c r="U39" s="706">
        <f t="shared" si="13"/>
        <v>100</v>
      </c>
      <c r="V39" s="705" t="s">
        <v>18</v>
      </c>
      <c r="W39" s="706">
        <f t="shared" si="14"/>
        <v>100</v>
      </c>
      <c r="X39" s="1354"/>
      <c r="Y39" s="375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51"/>
      <c r="Q40" s="1351" t="str">
        <f t="shared" si="11"/>
        <v>房型</v>
      </c>
      <c r="R40" s="705" t="s">
        <v>18</v>
      </c>
      <c r="S40" s="706">
        <f t="shared" si="12"/>
        <v>100</v>
      </c>
      <c r="T40" s="705" t="s">
        <v>18</v>
      </c>
      <c r="U40" s="706">
        <f t="shared" si="13"/>
        <v>100</v>
      </c>
      <c r="V40" s="705" t="s">
        <v>18</v>
      </c>
      <c r="W40" s="706">
        <f t="shared" si="14"/>
        <v>100</v>
      </c>
      <c r="X40" s="1354"/>
      <c r="Y40" s="375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1"/>
      <c r="Q41" s="707" t="str">
        <f t="shared" si="11"/>
        <v>单套/主力户型建筑面积</v>
      </c>
      <c r="R41" s="708" t="s">
        <v>18</v>
      </c>
      <c r="S41" s="709">
        <f t="shared" si="12"/>
        <v>100</v>
      </c>
      <c r="T41" s="708" t="s">
        <v>18</v>
      </c>
      <c r="U41" s="709">
        <f t="shared" si="13"/>
        <v>100</v>
      </c>
      <c r="V41" s="708" t="s">
        <v>18</v>
      </c>
      <c r="W41" s="709">
        <f t="shared" si="14"/>
        <v>100</v>
      </c>
      <c r="X41" s="710"/>
      <c r="Y41" s="375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51"/>
      <c r="Q42" s="1351" t="str">
        <f t="shared" si="11"/>
        <v>内部装修</v>
      </c>
      <c r="R42" s="705" t="s">
        <v>18</v>
      </c>
      <c r="S42" s="706">
        <f t="shared" si="12"/>
        <v>100</v>
      </c>
      <c r="T42" s="705" t="s">
        <v>18</v>
      </c>
      <c r="U42" s="706">
        <f t="shared" si="13"/>
        <v>100</v>
      </c>
      <c r="V42" s="705" t="s">
        <v>18</v>
      </c>
      <c r="W42" s="706">
        <f t="shared" si="14"/>
        <v>100</v>
      </c>
      <c r="X42" s="1354"/>
      <c r="Y42" s="375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51"/>
      <c r="Q43" s="1351" t="str">
        <f t="shared" si="11"/>
        <v>内部装修维护情况</v>
      </c>
      <c r="R43" s="705" t="s">
        <v>18</v>
      </c>
      <c r="S43" s="706">
        <f t="shared" si="12"/>
        <v>100</v>
      </c>
      <c r="T43" s="705" t="s">
        <v>18</v>
      </c>
      <c r="U43" s="706">
        <f t="shared" si="13"/>
        <v>100</v>
      </c>
      <c r="V43" s="705" t="s">
        <v>18</v>
      </c>
      <c r="W43" s="706">
        <f t="shared" si="14"/>
        <v>100</v>
      </c>
      <c r="X43" s="1354"/>
      <c r="Y43" s="375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51"/>
      <c r="Q44" s="1342">
        <f t="shared" si="11"/>
        <v>111</v>
      </c>
      <c r="R44" s="701" t="s">
        <v>18</v>
      </c>
      <c r="S44" s="702">
        <f t="shared" si="12"/>
        <v>100</v>
      </c>
      <c r="T44" s="701" t="s">
        <v>18</v>
      </c>
      <c r="U44" s="702">
        <f t="shared" si="13"/>
        <v>100</v>
      </c>
      <c r="V44" s="701" t="s">
        <v>18</v>
      </c>
      <c r="W44" s="702">
        <f t="shared" si="14"/>
        <v>100</v>
      </c>
      <c r="X44" s="703"/>
      <c r="Y44" s="37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1"/>
      <c r="Q45" s="1351">
        <f t="shared" si="11"/>
        <v>111</v>
      </c>
      <c r="R45" s="705" t="s">
        <v>18</v>
      </c>
      <c r="S45" s="706">
        <f t="shared" si="12"/>
        <v>100</v>
      </c>
      <c r="T45" s="705" t="s">
        <v>18</v>
      </c>
      <c r="U45" s="706">
        <f t="shared" si="13"/>
        <v>100</v>
      </c>
      <c r="V45" s="705" t="s">
        <v>18</v>
      </c>
      <c r="W45" s="706">
        <f t="shared" si="14"/>
        <v>100</v>
      </c>
      <c r="X45" s="1354"/>
      <c r="Y45" s="375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2"/>
      <c r="Q46" s="1351">
        <f t="shared" si="11"/>
        <v>111</v>
      </c>
      <c r="R46" s="705" t="s">
        <v>17</v>
      </c>
      <c r="S46" s="706">
        <f t="shared" si="12"/>
        <v>100</v>
      </c>
      <c r="T46" s="705" t="s">
        <v>17</v>
      </c>
      <c r="U46" s="706">
        <f t="shared" si="13"/>
        <v>100</v>
      </c>
      <c r="V46" s="705" t="s">
        <v>17</v>
      </c>
      <c r="W46" s="706">
        <f t="shared" si="14"/>
        <v>100</v>
      </c>
      <c r="X46" s="1354"/>
      <c r="Y46" s="375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46" t="str">
        <f>A47</f>
        <v>成交单价（元/平方米）</v>
      </c>
      <c r="Q47" s="3746"/>
      <c r="R47" s="3747">
        <f>E47</f>
        <v>0</v>
      </c>
      <c r="S47" s="3747"/>
      <c r="T47" s="3747">
        <f>G47</f>
        <v>0</v>
      </c>
      <c r="U47" s="3747"/>
      <c r="V47" s="3747">
        <f>I47</f>
        <v>0</v>
      </c>
      <c r="W47" s="3747"/>
      <c r="X47" s="690"/>
      <c r="Y47" s="712"/>
      <c r="Z47" s="690"/>
      <c r="AA47" s="690"/>
      <c r="AB47" s="690"/>
      <c r="AC47" s="690"/>
    </row>
    <row r="48" spans="1:29" ht="15.75" thickBot="1">
      <c r="A48" s="437" t="s">
        <v>1709</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2025-7</v>
      </c>
      <c r="D58" s="1184">
        <f>EDATE(C58,-1)</f>
        <v>45809</v>
      </c>
      <c r="E58" s="1184">
        <f>EDATE(D58,-1)</f>
        <v>45778</v>
      </c>
      <c r="F58" s="1184">
        <f t="shared" ref="F58:O58" si="19">EDATE(E58,-1)</f>
        <v>45748</v>
      </c>
      <c r="G58" s="1184">
        <f t="shared" si="19"/>
        <v>45717</v>
      </c>
      <c r="H58" s="1184">
        <f t="shared" si="19"/>
        <v>45689</v>
      </c>
      <c r="I58" s="1184">
        <f t="shared" si="19"/>
        <v>45658</v>
      </c>
      <c r="J58" s="1184">
        <f t="shared" si="19"/>
        <v>45627</v>
      </c>
      <c r="K58" s="1184">
        <f t="shared" si="19"/>
        <v>45597</v>
      </c>
      <c r="L58" s="1184">
        <f t="shared" si="19"/>
        <v>45566</v>
      </c>
      <c r="M58" s="1184">
        <f t="shared" si="19"/>
        <v>45536</v>
      </c>
      <c r="N58" s="1184">
        <f t="shared" si="19"/>
        <v>45505</v>
      </c>
      <c r="O58" s="1184">
        <f t="shared" si="19"/>
        <v>45474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29" t="s">
        <v>1770</v>
      </c>
      <c r="D4" s="3730"/>
      <c r="E4" s="3731" t="s">
        <v>1771</v>
      </c>
      <c r="F4" s="3732"/>
      <c r="G4" s="3729" t="s">
        <v>1772</v>
      </c>
      <c r="H4" s="3730"/>
      <c r="I4" s="3729" t="s">
        <v>1773</v>
      </c>
      <c r="J4" s="3730"/>
      <c r="K4" s="559" t="s">
        <v>1774</v>
      </c>
      <c r="L4" s="2714"/>
      <c r="M4" s="2715"/>
      <c r="N4" s="2715"/>
      <c r="O4" s="2715"/>
      <c r="P4" s="3733" t="s">
        <v>1775</v>
      </c>
      <c r="Q4" s="3734"/>
      <c r="R4" s="3716" t="s">
        <v>1771</v>
      </c>
      <c r="S4" s="3717"/>
      <c r="T4" s="3716" t="s">
        <v>1772</v>
      </c>
      <c r="U4" s="3717"/>
      <c r="V4" s="3741" t="s">
        <v>1773</v>
      </c>
      <c r="W4" s="3741"/>
      <c r="X4" s="1354"/>
      <c r="Y4" s="3716" t="s">
        <v>1775</v>
      </c>
      <c r="Z4" s="3717"/>
      <c r="AA4" s="3711" t="s">
        <v>1771</v>
      </c>
      <c r="AB4" s="3741" t="s">
        <v>1772</v>
      </c>
      <c r="AC4" s="3711" t="s">
        <v>1773</v>
      </c>
    </row>
    <row r="5" spans="1:29" ht="15">
      <c r="A5" s="358"/>
      <c r="B5" s="359"/>
      <c r="C5" s="3722" t="s">
        <v>1673</v>
      </c>
      <c r="D5" s="3723"/>
      <c r="E5" s="3720" t="s">
        <v>1674</v>
      </c>
      <c r="F5" s="3721"/>
      <c r="G5" s="3722" t="s">
        <v>1675</v>
      </c>
      <c r="H5" s="3723"/>
      <c r="I5" s="3722" t="s">
        <v>1676</v>
      </c>
      <c r="J5" s="3723"/>
      <c r="K5" s="559"/>
      <c r="L5" s="2714"/>
      <c r="M5" s="2715"/>
      <c r="N5" s="2715"/>
      <c r="O5" s="2715"/>
      <c r="P5" s="3735"/>
      <c r="Q5" s="3736"/>
      <c r="R5" s="3718"/>
      <c r="S5" s="3719"/>
      <c r="T5" s="3718"/>
      <c r="U5" s="3719"/>
      <c r="V5" s="3741"/>
      <c r="W5" s="3741"/>
      <c r="X5" s="1354"/>
      <c r="Y5" s="3718"/>
      <c r="Z5" s="3719"/>
      <c r="AA5" s="3712"/>
      <c r="AB5" s="3741"/>
      <c r="AC5" s="3712"/>
    </row>
    <row r="6" spans="1:29" ht="15.75" thickBot="1">
      <c r="A6" s="360"/>
      <c r="B6" s="361"/>
      <c r="C6" s="3724" t="s">
        <v>1677</v>
      </c>
      <c r="D6" s="3725"/>
      <c r="E6" s="3726" t="s">
        <v>1677</v>
      </c>
      <c r="F6" s="3727"/>
      <c r="G6" s="3724" t="s">
        <v>1677</v>
      </c>
      <c r="H6" s="3725"/>
      <c r="I6" s="3724" t="s">
        <v>1677</v>
      </c>
      <c r="J6" s="3725"/>
      <c r="K6" s="559" t="s">
        <v>1678</v>
      </c>
      <c r="L6" s="2714"/>
      <c r="M6" s="2715"/>
      <c r="N6" s="2715"/>
      <c r="O6" s="2715"/>
      <c r="P6" s="3737"/>
      <c r="Q6" s="3738"/>
      <c r="R6" s="3718"/>
      <c r="S6" s="3719"/>
      <c r="T6" s="3739"/>
      <c r="U6" s="3740"/>
      <c r="V6" s="3741"/>
      <c r="W6" s="3741"/>
      <c r="X6" s="1354"/>
      <c r="Y6" s="3739"/>
      <c r="Z6" s="3740"/>
      <c r="AA6" s="3713"/>
      <c r="AB6" s="3741"/>
      <c r="AC6" s="3713"/>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8"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8"/>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8"/>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8"/>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8"/>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8"/>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5" t="s">
        <v>1691</v>
      </c>
      <c r="Q15" s="1351" t="str">
        <f t="shared" si="6"/>
        <v>商业繁华度</v>
      </c>
      <c r="R15" s="705" t="s">
        <v>14</v>
      </c>
      <c r="S15" s="706">
        <f t="shared" si="0"/>
        <v>100</v>
      </c>
      <c r="T15" s="705" t="s">
        <v>14</v>
      </c>
      <c r="U15" s="706">
        <f t="shared" si="1"/>
        <v>100</v>
      </c>
      <c r="V15" s="705" t="s">
        <v>14</v>
      </c>
      <c r="W15" s="706">
        <f t="shared" si="2"/>
        <v>100</v>
      </c>
      <c r="X15" s="1354"/>
      <c r="Y15" s="374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56"/>
      <c r="Q16" s="1351"/>
      <c r="R16" s="705"/>
      <c r="S16" s="706"/>
      <c r="T16" s="705"/>
      <c r="U16" s="706"/>
      <c r="V16" s="705"/>
      <c r="W16" s="706"/>
      <c r="X16" s="1354"/>
      <c r="Y16" s="374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6"/>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56"/>
      <c r="Q18" s="1351"/>
      <c r="R18" s="705"/>
      <c r="S18" s="706"/>
      <c r="T18" s="705"/>
      <c r="U18" s="706"/>
      <c r="V18" s="705"/>
      <c r="W18" s="706"/>
      <c r="X18" s="1354"/>
      <c r="Y18" s="374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6"/>
      <c r="Q19" s="1351" t="str">
        <f>B19</f>
        <v>公共配套设施</v>
      </c>
      <c r="R19" s="705" t="s">
        <v>14</v>
      </c>
      <c r="S19" s="706">
        <f>F19</f>
        <v>100</v>
      </c>
      <c r="T19" s="705" t="s">
        <v>14</v>
      </c>
      <c r="U19" s="706">
        <f>H19</f>
        <v>100</v>
      </c>
      <c r="V19" s="705" t="s">
        <v>14</v>
      </c>
      <c r="W19" s="706">
        <f>J19</f>
        <v>100</v>
      </c>
      <c r="X19" s="1354"/>
      <c r="Y19" s="374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56"/>
      <c r="Q20" s="1351"/>
      <c r="R20" s="705"/>
      <c r="S20" s="706"/>
      <c r="T20" s="705"/>
      <c r="U20" s="706"/>
      <c r="V20" s="705"/>
      <c r="W20" s="706"/>
      <c r="X20" s="1354"/>
      <c r="Y20" s="3749"/>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6"/>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56"/>
      <c r="Q22" s="1351"/>
      <c r="R22" s="705"/>
      <c r="S22" s="706"/>
      <c r="T22" s="705"/>
      <c r="U22" s="706"/>
      <c r="V22" s="705"/>
      <c r="W22" s="706"/>
      <c r="X22" s="1354"/>
      <c r="Y22" s="374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6"/>
      <c r="Q23" s="1351" t="str">
        <f>B23</f>
        <v>自然及人文环境</v>
      </c>
      <c r="R23" s="705" t="s">
        <v>14</v>
      </c>
      <c r="S23" s="706">
        <f>F23</f>
        <v>100</v>
      </c>
      <c r="T23" s="705" t="s">
        <v>14</v>
      </c>
      <c r="U23" s="706">
        <f>H23</f>
        <v>100</v>
      </c>
      <c r="V23" s="705" t="s">
        <v>14</v>
      </c>
      <c r="W23" s="706">
        <f>J23</f>
        <v>100</v>
      </c>
      <c r="X23" s="1354"/>
      <c r="Y23" s="374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56"/>
      <c r="Q24" s="1351"/>
      <c r="R24" s="705"/>
      <c r="S24" s="706"/>
      <c r="T24" s="705"/>
      <c r="U24" s="706"/>
      <c r="V24" s="705"/>
      <c r="W24" s="706"/>
      <c r="X24" s="1354"/>
      <c r="Y24" s="374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6"/>
      <c r="Q25" s="1351" t="str">
        <f t="shared" ref="Q25:Q46" si="11">B25</f>
        <v>临街状况</v>
      </c>
      <c r="R25" s="705" t="s">
        <v>14</v>
      </c>
      <c r="S25" s="706">
        <f>F25</f>
        <v>100</v>
      </c>
      <c r="T25" s="705" t="s">
        <v>14</v>
      </c>
      <c r="U25" s="706">
        <f>H25</f>
        <v>100</v>
      </c>
      <c r="V25" s="705" t="s">
        <v>14</v>
      </c>
      <c r="W25" s="706">
        <f>J25</f>
        <v>100</v>
      </c>
      <c r="X25" s="1354"/>
      <c r="Y25" s="374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6"/>
      <c r="Q26" s="1351" t="str">
        <f t="shared" si="11"/>
        <v>平面位置/可视性</v>
      </c>
      <c r="R26" s="705" t="s">
        <v>14</v>
      </c>
      <c r="S26" s="706">
        <f>F26</f>
        <v>100</v>
      </c>
      <c r="T26" s="705" t="s">
        <v>14</v>
      </c>
      <c r="U26" s="706">
        <f>H26</f>
        <v>100</v>
      </c>
      <c r="V26" s="705" t="s">
        <v>14</v>
      </c>
      <c r="W26" s="706">
        <f>J26</f>
        <v>100</v>
      </c>
      <c r="X26" s="1354"/>
      <c r="Y26" s="374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6"/>
      <c r="Q27" s="1342" t="str">
        <f t="shared" si="11"/>
        <v>人流量</v>
      </c>
      <c r="R27" s="701" t="s">
        <v>14</v>
      </c>
      <c r="S27" s="702">
        <f>F27</f>
        <v>100</v>
      </c>
      <c r="T27" s="701" t="s">
        <v>14</v>
      </c>
      <c r="U27" s="702">
        <f>H27</f>
        <v>100</v>
      </c>
      <c r="V27" s="701" t="s">
        <v>14</v>
      </c>
      <c r="W27" s="702">
        <f>J27</f>
        <v>100</v>
      </c>
      <c r="X27" s="703"/>
      <c r="Y27" s="374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6"/>
      <c r="Q29" s="1351">
        <f t="shared" si="11"/>
        <v>111</v>
      </c>
      <c r="R29" s="705" t="s">
        <v>14</v>
      </c>
      <c r="S29" s="706">
        <f t="shared" si="12"/>
        <v>100</v>
      </c>
      <c r="T29" s="705" t="s">
        <v>14</v>
      </c>
      <c r="U29" s="706">
        <f t="shared" si="13"/>
        <v>100</v>
      </c>
      <c r="V29" s="705" t="s">
        <v>14</v>
      </c>
      <c r="W29" s="706">
        <f t="shared" si="14"/>
        <v>100</v>
      </c>
      <c r="X29" s="1354"/>
      <c r="Y29" s="374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6"/>
      <c r="Q30" s="1351">
        <f t="shared" si="11"/>
        <v>111</v>
      </c>
      <c r="R30" s="705" t="s">
        <v>14</v>
      </c>
      <c r="S30" s="706">
        <f t="shared" si="12"/>
        <v>100</v>
      </c>
      <c r="T30" s="705" t="s">
        <v>14</v>
      </c>
      <c r="U30" s="706">
        <f t="shared" si="13"/>
        <v>100</v>
      </c>
      <c r="V30" s="705" t="s">
        <v>14</v>
      </c>
      <c r="W30" s="706">
        <f t="shared" si="14"/>
        <v>100</v>
      </c>
      <c r="X30" s="1354"/>
      <c r="Y30" s="374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6"/>
      <c r="Q31" s="1351">
        <f t="shared" si="11"/>
        <v>111</v>
      </c>
      <c r="R31" s="705" t="s">
        <v>14</v>
      </c>
      <c r="S31" s="706">
        <f t="shared" si="12"/>
        <v>100</v>
      </c>
      <c r="T31" s="705" t="s">
        <v>14</v>
      </c>
      <c r="U31" s="706">
        <f t="shared" si="13"/>
        <v>100</v>
      </c>
      <c r="V31" s="705" t="s">
        <v>14</v>
      </c>
      <c r="W31" s="706">
        <f t="shared" si="14"/>
        <v>100</v>
      </c>
      <c r="X31" s="1354"/>
      <c r="Y31" s="374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0" t="s">
        <v>1696</v>
      </c>
      <c r="Q32" s="1351" t="str">
        <f t="shared" si="11"/>
        <v>商业类型</v>
      </c>
      <c r="R32" s="705" t="s">
        <v>14</v>
      </c>
      <c r="S32" s="706">
        <f t="shared" si="12"/>
        <v>100</v>
      </c>
      <c r="T32" s="705" t="s">
        <v>14</v>
      </c>
      <c r="U32" s="706">
        <f t="shared" si="13"/>
        <v>100</v>
      </c>
      <c r="V32" s="705" t="s">
        <v>14</v>
      </c>
      <c r="W32" s="706">
        <f t="shared" si="14"/>
        <v>100</v>
      </c>
      <c r="X32" s="1354"/>
      <c r="Y32" s="375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1"/>
      <c r="Q33" s="707" t="str">
        <f t="shared" si="11"/>
        <v>项目建筑规模</v>
      </c>
      <c r="R33" s="708" t="s">
        <v>14</v>
      </c>
      <c r="S33" s="709" t="e">
        <f t="shared" si="12"/>
        <v>#N/A</v>
      </c>
      <c r="T33" s="708" t="s">
        <v>14</v>
      </c>
      <c r="U33" s="709" t="e">
        <f t="shared" si="13"/>
        <v>#N/A</v>
      </c>
      <c r="V33" s="708" t="s">
        <v>14</v>
      </c>
      <c r="W33" s="709" t="e">
        <f t="shared" si="14"/>
        <v>#N/A</v>
      </c>
      <c r="X33" s="710"/>
      <c r="Y33" s="375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1"/>
      <c r="Q34" s="1351" t="str">
        <f t="shared" si="11"/>
        <v>建筑结构</v>
      </c>
      <c r="R34" s="705" t="s">
        <v>14</v>
      </c>
      <c r="S34" s="706">
        <f t="shared" si="12"/>
        <v>100</v>
      </c>
      <c r="T34" s="705" t="s">
        <v>14</v>
      </c>
      <c r="U34" s="706">
        <f t="shared" si="13"/>
        <v>100</v>
      </c>
      <c r="V34" s="705" t="s">
        <v>14</v>
      </c>
      <c r="W34" s="706">
        <f t="shared" si="14"/>
        <v>100</v>
      </c>
      <c r="X34" s="1354"/>
      <c r="Y34" s="375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1"/>
      <c r="Q35" s="1351" t="str">
        <f t="shared" si="11"/>
        <v>公共部分装修</v>
      </c>
      <c r="R35" s="705" t="s">
        <v>14</v>
      </c>
      <c r="S35" s="706">
        <f t="shared" si="12"/>
        <v>100</v>
      </c>
      <c r="T35" s="705" t="s">
        <v>14</v>
      </c>
      <c r="U35" s="706">
        <f t="shared" si="13"/>
        <v>100</v>
      </c>
      <c r="V35" s="705" t="s">
        <v>14</v>
      </c>
      <c r="W35" s="706">
        <f t="shared" si="14"/>
        <v>100</v>
      </c>
      <c r="X35" s="1354"/>
      <c r="Y35" s="375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1"/>
      <c r="Q36" s="1351" t="str">
        <f t="shared" si="11"/>
        <v>成新度</v>
      </c>
      <c r="R36" s="705" t="s">
        <v>14</v>
      </c>
      <c r="S36" s="706" t="e">
        <f t="shared" si="12"/>
        <v>#N/A</v>
      </c>
      <c r="T36" s="705" t="s">
        <v>14</v>
      </c>
      <c r="U36" s="706" t="e">
        <f t="shared" si="13"/>
        <v>#N/A</v>
      </c>
      <c r="V36" s="705" t="s">
        <v>14</v>
      </c>
      <c r="W36" s="706" t="e">
        <f t="shared" si="14"/>
        <v>#N/A</v>
      </c>
      <c r="X36" s="1354"/>
      <c r="Y36" s="375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1"/>
      <c r="Q37" s="1342" t="str">
        <f t="shared" si="11"/>
        <v>市政基础设施</v>
      </c>
      <c r="R37" s="701" t="s">
        <v>14</v>
      </c>
      <c r="S37" s="702">
        <f t="shared" si="12"/>
        <v>100</v>
      </c>
      <c r="T37" s="701" t="s">
        <v>14</v>
      </c>
      <c r="U37" s="702">
        <f t="shared" si="13"/>
        <v>100</v>
      </c>
      <c r="V37" s="701" t="s">
        <v>14</v>
      </c>
      <c r="W37" s="702">
        <f t="shared" si="14"/>
        <v>100</v>
      </c>
      <c r="X37" s="703"/>
      <c r="Y37" s="375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1" t="s">
        <v>1696</v>
      </c>
      <c r="Q38" s="1351" t="str">
        <f t="shared" si="11"/>
        <v>业态</v>
      </c>
      <c r="R38" s="705" t="s">
        <v>14</v>
      </c>
      <c r="S38" s="706">
        <f t="shared" si="12"/>
        <v>100</v>
      </c>
      <c r="T38" s="705" t="s">
        <v>14</v>
      </c>
      <c r="U38" s="706">
        <f t="shared" si="13"/>
        <v>100</v>
      </c>
      <c r="V38" s="705" t="s">
        <v>14</v>
      </c>
      <c r="W38" s="706">
        <f t="shared" si="14"/>
        <v>100</v>
      </c>
      <c r="X38" s="1354"/>
      <c r="Y38" s="375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1"/>
      <c r="Q39" s="1351" t="str">
        <f t="shared" si="11"/>
        <v>层高</v>
      </c>
      <c r="R39" s="705" t="s">
        <v>14</v>
      </c>
      <c r="S39" s="706">
        <f t="shared" si="12"/>
        <v>100</v>
      </c>
      <c r="T39" s="705" t="s">
        <v>14</v>
      </c>
      <c r="U39" s="706">
        <f t="shared" si="13"/>
        <v>100</v>
      </c>
      <c r="V39" s="705" t="s">
        <v>14</v>
      </c>
      <c r="W39" s="706">
        <f t="shared" si="14"/>
        <v>100</v>
      </c>
      <c r="X39" s="1354"/>
      <c r="Y39" s="375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1"/>
      <c r="Q40" s="1351" t="str">
        <f t="shared" si="11"/>
        <v>单套建筑面积</v>
      </c>
      <c r="R40" s="705" t="s">
        <v>14</v>
      </c>
      <c r="S40" s="706">
        <f t="shared" si="12"/>
        <v>100</v>
      </c>
      <c r="T40" s="705" t="s">
        <v>14</v>
      </c>
      <c r="U40" s="706">
        <f t="shared" si="13"/>
        <v>100</v>
      </c>
      <c r="V40" s="705" t="s">
        <v>14</v>
      </c>
      <c r="W40" s="706">
        <f t="shared" si="14"/>
        <v>100</v>
      </c>
      <c r="X40" s="1354"/>
      <c r="Y40" s="375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1"/>
      <c r="Q41" s="707" t="str">
        <f t="shared" si="11"/>
        <v>进深比</v>
      </c>
      <c r="R41" s="708" t="s">
        <v>14</v>
      </c>
      <c r="S41" s="709">
        <f t="shared" si="12"/>
        <v>100</v>
      </c>
      <c r="T41" s="708" t="s">
        <v>14</v>
      </c>
      <c r="U41" s="709">
        <f t="shared" si="13"/>
        <v>100</v>
      </c>
      <c r="V41" s="708" t="s">
        <v>14</v>
      </c>
      <c r="W41" s="709">
        <f t="shared" si="14"/>
        <v>100</v>
      </c>
      <c r="X41" s="710"/>
      <c r="Y41" s="375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1"/>
      <c r="Q42" s="1351" t="str">
        <f t="shared" si="11"/>
        <v>内部装修</v>
      </c>
      <c r="R42" s="705" t="s">
        <v>14</v>
      </c>
      <c r="S42" s="706">
        <f t="shared" si="12"/>
        <v>100</v>
      </c>
      <c r="T42" s="705" t="s">
        <v>14</v>
      </c>
      <c r="U42" s="706">
        <f t="shared" si="13"/>
        <v>100</v>
      </c>
      <c r="V42" s="705" t="s">
        <v>14</v>
      </c>
      <c r="W42" s="706">
        <f t="shared" si="14"/>
        <v>100</v>
      </c>
      <c r="X42" s="1354"/>
      <c r="Y42" s="375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1"/>
      <c r="Q43" s="1351" t="str">
        <f t="shared" si="11"/>
        <v>内部装修维护情况</v>
      </c>
      <c r="R43" s="705" t="s">
        <v>14</v>
      </c>
      <c r="S43" s="706">
        <f t="shared" si="12"/>
        <v>100</v>
      </c>
      <c r="T43" s="705" t="s">
        <v>14</v>
      </c>
      <c r="U43" s="706">
        <f t="shared" si="13"/>
        <v>100</v>
      </c>
      <c r="V43" s="705" t="s">
        <v>14</v>
      </c>
      <c r="W43" s="706">
        <f t="shared" si="14"/>
        <v>100</v>
      </c>
      <c r="X43" s="1354"/>
      <c r="Y43" s="375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1"/>
      <c r="Q44" s="1342">
        <f t="shared" si="11"/>
        <v>111</v>
      </c>
      <c r="R44" s="701" t="s">
        <v>14</v>
      </c>
      <c r="S44" s="702">
        <f t="shared" si="12"/>
        <v>100</v>
      </c>
      <c r="T44" s="701" t="s">
        <v>14</v>
      </c>
      <c r="U44" s="702">
        <f t="shared" si="13"/>
        <v>100</v>
      </c>
      <c r="V44" s="701" t="s">
        <v>14</v>
      </c>
      <c r="W44" s="702">
        <f t="shared" si="14"/>
        <v>100</v>
      </c>
      <c r="X44" s="703"/>
      <c r="Y44" s="37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1"/>
      <c r="Q45" s="1351">
        <f t="shared" si="11"/>
        <v>111</v>
      </c>
      <c r="R45" s="705" t="s">
        <v>14</v>
      </c>
      <c r="S45" s="706">
        <f t="shared" si="12"/>
        <v>100</v>
      </c>
      <c r="T45" s="705" t="s">
        <v>14</v>
      </c>
      <c r="U45" s="706">
        <f t="shared" si="13"/>
        <v>100</v>
      </c>
      <c r="V45" s="705" t="s">
        <v>14</v>
      </c>
      <c r="W45" s="706">
        <f t="shared" si="14"/>
        <v>100</v>
      </c>
      <c r="X45" s="1354"/>
      <c r="Y45" s="375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2"/>
      <c r="Q46" s="1351">
        <f t="shared" si="11"/>
        <v>111</v>
      </c>
      <c r="R46" s="705" t="s">
        <v>14</v>
      </c>
      <c r="S46" s="706">
        <f t="shared" si="12"/>
        <v>100</v>
      </c>
      <c r="T46" s="705" t="s">
        <v>14</v>
      </c>
      <c r="U46" s="706">
        <f t="shared" si="13"/>
        <v>100</v>
      </c>
      <c r="V46" s="705" t="s">
        <v>14</v>
      </c>
      <c r="W46" s="706">
        <f t="shared" si="14"/>
        <v>100</v>
      </c>
      <c r="X46" s="1354"/>
      <c r="Y46" s="375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46" t="str">
        <f>A47</f>
        <v>成交单价（元/平方米）</v>
      </c>
      <c r="Q47" s="3746"/>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2025-7</v>
      </c>
      <c r="D58" s="1184">
        <f>EDATE(C58,-1)</f>
        <v>45809</v>
      </c>
      <c r="E58" s="1184">
        <f t="shared" ref="E58:N58" si="16">EDATE(D58,-1)</f>
        <v>45778</v>
      </c>
      <c r="F58" s="1184">
        <f t="shared" si="16"/>
        <v>45748</v>
      </c>
      <c r="G58" s="1184">
        <f t="shared" si="16"/>
        <v>45717</v>
      </c>
      <c r="H58" s="1184">
        <f t="shared" si="16"/>
        <v>45689</v>
      </c>
      <c r="I58" s="1184">
        <f t="shared" si="16"/>
        <v>45658</v>
      </c>
      <c r="J58" s="1184">
        <f t="shared" si="16"/>
        <v>45627</v>
      </c>
      <c r="K58" s="1184">
        <f t="shared" si="16"/>
        <v>45597</v>
      </c>
      <c r="L58" s="1184">
        <f t="shared" si="16"/>
        <v>45566</v>
      </c>
      <c r="M58" s="1184">
        <f t="shared" si="16"/>
        <v>45536</v>
      </c>
      <c r="N58" s="1184">
        <f t="shared" si="16"/>
        <v>45505</v>
      </c>
      <c r="O58" s="1184">
        <f>EDATE(N58,-1)</f>
        <v>45474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9" t="s">
        <v>1770</v>
      </c>
      <c r="D4" s="3730"/>
      <c r="E4" s="3731" t="s">
        <v>1771</v>
      </c>
      <c r="F4" s="3732"/>
      <c r="G4" s="3729" t="s">
        <v>1772</v>
      </c>
      <c r="H4" s="3730"/>
      <c r="I4" s="3729" t="s">
        <v>1773</v>
      </c>
      <c r="J4" s="3730"/>
      <c r="K4" s="559" t="s">
        <v>1774</v>
      </c>
      <c r="L4" s="2714"/>
      <c r="M4" s="2715"/>
      <c r="N4" s="2715"/>
      <c r="O4" s="2715"/>
      <c r="P4" s="3763" t="s">
        <v>1775</v>
      </c>
      <c r="Q4" s="3764"/>
      <c r="R4" s="3758" t="s">
        <v>1771</v>
      </c>
      <c r="S4" s="3759"/>
      <c r="T4" s="3758" t="s">
        <v>1772</v>
      </c>
      <c r="U4" s="3759"/>
      <c r="V4" s="3767" t="s">
        <v>1773</v>
      </c>
      <c r="W4" s="3767"/>
      <c r="X4" s="1957"/>
      <c r="Y4" s="3758" t="s">
        <v>1775</v>
      </c>
      <c r="Z4" s="3759"/>
      <c r="AA4" s="3757" t="s">
        <v>1771</v>
      </c>
      <c r="AB4" s="3757" t="s">
        <v>1772</v>
      </c>
      <c r="AC4" s="3760" t="s">
        <v>1773</v>
      </c>
    </row>
    <row r="5" spans="1:29" ht="15">
      <c r="A5" s="358"/>
      <c r="B5" s="359"/>
      <c r="C5" s="3722" t="s">
        <v>1673</v>
      </c>
      <c r="D5" s="3723"/>
      <c r="E5" s="3720" t="s">
        <v>1674</v>
      </c>
      <c r="F5" s="3721"/>
      <c r="G5" s="3722" t="s">
        <v>1675</v>
      </c>
      <c r="H5" s="3723"/>
      <c r="I5" s="3722" t="s">
        <v>1676</v>
      </c>
      <c r="J5" s="3723"/>
      <c r="K5" s="559"/>
      <c r="L5" s="2714"/>
      <c r="M5" s="2715"/>
      <c r="N5" s="2715"/>
      <c r="O5" s="2715"/>
      <c r="P5" s="3765"/>
      <c r="Q5" s="3736"/>
      <c r="R5" s="3718"/>
      <c r="S5" s="3719"/>
      <c r="T5" s="3718"/>
      <c r="U5" s="3719"/>
      <c r="V5" s="3741"/>
      <c r="W5" s="3741"/>
      <c r="X5" s="1354"/>
      <c r="Y5" s="3718"/>
      <c r="Z5" s="3719"/>
      <c r="AA5" s="3712"/>
      <c r="AB5" s="3712"/>
      <c r="AC5" s="3761"/>
    </row>
    <row r="6" spans="1:29" ht="15.75" thickBot="1">
      <c r="A6" s="360"/>
      <c r="B6" s="361"/>
      <c r="C6" s="3724" t="s">
        <v>1677</v>
      </c>
      <c r="D6" s="3725"/>
      <c r="E6" s="3726" t="s">
        <v>1677</v>
      </c>
      <c r="F6" s="3727"/>
      <c r="G6" s="3724" t="s">
        <v>1677</v>
      </c>
      <c r="H6" s="3725"/>
      <c r="I6" s="3724" t="s">
        <v>1677</v>
      </c>
      <c r="J6" s="3725"/>
      <c r="K6" s="559" t="s">
        <v>1678</v>
      </c>
      <c r="L6" s="2714"/>
      <c r="M6" s="2715"/>
      <c r="N6" s="2715"/>
      <c r="O6" s="2715"/>
      <c r="P6" s="3766"/>
      <c r="Q6" s="3738"/>
      <c r="R6" s="3718"/>
      <c r="S6" s="3719"/>
      <c r="T6" s="3739"/>
      <c r="U6" s="3740"/>
      <c r="V6" s="3741"/>
      <c r="W6" s="3741"/>
      <c r="X6" s="1354"/>
      <c r="Y6" s="3739"/>
      <c r="Z6" s="3740"/>
      <c r="AA6" s="3713"/>
      <c r="AB6" s="3713"/>
      <c r="AC6" s="3762"/>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8"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8"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8"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8"/>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8"/>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8"/>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8"/>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8"/>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5" t="s">
        <v>1691</v>
      </c>
      <c r="Q15" s="1351" t="str">
        <f t="shared" si="6"/>
        <v>办公集聚程度</v>
      </c>
      <c r="R15" s="705" t="s">
        <v>14</v>
      </c>
      <c r="S15" s="706">
        <f t="shared" si="0"/>
        <v>100</v>
      </c>
      <c r="T15" s="705" t="s">
        <v>14</v>
      </c>
      <c r="U15" s="706">
        <f t="shared" si="1"/>
        <v>100</v>
      </c>
      <c r="V15" s="705" t="s">
        <v>14</v>
      </c>
      <c r="W15" s="706">
        <f t="shared" si="2"/>
        <v>100</v>
      </c>
      <c r="X15" s="1354"/>
      <c r="Y15" s="374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56"/>
      <c r="Q16" s="1351"/>
      <c r="R16" s="705"/>
      <c r="S16" s="706"/>
      <c r="T16" s="705"/>
      <c r="U16" s="706"/>
      <c r="V16" s="705"/>
      <c r="W16" s="706"/>
      <c r="X16" s="1354"/>
      <c r="Y16" s="374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6"/>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6"/>
      <c r="Q18" s="1351"/>
      <c r="R18" s="705"/>
      <c r="S18" s="706"/>
      <c r="T18" s="705"/>
      <c r="U18" s="706"/>
      <c r="V18" s="705"/>
      <c r="W18" s="706"/>
      <c r="X18" s="1354"/>
      <c r="Y18" s="374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6"/>
      <c r="Q19" s="1351" t="str">
        <f>B19</f>
        <v>公共配套设施</v>
      </c>
      <c r="R19" s="705" t="s">
        <v>14</v>
      </c>
      <c r="S19" s="706">
        <f>F19</f>
        <v>100</v>
      </c>
      <c r="T19" s="705" t="s">
        <v>14</v>
      </c>
      <c r="U19" s="706">
        <f>H19</f>
        <v>100</v>
      </c>
      <c r="V19" s="705" t="s">
        <v>14</v>
      </c>
      <c r="W19" s="706">
        <f>J19</f>
        <v>100</v>
      </c>
      <c r="X19" s="1354"/>
      <c r="Y19" s="374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6"/>
      <c r="Q20" s="1351"/>
      <c r="R20" s="705"/>
      <c r="S20" s="706"/>
      <c r="T20" s="705"/>
      <c r="U20" s="706"/>
      <c r="V20" s="705"/>
      <c r="W20" s="706"/>
      <c r="X20" s="1354"/>
      <c r="Y20" s="374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6"/>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56"/>
      <c r="Q22" s="1351"/>
      <c r="R22" s="705"/>
      <c r="S22" s="706"/>
      <c r="T22" s="705"/>
      <c r="U22" s="706"/>
      <c r="V22" s="705"/>
      <c r="W22" s="706"/>
      <c r="X22" s="1354"/>
      <c r="Y22" s="374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6"/>
      <c r="Q23" s="1351" t="str">
        <f>B23</f>
        <v>环境质量</v>
      </c>
      <c r="R23" s="705" t="s">
        <v>14</v>
      </c>
      <c r="S23" s="706">
        <f>F23</f>
        <v>100</v>
      </c>
      <c r="T23" s="705" t="s">
        <v>14</v>
      </c>
      <c r="U23" s="706">
        <f>H23</f>
        <v>100</v>
      </c>
      <c r="V23" s="705" t="s">
        <v>14</v>
      </c>
      <c r="W23" s="706">
        <f>J23</f>
        <v>100</v>
      </c>
      <c r="X23" s="1354"/>
      <c r="Y23" s="374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6"/>
      <c r="Q24" s="1351"/>
      <c r="R24" s="705"/>
      <c r="S24" s="706"/>
      <c r="T24" s="705"/>
      <c r="U24" s="706"/>
      <c r="V24" s="705"/>
      <c r="W24" s="706"/>
      <c r="X24" s="1354"/>
      <c r="Y24" s="374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6"/>
      <c r="Q25" s="1351" t="str">
        <f>B25</f>
        <v>毗邻道路的类型与等级</v>
      </c>
      <c r="R25" s="705" t="s">
        <v>14</v>
      </c>
      <c r="S25" s="706">
        <f>F25</f>
        <v>100</v>
      </c>
      <c r="T25" s="705" t="s">
        <v>14</v>
      </c>
      <c r="U25" s="706">
        <f>H25</f>
        <v>100</v>
      </c>
      <c r="V25" s="705" t="s">
        <v>14</v>
      </c>
      <c r="W25" s="706">
        <f>J25</f>
        <v>100</v>
      </c>
      <c r="X25" s="1354"/>
      <c r="Y25" s="374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6"/>
      <c r="Q26" s="1351"/>
      <c r="R26" s="705"/>
      <c r="S26" s="706"/>
      <c r="T26" s="705"/>
      <c r="U26" s="706"/>
      <c r="V26" s="705"/>
      <c r="W26" s="706"/>
      <c r="X26" s="1354"/>
      <c r="Y26" s="374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6"/>
      <c r="Q27" s="1351" t="str">
        <f t="shared" ref="Q27:Q47" si="11">B27</f>
        <v>楼层</v>
      </c>
      <c r="R27" s="705" t="s">
        <v>14</v>
      </c>
      <c r="S27" s="706">
        <f>F27</f>
        <v>100</v>
      </c>
      <c r="T27" s="705" t="s">
        <v>14</v>
      </c>
      <c r="U27" s="706">
        <f>H27</f>
        <v>100</v>
      </c>
      <c r="V27" s="705" t="s">
        <v>14</v>
      </c>
      <c r="W27" s="706">
        <f>J27</f>
        <v>100</v>
      </c>
      <c r="X27" s="1354"/>
      <c r="Y27" s="374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6"/>
      <c r="Q28" s="1342" t="str">
        <f t="shared" si="11"/>
        <v>朝向</v>
      </c>
      <c r="R28" s="701" t="s">
        <v>14</v>
      </c>
      <c r="S28" s="702">
        <f>F28</f>
        <v>100</v>
      </c>
      <c r="T28" s="701" t="s">
        <v>14</v>
      </c>
      <c r="U28" s="702">
        <f>H28</f>
        <v>100</v>
      </c>
      <c r="V28" s="701" t="s">
        <v>14</v>
      </c>
      <c r="W28" s="702">
        <f>J28</f>
        <v>100</v>
      </c>
      <c r="X28" s="703"/>
      <c r="Y28" s="374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6"/>
      <c r="Q29" s="1351">
        <f t="shared" si="11"/>
        <v>111</v>
      </c>
      <c r="R29" s="705" t="s">
        <v>14</v>
      </c>
      <c r="S29" s="706">
        <f t="shared" ref="S29:S47" si="12">F29</f>
        <v>100</v>
      </c>
      <c r="T29" s="705" t="s">
        <v>14</v>
      </c>
      <c r="U29" s="706">
        <f t="shared" ref="U29:U47" si="13">H29</f>
        <v>100</v>
      </c>
      <c r="V29" s="705" t="s">
        <v>14</v>
      </c>
      <c r="W29" s="706">
        <f t="shared" ref="W29:W47" si="14">J29</f>
        <v>100</v>
      </c>
      <c r="X29" s="1354"/>
      <c r="Y29" s="374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6"/>
      <c r="Q30" s="1351">
        <f t="shared" si="11"/>
        <v>111</v>
      </c>
      <c r="R30" s="705" t="s">
        <v>14</v>
      </c>
      <c r="S30" s="706">
        <f t="shared" si="12"/>
        <v>100</v>
      </c>
      <c r="T30" s="705" t="s">
        <v>14</v>
      </c>
      <c r="U30" s="706">
        <f t="shared" si="13"/>
        <v>100</v>
      </c>
      <c r="V30" s="705" t="s">
        <v>14</v>
      </c>
      <c r="W30" s="706">
        <f t="shared" si="14"/>
        <v>100</v>
      </c>
      <c r="X30" s="1354"/>
      <c r="Y30" s="374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6"/>
      <c r="Q31" s="1351">
        <f t="shared" si="11"/>
        <v>111</v>
      </c>
      <c r="R31" s="705" t="s">
        <v>14</v>
      </c>
      <c r="S31" s="706">
        <f t="shared" si="12"/>
        <v>100</v>
      </c>
      <c r="T31" s="705" t="s">
        <v>14</v>
      </c>
      <c r="U31" s="706">
        <f t="shared" si="13"/>
        <v>100</v>
      </c>
      <c r="V31" s="705" t="s">
        <v>14</v>
      </c>
      <c r="W31" s="706">
        <f t="shared" si="14"/>
        <v>100</v>
      </c>
      <c r="X31" s="1354"/>
      <c r="Y31" s="374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6"/>
      <c r="Q32" s="1351">
        <f t="shared" si="11"/>
        <v>111</v>
      </c>
      <c r="R32" s="705" t="s">
        <v>14</v>
      </c>
      <c r="S32" s="706">
        <f t="shared" si="12"/>
        <v>100</v>
      </c>
      <c r="T32" s="705" t="s">
        <v>14</v>
      </c>
      <c r="U32" s="706">
        <f t="shared" si="13"/>
        <v>100</v>
      </c>
      <c r="V32" s="705" t="s">
        <v>14</v>
      </c>
      <c r="W32" s="706">
        <f t="shared" si="14"/>
        <v>100</v>
      </c>
      <c r="X32" s="1354"/>
      <c r="Y32" s="374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0" t="s">
        <v>1696</v>
      </c>
      <c r="Q33" s="1351" t="str">
        <f t="shared" si="11"/>
        <v>建筑类型</v>
      </c>
      <c r="R33" s="705" t="s">
        <v>14</v>
      </c>
      <c r="S33" s="706">
        <f t="shared" si="12"/>
        <v>100</v>
      </c>
      <c r="T33" s="705" t="s">
        <v>14</v>
      </c>
      <c r="U33" s="706">
        <f t="shared" si="13"/>
        <v>100</v>
      </c>
      <c r="V33" s="705" t="s">
        <v>14</v>
      </c>
      <c r="W33" s="706">
        <f t="shared" si="14"/>
        <v>100</v>
      </c>
      <c r="X33" s="1354"/>
      <c r="Y33" s="375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1"/>
      <c r="Q34" s="707" t="str">
        <f t="shared" si="11"/>
        <v>项目建筑规模</v>
      </c>
      <c r="R34" s="708" t="s">
        <v>14</v>
      </c>
      <c r="S34" s="709" t="e">
        <f t="shared" si="12"/>
        <v>#N/A</v>
      </c>
      <c r="T34" s="708" t="s">
        <v>14</v>
      </c>
      <c r="U34" s="709" t="e">
        <f t="shared" si="13"/>
        <v>#N/A</v>
      </c>
      <c r="V34" s="708" t="s">
        <v>14</v>
      </c>
      <c r="W34" s="709" t="e">
        <f t="shared" si="14"/>
        <v>#N/A</v>
      </c>
      <c r="X34" s="710"/>
      <c r="Y34" s="375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1"/>
      <c r="Q35" s="1351" t="str">
        <f t="shared" si="11"/>
        <v>建筑结构</v>
      </c>
      <c r="R35" s="705" t="s">
        <v>14</v>
      </c>
      <c r="S35" s="706">
        <f t="shared" si="12"/>
        <v>100</v>
      </c>
      <c r="T35" s="705" t="s">
        <v>14</v>
      </c>
      <c r="U35" s="706">
        <f t="shared" si="13"/>
        <v>100</v>
      </c>
      <c r="V35" s="705" t="s">
        <v>14</v>
      </c>
      <c r="W35" s="706">
        <f t="shared" si="14"/>
        <v>100</v>
      </c>
      <c r="X35" s="1354"/>
      <c r="Y35" s="375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1"/>
      <c r="Q36" s="1351" t="str">
        <f t="shared" si="11"/>
        <v>公共部分装修</v>
      </c>
      <c r="R36" s="705" t="s">
        <v>14</v>
      </c>
      <c r="S36" s="706">
        <f t="shared" si="12"/>
        <v>100</v>
      </c>
      <c r="T36" s="705" t="s">
        <v>14</v>
      </c>
      <c r="U36" s="706">
        <f t="shared" si="13"/>
        <v>100</v>
      </c>
      <c r="V36" s="705" t="s">
        <v>14</v>
      </c>
      <c r="W36" s="706">
        <f t="shared" si="14"/>
        <v>100</v>
      </c>
      <c r="X36" s="1354"/>
      <c r="Y36" s="375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1"/>
      <c r="Q37" s="1351" t="str">
        <f t="shared" si="11"/>
        <v>成新度</v>
      </c>
      <c r="R37" s="705" t="s">
        <v>14</v>
      </c>
      <c r="S37" s="706" t="e">
        <f t="shared" si="12"/>
        <v>#N/A</v>
      </c>
      <c r="T37" s="705" t="s">
        <v>14</v>
      </c>
      <c r="U37" s="706" t="e">
        <f t="shared" si="13"/>
        <v>#N/A</v>
      </c>
      <c r="V37" s="705" t="s">
        <v>14</v>
      </c>
      <c r="W37" s="706" t="e">
        <f t="shared" si="14"/>
        <v>#N/A</v>
      </c>
      <c r="X37" s="1354"/>
      <c r="Y37" s="375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1"/>
      <c r="Q38" s="1342" t="str">
        <f t="shared" si="11"/>
        <v>写字楼等级</v>
      </c>
      <c r="R38" s="701" t="s">
        <v>14</v>
      </c>
      <c r="S38" s="702">
        <f t="shared" si="12"/>
        <v>100</v>
      </c>
      <c r="T38" s="701" t="s">
        <v>14</v>
      </c>
      <c r="U38" s="702">
        <f t="shared" si="13"/>
        <v>100</v>
      </c>
      <c r="V38" s="701" t="s">
        <v>14</v>
      </c>
      <c r="W38" s="702">
        <f t="shared" si="14"/>
        <v>100</v>
      </c>
      <c r="X38" s="703"/>
      <c r="Y38" s="375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1" t="s">
        <v>1696</v>
      </c>
      <c r="Q39" s="1351" t="str">
        <f t="shared" si="11"/>
        <v>物业管理</v>
      </c>
      <c r="R39" s="705" t="s">
        <v>14</v>
      </c>
      <c r="S39" s="706">
        <f t="shared" si="12"/>
        <v>100</v>
      </c>
      <c r="T39" s="705" t="s">
        <v>14</v>
      </c>
      <c r="U39" s="706">
        <f t="shared" si="13"/>
        <v>100</v>
      </c>
      <c r="V39" s="705" t="s">
        <v>14</v>
      </c>
      <c r="W39" s="706">
        <f t="shared" si="14"/>
        <v>100</v>
      </c>
      <c r="X39" s="1354"/>
      <c r="Y39" s="375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1"/>
      <c r="Q40" s="1351" t="str">
        <f t="shared" si="11"/>
        <v>市政基础设施</v>
      </c>
      <c r="R40" s="705" t="s">
        <v>14</v>
      </c>
      <c r="S40" s="706">
        <f t="shared" si="12"/>
        <v>100</v>
      </c>
      <c r="T40" s="705" t="s">
        <v>14</v>
      </c>
      <c r="U40" s="706">
        <f t="shared" si="13"/>
        <v>100</v>
      </c>
      <c r="V40" s="705" t="s">
        <v>14</v>
      </c>
      <c r="W40" s="706">
        <f t="shared" si="14"/>
        <v>100</v>
      </c>
      <c r="X40" s="1354"/>
      <c r="Y40" s="375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1"/>
      <c r="Q41" s="1351" t="str">
        <f t="shared" si="11"/>
        <v>层高</v>
      </c>
      <c r="R41" s="705" t="s">
        <v>14</v>
      </c>
      <c r="S41" s="706">
        <f t="shared" si="12"/>
        <v>100</v>
      </c>
      <c r="T41" s="705" t="s">
        <v>14</v>
      </c>
      <c r="U41" s="706">
        <f t="shared" si="13"/>
        <v>100</v>
      </c>
      <c r="V41" s="705" t="s">
        <v>14</v>
      </c>
      <c r="W41" s="706">
        <f t="shared" si="14"/>
        <v>100</v>
      </c>
      <c r="X41" s="1354"/>
      <c r="Y41" s="375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1"/>
      <c r="Q42" s="707" t="str">
        <f t="shared" si="11"/>
        <v>单套建筑面积</v>
      </c>
      <c r="R42" s="708" t="s">
        <v>14</v>
      </c>
      <c r="S42" s="709">
        <f t="shared" si="12"/>
        <v>100</v>
      </c>
      <c r="T42" s="708" t="s">
        <v>14</v>
      </c>
      <c r="U42" s="709">
        <f t="shared" si="13"/>
        <v>100</v>
      </c>
      <c r="V42" s="708" t="s">
        <v>14</v>
      </c>
      <c r="W42" s="709">
        <f t="shared" si="14"/>
        <v>100</v>
      </c>
      <c r="X42" s="710"/>
      <c r="Y42" s="375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1"/>
      <c r="Q43" s="1351" t="str">
        <f t="shared" si="11"/>
        <v>内部装修</v>
      </c>
      <c r="R43" s="705" t="s">
        <v>14</v>
      </c>
      <c r="S43" s="706">
        <f t="shared" si="12"/>
        <v>100</v>
      </c>
      <c r="T43" s="705" t="s">
        <v>14</v>
      </c>
      <c r="U43" s="706">
        <f t="shared" si="13"/>
        <v>100</v>
      </c>
      <c r="V43" s="705" t="s">
        <v>14</v>
      </c>
      <c r="W43" s="706">
        <f t="shared" si="14"/>
        <v>100</v>
      </c>
      <c r="X43" s="1354"/>
      <c r="Y43" s="375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1"/>
      <c r="Q44" s="1351" t="str">
        <f t="shared" si="11"/>
        <v>内部装修维护情况</v>
      </c>
      <c r="R44" s="705" t="s">
        <v>14</v>
      </c>
      <c r="S44" s="706">
        <f t="shared" si="12"/>
        <v>100</v>
      </c>
      <c r="T44" s="705" t="s">
        <v>14</v>
      </c>
      <c r="U44" s="706">
        <f t="shared" si="13"/>
        <v>100</v>
      </c>
      <c r="V44" s="705" t="s">
        <v>14</v>
      </c>
      <c r="W44" s="706">
        <f t="shared" si="14"/>
        <v>100</v>
      </c>
      <c r="X44" s="1354"/>
      <c r="Y44" s="375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1"/>
      <c r="Q45" s="1342">
        <f t="shared" si="11"/>
        <v>111</v>
      </c>
      <c r="R45" s="701" t="s">
        <v>14</v>
      </c>
      <c r="S45" s="702">
        <f t="shared" si="12"/>
        <v>100</v>
      </c>
      <c r="T45" s="701" t="s">
        <v>14</v>
      </c>
      <c r="U45" s="702">
        <f t="shared" si="13"/>
        <v>100</v>
      </c>
      <c r="V45" s="701" t="s">
        <v>14</v>
      </c>
      <c r="W45" s="702">
        <f t="shared" si="14"/>
        <v>100</v>
      </c>
      <c r="X45" s="703"/>
      <c r="Y45" s="375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1"/>
      <c r="Q46" s="1351">
        <f t="shared" si="11"/>
        <v>111</v>
      </c>
      <c r="R46" s="705" t="s">
        <v>14</v>
      </c>
      <c r="S46" s="706">
        <f t="shared" si="12"/>
        <v>100</v>
      </c>
      <c r="T46" s="705" t="s">
        <v>14</v>
      </c>
      <c r="U46" s="706">
        <f t="shared" si="13"/>
        <v>100</v>
      </c>
      <c r="V46" s="705" t="s">
        <v>14</v>
      </c>
      <c r="W46" s="706">
        <f t="shared" si="14"/>
        <v>100</v>
      </c>
      <c r="X46" s="1354"/>
      <c r="Y46" s="375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2"/>
      <c r="Q47" s="1351">
        <f t="shared" si="11"/>
        <v>111</v>
      </c>
      <c r="R47" s="705" t="s">
        <v>14</v>
      </c>
      <c r="S47" s="706">
        <f t="shared" si="12"/>
        <v>100</v>
      </c>
      <c r="T47" s="705" t="s">
        <v>14</v>
      </c>
      <c r="U47" s="706">
        <f t="shared" si="13"/>
        <v>100</v>
      </c>
      <c r="V47" s="705" t="s">
        <v>14</v>
      </c>
      <c r="W47" s="706">
        <f t="shared" si="14"/>
        <v>100</v>
      </c>
      <c r="X47" s="1354"/>
      <c r="Y47" s="375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8" t="str">
        <f>A48</f>
        <v>成交单价（元/平方米）</v>
      </c>
      <c r="Q48" s="3746"/>
      <c r="R48" s="3747">
        <f>E48</f>
        <v>0</v>
      </c>
      <c r="S48" s="3747"/>
      <c r="T48" s="3747">
        <f>G48</f>
        <v>0</v>
      </c>
      <c r="U48" s="3747"/>
      <c r="V48" s="3747">
        <f>I48</f>
        <v>0</v>
      </c>
      <c r="W48" s="3747"/>
      <c r="X48" s="397"/>
      <c r="Y48" s="712"/>
      <c r="Z48" s="397"/>
      <c r="AA48" s="397"/>
      <c r="AB48" s="397"/>
      <c r="AC48" s="578"/>
    </row>
    <row r="49" spans="1:29" ht="15.75" thickBot="1">
      <c r="A49" s="437" t="s">
        <v>1793</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728"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2025-7</v>
      </c>
      <c r="D59" s="1184">
        <f>EDATE(C59,-1)</f>
        <v>45809</v>
      </c>
      <c r="E59" s="1184">
        <f>EDATE(D59,-1)</f>
        <v>45778</v>
      </c>
      <c r="F59" s="1184">
        <f t="shared" ref="F59:O59" si="16">EDATE(E59,-1)</f>
        <v>45748</v>
      </c>
      <c r="G59" s="1184">
        <f t="shared" si="16"/>
        <v>45717</v>
      </c>
      <c r="H59" s="1184">
        <f t="shared" si="16"/>
        <v>45689</v>
      </c>
      <c r="I59" s="1184">
        <f t="shared" si="16"/>
        <v>45658</v>
      </c>
      <c r="J59" s="1184">
        <f t="shared" si="16"/>
        <v>45627</v>
      </c>
      <c r="K59" s="1184">
        <f t="shared" si="16"/>
        <v>45597</v>
      </c>
      <c r="L59" s="1184">
        <f t="shared" si="16"/>
        <v>45566</v>
      </c>
      <c r="M59" s="1184">
        <f t="shared" si="16"/>
        <v>45536</v>
      </c>
      <c r="N59" s="1184">
        <f t="shared" si="16"/>
        <v>45505</v>
      </c>
      <c r="O59" s="1184">
        <f t="shared" si="16"/>
        <v>45474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913"/>
      <c r="M4" s="914"/>
      <c r="N4" s="914"/>
      <c r="O4" s="914"/>
      <c r="P4" s="3733" t="s">
        <v>1775</v>
      </c>
      <c r="Q4" s="3734"/>
      <c r="R4" s="3716" t="s">
        <v>1771</v>
      </c>
      <c r="S4" s="3717"/>
      <c r="T4" s="3716" t="s">
        <v>1772</v>
      </c>
      <c r="U4" s="3717"/>
      <c r="V4" s="3741" t="s">
        <v>1773</v>
      </c>
      <c r="W4" s="3741"/>
      <c r="X4" s="1354"/>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913"/>
      <c r="M5" s="914"/>
      <c r="N5" s="914"/>
      <c r="O5" s="914"/>
      <c r="P5" s="3735"/>
      <c r="Q5" s="3736"/>
      <c r="R5" s="3718"/>
      <c r="S5" s="3719"/>
      <c r="T5" s="3718"/>
      <c r="U5" s="3719"/>
      <c r="V5" s="3741"/>
      <c r="W5" s="3741"/>
      <c r="X5" s="1354"/>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913"/>
      <c r="M6" s="914"/>
      <c r="N6" s="914"/>
      <c r="O6" s="914"/>
      <c r="P6" s="3737"/>
      <c r="Q6" s="3738"/>
      <c r="R6" s="3718"/>
      <c r="S6" s="3719"/>
      <c r="T6" s="3739"/>
      <c r="U6" s="3740"/>
      <c r="V6" s="3741"/>
      <c r="W6" s="3741"/>
      <c r="X6" s="1354"/>
      <c r="Y6" s="3739"/>
      <c r="Z6" s="3740"/>
      <c r="AA6" s="3713"/>
      <c r="AB6" s="3713"/>
      <c r="AC6" s="3713"/>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6"/>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8" t="s">
        <v>1691</v>
      </c>
      <c r="Q15" s="1351" t="str">
        <f t="shared" si="6"/>
        <v>产业集聚程度</v>
      </c>
      <c r="R15" s="705" t="s">
        <v>14</v>
      </c>
      <c r="S15" s="706">
        <f t="shared" si="0"/>
        <v>100</v>
      </c>
      <c r="T15" s="705" t="s">
        <v>14</v>
      </c>
      <c r="U15" s="706">
        <f t="shared" si="1"/>
        <v>100</v>
      </c>
      <c r="V15" s="705" t="s">
        <v>14</v>
      </c>
      <c r="W15" s="706">
        <f t="shared" si="2"/>
        <v>100</v>
      </c>
      <c r="X15" s="1354"/>
      <c r="Y15" s="374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9"/>
      <c r="Q16" s="1351"/>
      <c r="R16" s="705"/>
      <c r="S16" s="706"/>
      <c r="T16" s="705"/>
      <c r="U16" s="706"/>
      <c r="V16" s="705"/>
      <c r="W16" s="706"/>
      <c r="X16" s="1354"/>
      <c r="Y16" s="374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9"/>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9"/>
      <c r="Q18" s="1351"/>
      <c r="R18" s="705"/>
      <c r="S18" s="706"/>
      <c r="T18" s="705"/>
      <c r="U18" s="706"/>
      <c r="V18" s="705"/>
      <c r="W18" s="706"/>
      <c r="X18" s="1354"/>
      <c r="Y18" s="374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9"/>
      <c r="Q19" s="1351" t="str">
        <f>B19</f>
        <v>公共配套设施</v>
      </c>
      <c r="R19" s="705" t="s">
        <v>14</v>
      </c>
      <c r="S19" s="706">
        <f>F19</f>
        <v>100</v>
      </c>
      <c r="T19" s="705" t="s">
        <v>14</v>
      </c>
      <c r="U19" s="706">
        <f>H19</f>
        <v>100</v>
      </c>
      <c r="V19" s="705" t="s">
        <v>14</v>
      </c>
      <c r="W19" s="706">
        <f>J19</f>
        <v>100</v>
      </c>
      <c r="X19" s="1354"/>
      <c r="Y19" s="374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9"/>
      <c r="Q20" s="1351"/>
      <c r="R20" s="705"/>
      <c r="S20" s="706"/>
      <c r="T20" s="705"/>
      <c r="U20" s="706"/>
      <c r="V20" s="705"/>
      <c r="W20" s="706"/>
      <c r="X20" s="1354"/>
      <c r="Y20" s="374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9"/>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49"/>
      <c r="Q22" s="1351"/>
      <c r="R22" s="705"/>
      <c r="S22" s="706"/>
      <c r="T22" s="705"/>
      <c r="U22" s="706"/>
      <c r="V22" s="705"/>
      <c r="W22" s="706"/>
      <c r="X22" s="1354"/>
      <c r="Y22" s="374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9"/>
      <c r="Q23" s="1351" t="str">
        <f>B23</f>
        <v>环境质量</v>
      </c>
      <c r="R23" s="705" t="s">
        <v>14</v>
      </c>
      <c r="S23" s="706">
        <f>F23</f>
        <v>100</v>
      </c>
      <c r="T23" s="705" t="s">
        <v>14</v>
      </c>
      <c r="U23" s="706">
        <f>H23</f>
        <v>100</v>
      </c>
      <c r="V23" s="705" t="s">
        <v>14</v>
      </c>
      <c r="W23" s="706">
        <f>J23</f>
        <v>100</v>
      </c>
      <c r="X23" s="1354"/>
      <c r="Y23" s="374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49"/>
      <c r="Q24" s="1351"/>
      <c r="R24" s="705"/>
      <c r="S24" s="706"/>
      <c r="T24" s="705"/>
      <c r="U24" s="706"/>
      <c r="V24" s="705"/>
      <c r="W24" s="706"/>
      <c r="X24" s="1354"/>
      <c r="Y24" s="374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9"/>
      <c r="Q25" s="1351">
        <f>B25</f>
        <v>111</v>
      </c>
      <c r="R25" s="705" t="s">
        <v>14</v>
      </c>
      <c r="S25" s="706">
        <f>F25</f>
        <v>100</v>
      </c>
      <c r="T25" s="705" t="s">
        <v>14</v>
      </c>
      <c r="U25" s="706">
        <f>H25</f>
        <v>100</v>
      </c>
      <c r="V25" s="705" t="s">
        <v>14</v>
      </c>
      <c r="W25" s="706">
        <f>J25</f>
        <v>100</v>
      </c>
      <c r="X25" s="1354"/>
      <c r="Y25" s="374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9"/>
      <c r="Q26" s="1351">
        <f t="shared" ref="Q26:Q40" si="11">B26</f>
        <v>111</v>
      </c>
      <c r="R26" s="705" t="s">
        <v>14</v>
      </c>
      <c r="S26" s="706">
        <f>F26</f>
        <v>100</v>
      </c>
      <c r="T26" s="705" t="s">
        <v>14</v>
      </c>
      <c r="U26" s="706">
        <f>H26</f>
        <v>100</v>
      </c>
      <c r="V26" s="705" t="s">
        <v>14</v>
      </c>
      <c r="W26" s="706">
        <f>J26</f>
        <v>100</v>
      </c>
      <c r="X26" s="1354"/>
      <c r="Y26" s="374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9"/>
      <c r="Q27" s="1342">
        <f t="shared" si="11"/>
        <v>111</v>
      </c>
      <c r="R27" s="701" t="s">
        <v>14</v>
      </c>
      <c r="S27" s="702">
        <f>F27</f>
        <v>100</v>
      </c>
      <c r="T27" s="701" t="s">
        <v>14</v>
      </c>
      <c r="U27" s="702">
        <f>H27</f>
        <v>100</v>
      </c>
      <c r="V27" s="701" t="s">
        <v>14</v>
      </c>
      <c r="W27" s="702">
        <f>J27</f>
        <v>100</v>
      </c>
      <c r="X27" s="703"/>
      <c r="Y27" s="374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9"/>
      <c r="Q28" s="1351">
        <f t="shared" si="11"/>
        <v>111</v>
      </c>
      <c r="R28" s="705" t="s">
        <v>14</v>
      </c>
      <c r="S28" s="706">
        <f t="shared" ref="S28:S40" si="12">F28</f>
        <v>100</v>
      </c>
      <c r="T28" s="705" t="s">
        <v>14</v>
      </c>
      <c r="U28" s="706">
        <f t="shared" ref="U28:U40" si="13">H28</f>
        <v>100</v>
      </c>
      <c r="V28" s="705" t="s">
        <v>14</v>
      </c>
      <c r="W28" s="706">
        <f t="shared" ref="W28:W40" si="14">J28</f>
        <v>100</v>
      </c>
      <c r="X28" s="1354"/>
      <c r="Y28" s="374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2" t="s">
        <v>1696</v>
      </c>
      <c r="Q29" s="1351" t="str">
        <f t="shared" si="11"/>
        <v>建筑类型</v>
      </c>
      <c r="R29" s="705" t="s">
        <v>14</v>
      </c>
      <c r="S29" s="706">
        <f t="shared" si="12"/>
        <v>100</v>
      </c>
      <c r="T29" s="705" t="s">
        <v>14</v>
      </c>
      <c r="U29" s="706">
        <f t="shared" si="13"/>
        <v>100</v>
      </c>
      <c r="V29" s="705" t="s">
        <v>14</v>
      </c>
      <c r="W29" s="706">
        <f t="shared" si="14"/>
        <v>100</v>
      </c>
      <c r="X29" s="1354"/>
      <c r="Y29" s="375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3"/>
      <c r="Q30" s="707" t="str">
        <f t="shared" si="11"/>
        <v>项目建筑规模</v>
      </c>
      <c r="R30" s="708" t="s">
        <v>14</v>
      </c>
      <c r="S30" s="709" t="e">
        <f t="shared" si="12"/>
        <v>#N/A</v>
      </c>
      <c r="T30" s="708" t="s">
        <v>14</v>
      </c>
      <c r="U30" s="709" t="e">
        <f t="shared" si="13"/>
        <v>#N/A</v>
      </c>
      <c r="V30" s="708" t="s">
        <v>14</v>
      </c>
      <c r="W30" s="709" t="e">
        <f t="shared" si="14"/>
        <v>#N/A</v>
      </c>
      <c r="X30" s="710"/>
      <c r="Y30" s="375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3"/>
      <c r="Q31" s="1351" t="str">
        <f t="shared" si="11"/>
        <v>建筑结构</v>
      </c>
      <c r="R31" s="705" t="s">
        <v>14</v>
      </c>
      <c r="S31" s="706">
        <f t="shared" si="12"/>
        <v>100</v>
      </c>
      <c r="T31" s="705" t="s">
        <v>14</v>
      </c>
      <c r="U31" s="706">
        <f t="shared" si="13"/>
        <v>100</v>
      </c>
      <c r="V31" s="705" t="s">
        <v>14</v>
      </c>
      <c r="W31" s="706">
        <f t="shared" si="14"/>
        <v>100</v>
      </c>
      <c r="X31" s="1354"/>
      <c r="Y31" s="375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3"/>
      <c r="Q32" s="1351" t="str">
        <f t="shared" si="11"/>
        <v>公共部分装修</v>
      </c>
      <c r="R32" s="705" t="s">
        <v>14</v>
      </c>
      <c r="S32" s="706">
        <f t="shared" si="12"/>
        <v>100</v>
      </c>
      <c r="T32" s="705" t="s">
        <v>14</v>
      </c>
      <c r="U32" s="706">
        <f t="shared" si="13"/>
        <v>100</v>
      </c>
      <c r="V32" s="705" t="s">
        <v>14</v>
      </c>
      <c r="W32" s="706">
        <f t="shared" si="14"/>
        <v>100</v>
      </c>
      <c r="X32" s="1354"/>
      <c r="Y32" s="375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3"/>
      <c r="Q33" s="1351" t="str">
        <f t="shared" si="11"/>
        <v>成新度</v>
      </c>
      <c r="R33" s="705" t="s">
        <v>14</v>
      </c>
      <c r="S33" s="706" t="e">
        <f t="shared" si="12"/>
        <v>#N/A</v>
      </c>
      <c r="T33" s="705" t="s">
        <v>14</v>
      </c>
      <c r="U33" s="706" t="e">
        <f t="shared" si="13"/>
        <v>#N/A</v>
      </c>
      <c r="V33" s="705" t="s">
        <v>14</v>
      </c>
      <c r="W33" s="706" t="e">
        <f t="shared" si="14"/>
        <v>#N/A</v>
      </c>
      <c r="X33" s="1354"/>
      <c r="Y33" s="375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3"/>
      <c r="Q34" s="1342" t="str">
        <f t="shared" si="11"/>
        <v>物业管理</v>
      </c>
      <c r="R34" s="701" t="s">
        <v>14</v>
      </c>
      <c r="S34" s="702">
        <f t="shared" si="12"/>
        <v>100</v>
      </c>
      <c r="T34" s="701" t="s">
        <v>14</v>
      </c>
      <c r="U34" s="702">
        <f t="shared" si="13"/>
        <v>100</v>
      </c>
      <c r="V34" s="701" t="s">
        <v>14</v>
      </c>
      <c r="W34" s="702">
        <f t="shared" si="14"/>
        <v>100</v>
      </c>
      <c r="X34" s="703"/>
      <c r="Y34" s="37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3" t="s">
        <v>1696</v>
      </c>
      <c r="Q35" s="1351" t="str">
        <f t="shared" si="11"/>
        <v>市政基础设施</v>
      </c>
      <c r="R35" s="705" t="s">
        <v>14</v>
      </c>
      <c r="S35" s="706">
        <f t="shared" si="12"/>
        <v>100</v>
      </c>
      <c r="T35" s="705" t="s">
        <v>14</v>
      </c>
      <c r="U35" s="706">
        <f t="shared" si="13"/>
        <v>100</v>
      </c>
      <c r="V35" s="705" t="s">
        <v>14</v>
      </c>
      <c r="W35" s="706">
        <f t="shared" si="14"/>
        <v>100</v>
      </c>
      <c r="X35" s="1354"/>
      <c r="Y35" s="375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3"/>
      <c r="Q36" s="1351" t="str">
        <f t="shared" si="11"/>
        <v>内部装修</v>
      </c>
      <c r="R36" s="705" t="s">
        <v>14</v>
      </c>
      <c r="S36" s="706">
        <f t="shared" si="12"/>
        <v>100</v>
      </c>
      <c r="T36" s="705" t="s">
        <v>14</v>
      </c>
      <c r="U36" s="706">
        <f t="shared" si="13"/>
        <v>100</v>
      </c>
      <c r="V36" s="705" t="s">
        <v>14</v>
      </c>
      <c r="W36" s="706">
        <f t="shared" si="14"/>
        <v>100</v>
      </c>
      <c r="X36" s="1354"/>
      <c r="Y36" s="375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3"/>
      <c r="Q37" s="1351" t="str">
        <f t="shared" si="11"/>
        <v>内部装修状况</v>
      </c>
      <c r="R37" s="705" t="s">
        <v>14</v>
      </c>
      <c r="S37" s="706">
        <f t="shared" si="12"/>
        <v>100</v>
      </c>
      <c r="T37" s="705" t="s">
        <v>14</v>
      </c>
      <c r="U37" s="706">
        <f t="shared" si="13"/>
        <v>100</v>
      </c>
      <c r="V37" s="705" t="s">
        <v>14</v>
      </c>
      <c r="W37" s="706">
        <f t="shared" si="14"/>
        <v>100</v>
      </c>
      <c r="X37" s="1354"/>
      <c r="Y37" s="375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3"/>
      <c r="Q38" s="707">
        <f t="shared" si="11"/>
        <v>111</v>
      </c>
      <c r="R38" s="708" t="s">
        <v>14</v>
      </c>
      <c r="S38" s="709">
        <f t="shared" si="12"/>
        <v>100</v>
      </c>
      <c r="T38" s="708" t="s">
        <v>14</v>
      </c>
      <c r="U38" s="709">
        <f t="shared" si="13"/>
        <v>100</v>
      </c>
      <c r="V38" s="708" t="s">
        <v>14</v>
      </c>
      <c r="W38" s="709">
        <f t="shared" si="14"/>
        <v>100</v>
      </c>
      <c r="X38" s="710"/>
      <c r="Y38" s="375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3"/>
      <c r="Q39" s="1351">
        <f t="shared" si="11"/>
        <v>111</v>
      </c>
      <c r="R39" s="705" t="s">
        <v>14</v>
      </c>
      <c r="S39" s="706">
        <f t="shared" si="12"/>
        <v>100</v>
      </c>
      <c r="T39" s="705" t="s">
        <v>14</v>
      </c>
      <c r="U39" s="706">
        <f t="shared" si="13"/>
        <v>100</v>
      </c>
      <c r="V39" s="705" t="s">
        <v>14</v>
      </c>
      <c r="W39" s="706">
        <f t="shared" si="14"/>
        <v>100</v>
      </c>
      <c r="X39" s="1354"/>
      <c r="Y39" s="375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4"/>
      <c r="Q40" s="1351">
        <f t="shared" si="11"/>
        <v>111</v>
      </c>
      <c r="R40" s="705" t="s">
        <v>14</v>
      </c>
      <c r="S40" s="706">
        <f t="shared" si="12"/>
        <v>100</v>
      </c>
      <c r="T40" s="705" t="s">
        <v>14</v>
      </c>
      <c r="U40" s="706">
        <f t="shared" si="13"/>
        <v>100</v>
      </c>
      <c r="V40" s="705" t="s">
        <v>14</v>
      </c>
      <c r="W40" s="706">
        <f t="shared" si="14"/>
        <v>100</v>
      </c>
      <c r="X40" s="1354"/>
      <c r="Y40" s="375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46" t="str">
        <f>A41</f>
        <v>成交单价（元/平方米）</v>
      </c>
      <c r="Q41" s="3746"/>
      <c r="R41" s="3747">
        <f>E41</f>
        <v>0</v>
      </c>
      <c r="S41" s="3747"/>
      <c r="T41" s="3747">
        <f>G41</f>
        <v>0</v>
      </c>
      <c r="U41" s="3747"/>
      <c r="V41" s="3747">
        <f>I41</f>
        <v>0</v>
      </c>
      <c r="W41" s="3747"/>
      <c r="X41" s="690"/>
      <c r="Y41" s="712"/>
      <c r="Z41" s="690"/>
      <c r="AA41" s="690"/>
      <c r="AB41" s="690"/>
      <c r="AC41" s="690"/>
    </row>
    <row r="42" spans="1:29" ht="15.75" thickBot="1">
      <c r="A42" s="437" t="s">
        <v>1793</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2025-7</v>
      </c>
      <c r="D52" s="1184">
        <f>EDATE(C52,-1)</f>
        <v>45809</v>
      </c>
      <c r="E52" s="1184">
        <f t="shared" ref="E52:O52" si="16">EDATE(D52,-1)</f>
        <v>45778</v>
      </c>
      <c r="F52" s="1184">
        <f t="shared" si="16"/>
        <v>45748</v>
      </c>
      <c r="G52" s="1184">
        <f t="shared" si="16"/>
        <v>45717</v>
      </c>
      <c r="H52" s="1184">
        <f t="shared" si="16"/>
        <v>45689</v>
      </c>
      <c r="I52" s="1184">
        <f t="shared" si="16"/>
        <v>45658</v>
      </c>
      <c r="J52" s="1184">
        <f t="shared" si="16"/>
        <v>45627</v>
      </c>
      <c r="K52" s="1184">
        <f t="shared" si="16"/>
        <v>45597</v>
      </c>
      <c r="L52" s="1184">
        <f t="shared" si="16"/>
        <v>45566</v>
      </c>
      <c r="M52" s="1184">
        <f t="shared" si="16"/>
        <v>45536</v>
      </c>
      <c r="N52" s="1184">
        <f t="shared" si="16"/>
        <v>45505</v>
      </c>
      <c r="O52" s="1184">
        <f t="shared" si="16"/>
        <v>45474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2025年7月3日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4"/>
      <c r="M4" s="2715"/>
      <c r="N4" s="2715"/>
      <c r="O4" s="2715"/>
      <c r="P4" s="3733" t="s">
        <v>1775</v>
      </c>
      <c r="Q4" s="3734"/>
      <c r="R4" s="3716" t="s">
        <v>1771</v>
      </c>
      <c r="S4" s="3717"/>
      <c r="T4" s="3716" t="s">
        <v>1772</v>
      </c>
      <c r="U4" s="3717"/>
      <c r="V4" s="3741" t="s">
        <v>1773</v>
      </c>
      <c r="W4" s="3741"/>
      <c r="X4" s="1354"/>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4"/>
      <c r="M5" s="2715"/>
      <c r="N5" s="2715"/>
      <c r="O5" s="2715"/>
      <c r="P5" s="3735"/>
      <c r="Q5" s="3736"/>
      <c r="R5" s="3718"/>
      <c r="S5" s="3719"/>
      <c r="T5" s="3718"/>
      <c r="U5" s="3719"/>
      <c r="V5" s="3741"/>
      <c r="W5" s="3741"/>
      <c r="X5" s="1354"/>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2714"/>
      <c r="M6" s="2715"/>
      <c r="N6" s="2715"/>
      <c r="O6" s="2715"/>
      <c r="P6" s="3737"/>
      <c r="Q6" s="3738"/>
      <c r="R6" s="3718"/>
      <c r="S6" s="3719"/>
      <c r="T6" s="3739"/>
      <c r="U6" s="3740"/>
      <c r="V6" s="3741"/>
      <c r="W6" s="3741"/>
      <c r="X6" s="1354"/>
      <c r="Y6" s="3739"/>
      <c r="Z6" s="3740"/>
      <c r="AA6" s="3713"/>
      <c r="AB6" s="3713"/>
      <c r="AC6" s="3713"/>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8" t="s">
        <v>1691</v>
      </c>
      <c r="Q14" s="1351" t="str">
        <f t="shared" si="6"/>
        <v>交通便捷度</v>
      </c>
      <c r="R14" s="705" t="s">
        <v>14</v>
      </c>
      <c r="S14" s="706">
        <f t="shared" si="0"/>
        <v>100</v>
      </c>
      <c r="T14" s="705" t="s">
        <v>14</v>
      </c>
      <c r="U14" s="706">
        <f t="shared" si="1"/>
        <v>100</v>
      </c>
      <c r="V14" s="705" t="s">
        <v>14</v>
      </c>
      <c r="W14" s="706">
        <f t="shared" si="2"/>
        <v>100</v>
      </c>
      <c r="X14" s="1354"/>
      <c r="Y14" s="374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9"/>
      <c r="Q15" s="1351"/>
      <c r="R15" s="705"/>
      <c r="S15" s="706"/>
      <c r="T15" s="705"/>
      <c r="U15" s="706"/>
      <c r="V15" s="705"/>
      <c r="W15" s="706"/>
      <c r="X15" s="1354"/>
      <c r="Y15" s="374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9"/>
      <c r="Q16" s="1351" t="str">
        <f>B16</f>
        <v>公共配套设施</v>
      </c>
      <c r="R16" s="705" t="s">
        <v>14</v>
      </c>
      <c r="S16" s="706">
        <f>F16</f>
        <v>100</v>
      </c>
      <c r="T16" s="705" t="s">
        <v>14</v>
      </c>
      <c r="U16" s="706">
        <f>H16</f>
        <v>100</v>
      </c>
      <c r="V16" s="705" t="s">
        <v>14</v>
      </c>
      <c r="W16" s="706">
        <f>J16</f>
        <v>100</v>
      </c>
      <c r="X16" s="1354"/>
      <c r="Y16" s="374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9"/>
      <c r="Q17" s="1351"/>
      <c r="R17" s="705"/>
      <c r="S17" s="706"/>
      <c r="T17" s="705"/>
      <c r="U17" s="706"/>
      <c r="V17" s="705"/>
      <c r="W17" s="706"/>
      <c r="X17" s="1354"/>
      <c r="Y17" s="374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9"/>
      <c r="Q18" s="1351" t="str">
        <f>B18</f>
        <v>基础设施水平</v>
      </c>
      <c r="R18" s="705" t="s">
        <v>14</v>
      </c>
      <c r="S18" s="706">
        <f>F18</f>
        <v>100</v>
      </c>
      <c r="T18" s="705" t="s">
        <v>14</v>
      </c>
      <c r="U18" s="706">
        <f>H18</f>
        <v>100</v>
      </c>
      <c r="V18" s="705" t="s">
        <v>14</v>
      </c>
      <c r="W18" s="706">
        <f>J18</f>
        <v>100</v>
      </c>
      <c r="X18" s="1354"/>
      <c r="Y18" s="374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49"/>
      <c r="Q19" s="1351"/>
      <c r="R19" s="705"/>
      <c r="S19" s="706"/>
      <c r="T19" s="705"/>
      <c r="U19" s="706"/>
      <c r="V19" s="705"/>
      <c r="W19" s="706"/>
      <c r="X19" s="1354"/>
      <c r="Y19" s="374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9"/>
      <c r="Q20" s="1351" t="str">
        <f>B20</f>
        <v>自然及人文环境</v>
      </c>
      <c r="R20" s="705" t="s">
        <v>14</v>
      </c>
      <c r="S20" s="706">
        <f>F20</f>
        <v>100</v>
      </c>
      <c r="T20" s="705" t="s">
        <v>14</v>
      </c>
      <c r="U20" s="706">
        <f>H20</f>
        <v>100</v>
      </c>
      <c r="V20" s="705" t="s">
        <v>14</v>
      </c>
      <c r="W20" s="706">
        <f>J20</f>
        <v>100</v>
      </c>
      <c r="X20" s="1354"/>
      <c r="Y20" s="374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9"/>
      <c r="Q21" s="1351"/>
      <c r="R21" s="705"/>
      <c r="S21" s="706"/>
      <c r="T21" s="705"/>
      <c r="U21" s="706"/>
      <c r="V21" s="705"/>
      <c r="W21" s="706"/>
      <c r="X21" s="1354"/>
      <c r="Y21" s="374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9"/>
      <c r="Q22" s="1351" t="str">
        <f>B22</f>
        <v>楼层</v>
      </c>
      <c r="R22" s="705" t="s">
        <v>14</v>
      </c>
      <c r="S22" s="706">
        <f>F22</f>
        <v>100</v>
      </c>
      <c r="T22" s="705" t="s">
        <v>14</v>
      </c>
      <c r="U22" s="706">
        <f>H22</f>
        <v>100</v>
      </c>
      <c r="V22" s="705" t="s">
        <v>14</v>
      </c>
      <c r="W22" s="706">
        <f>J22</f>
        <v>100</v>
      </c>
      <c r="X22" s="1354"/>
      <c r="Y22" s="374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9"/>
      <c r="Q23" s="1351">
        <f>B23</f>
        <v>111</v>
      </c>
      <c r="R23" s="705" t="s">
        <v>14</v>
      </c>
      <c r="S23" s="706">
        <f>F23</f>
        <v>100</v>
      </c>
      <c r="T23" s="705" t="s">
        <v>14</v>
      </c>
      <c r="U23" s="706">
        <f>H23</f>
        <v>100</v>
      </c>
      <c r="V23" s="705" t="s">
        <v>14</v>
      </c>
      <c r="W23" s="706">
        <f>J23</f>
        <v>100</v>
      </c>
      <c r="X23" s="1354"/>
      <c r="Y23" s="374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9"/>
      <c r="Q24" s="1351">
        <f t="shared" ref="Q24:Q36" si="11">B24</f>
        <v>111</v>
      </c>
      <c r="R24" s="705" t="s">
        <v>14</v>
      </c>
      <c r="S24" s="706">
        <f>F24</f>
        <v>100</v>
      </c>
      <c r="T24" s="705" t="s">
        <v>14</v>
      </c>
      <c r="U24" s="706">
        <f>H24</f>
        <v>100</v>
      </c>
      <c r="V24" s="705" t="s">
        <v>14</v>
      </c>
      <c r="W24" s="706">
        <f>J24</f>
        <v>100</v>
      </c>
      <c r="X24" s="1354"/>
      <c r="Y24" s="374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9"/>
      <c r="Q25" s="1342">
        <f t="shared" si="11"/>
        <v>111</v>
      </c>
      <c r="R25" s="701" t="s">
        <v>14</v>
      </c>
      <c r="S25" s="702">
        <f>F25</f>
        <v>100</v>
      </c>
      <c r="T25" s="701" t="s">
        <v>14</v>
      </c>
      <c r="U25" s="702">
        <f>H25</f>
        <v>100</v>
      </c>
      <c r="V25" s="701" t="s">
        <v>14</v>
      </c>
      <c r="W25" s="702">
        <f>J25</f>
        <v>100</v>
      </c>
      <c r="X25" s="703"/>
      <c r="Y25" s="374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3"/>
      <c r="Q27" s="707" t="str">
        <f t="shared" si="11"/>
        <v>项目停车位配比</v>
      </c>
      <c r="R27" s="708" t="s">
        <v>14</v>
      </c>
      <c r="S27" s="709">
        <f t="shared" si="12"/>
        <v>100</v>
      </c>
      <c r="T27" s="708" t="s">
        <v>14</v>
      </c>
      <c r="U27" s="709">
        <f t="shared" si="13"/>
        <v>100</v>
      </c>
      <c r="V27" s="708" t="s">
        <v>14</v>
      </c>
      <c r="W27" s="709">
        <f t="shared" si="14"/>
        <v>100</v>
      </c>
      <c r="X27" s="710"/>
      <c r="Y27" s="375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3"/>
      <c r="Q28" s="1351" t="str">
        <f t="shared" si="11"/>
        <v>公共部分装修</v>
      </c>
      <c r="R28" s="705" t="s">
        <v>14</v>
      </c>
      <c r="S28" s="706">
        <f t="shared" si="12"/>
        <v>100</v>
      </c>
      <c r="T28" s="705" t="s">
        <v>14</v>
      </c>
      <c r="U28" s="706">
        <f t="shared" si="13"/>
        <v>100</v>
      </c>
      <c r="V28" s="705" t="s">
        <v>14</v>
      </c>
      <c r="W28" s="706">
        <f t="shared" si="14"/>
        <v>100</v>
      </c>
      <c r="X28" s="1354"/>
      <c r="Y28" s="375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3"/>
      <c r="Q29" s="1351" t="str">
        <f t="shared" si="11"/>
        <v>成新率</v>
      </c>
      <c r="R29" s="705" t="s">
        <v>14</v>
      </c>
      <c r="S29" s="706" t="e">
        <f t="shared" si="12"/>
        <v>#N/A</v>
      </c>
      <c r="T29" s="705" t="s">
        <v>14</v>
      </c>
      <c r="U29" s="706" t="e">
        <f t="shared" si="13"/>
        <v>#N/A</v>
      </c>
      <c r="V29" s="705" t="s">
        <v>14</v>
      </c>
      <c r="W29" s="706" t="e">
        <f t="shared" si="14"/>
        <v>#N/A</v>
      </c>
      <c r="X29" s="1354"/>
      <c r="Y29" s="375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3"/>
      <c r="Q30" s="1351" t="str">
        <f t="shared" si="11"/>
        <v>物业等级</v>
      </c>
      <c r="R30" s="705" t="s">
        <v>14</v>
      </c>
      <c r="S30" s="706">
        <f t="shared" si="12"/>
        <v>100</v>
      </c>
      <c r="T30" s="705" t="s">
        <v>14</v>
      </c>
      <c r="U30" s="706">
        <f t="shared" si="13"/>
        <v>100</v>
      </c>
      <c r="V30" s="705" t="s">
        <v>14</v>
      </c>
      <c r="W30" s="706">
        <f t="shared" si="14"/>
        <v>100</v>
      </c>
      <c r="X30" s="1354"/>
      <c r="Y30" s="375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3"/>
      <c r="Q31" s="1342" t="str">
        <f t="shared" si="11"/>
        <v>停车位面积</v>
      </c>
      <c r="R31" s="701" t="s">
        <v>14</v>
      </c>
      <c r="S31" s="702" t="e">
        <f t="shared" si="12"/>
        <v>#N/A</v>
      </c>
      <c r="T31" s="701" t="s">
        <v>14</v>
      </c>
      <c r="U31" s="702" t="e">
        <f t="shared" si="13"/>
        <v>#N/A</v>
      </c>
      <c r="V31" s="701" t="s">
        <v>14</v>
      </c>
      <c r="W31" s="702" t="e">
        <f t="shared" si="14"/>
        <v>#N/A</v>
      </c>
      <c r="X31" s="703"/>
      <c r="Y31" s="37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3" t="s">
        <v>1696</v>
      </c>
      <c r="Q32" s="1351" t="str">
        <f t="shared" si="11"/>
        <v>车位类型</v>
      </c>
      <c r="R32" s="705" t="s">
        <v>14</v>
      </c>
      <c r="S32" s="706">
        <f t="shared" si="12"/>
        <v>100</v>
      </c>
      <c r="T32" s="705" t="s">
        <v>14</v>
      </c>
      <c r="U32" s="706">
        <f t="shared" si="13"/>
        <v>100</v>
      </c>
      <c r="V32" s="705" t="s">
        <v>14</v>
      </c>
      <c r="W32" s="706">
        <f t="shared" si="14"/>
        <v>100</v>
      </c>
      <c r="X32" s="1354"/>
      <c r="Y32" s="375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3"/>
      <c r="Q33" s="1351" t="str">
        <f t="shared" si="11"/>
        <v>是否直接入户</v>
      </c>
      <c r="R33" s="705" t="s">
        <v>14</v>
      </c>
      <c r="S33" s="706">
        <f t="shared" si="12"/>
        <v>100</v>
      </c>
      <c r="T33" s="705" t="s">
        <v>14</v>
      </c>
      <c r="U33" s="706">
        <f t="shared" si="13"/>
        <v>100</v>
      </c>
      <c r="V33" s="705" t="s">
        <v>14</v>
      </c>
      <c r="W33" s="706">
        <f t="shared" si="14"/>
        <v>100</v>
      </c>
      <c r="X33" s="1354"/>
      <c r="Y33" s="375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3"/>
      <c r="Q34" s="1351">
        <f t="shared" si="11"/>
        <v>111</v>
      </c>
      <c r="R34" s="705" t="s">
        <v>14</v>
      </c>
      <c r="S34" s="706">
        <f t="shared" si="12"/>
        <v>100</v>
      </c>
      <c r="T34" s="705" t="s">
        <v>14</v>
      </c>
      <c r="U34" s="706">
        <f t="shared" si="13"/>
        <v>100</v>
      </c>
      <c r="V34" s="705" t="s">
        <v>14</v>
      </c>
      <c r="W34" s="706">
        <f t="shared" si="14"/>
        <v>100</v>
      </c>
      <c r="X34" s="1354"/>
      <c r="Y34" s="375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3"/>
      <c r="Q35" s="707">
        <f t="shared" si="11"/>
        <v>111</v>
      </c>
      <c r="R35" s="708" t="s">
        <v>14</v>
      </c>
      <c r="S35" s="709">
        <f t="shared" si="12"/>
        <v>100</v>
      </c>
      <c r="T35" s="708" t="s">
        <v>14</v>
      </c>
      <c r="U35" s="709">
        <f t="shared" si="13"/>
        <v>100</v>
      </c>
      <c r="V35" s="708" t="s">
        <v>14</v>
      </c>
      <c r="W35" s="709">
        <f t="shared" si="14"/>
        <v>100</v>
      </c>
      <c r="X35" s="710"/>
      <c r="Y35" s="375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3"/>
      <c r="Q36" s="1351">
        <f t="shared" si="11"/>
        <v>111</v>
      </c>
      <c r="R36" s="705" t="s">
        <v>14</v>
      </c>
      <c r="S36" s="706">
        <f t="shared" si="12"/>
        <v>100</v>
      </c>
      <c r="T36" s="705" t="s">
        <v>14</v>
      </c>
      <c r="U36" s="706">
        <f t="shared" si="13"/>
        <v>100</v>
      </c>
      <c r="V36" s="705" t="s">
        <v>14</v>
      </c>
      <c r="W36" s="706">
        <f t="shared" si="14"/>
        <v>100</v>
      </c>
      <c r="X36" s="1354"/>
      <c r="Y36" s="3753"/>
      <c r="Z36" s="1355">
        <f t="shared" si="15"/>
        <v>111</v>
      </c>
      <c r="AA36" s="1352">
        <f t="shared" si="3"/>
        <v>1</v>
      </c>
      <c r="AB36" s="1352">
        <f t="shared" si="4"/>
        <v>1</v>
      </c>
      <c r="AC36" s="1352">
        <f t="shared" si="5"/>
        <v>1</v>
      </c>
    </row>
    <row r="37" spans="1:29" ht="15">
      <c r="A37" s="430" t="s">
        <v>1844</v>
      </c>
      <c r="B37" s="1972" t="s">
        <v>3352</v>
      </c>
      <c r="C37" s="1154" t="s">
        <v>0</v>
      </c>
      <c r="D37" s="1155"/>
      <c r="E37" s="1156"/>
      <c r="F37" s="1157"/>
      <c r="G37" s="1158"/>
      <c r="H37" s="1159"/>
      <c r="I37" s="1156"/>
      <c r="J37" s="1159"/>
      <c r="K37" s="568"/>
      <c r="L37" s="2723"/>
      <c r="M37" s="2724"/>
      <c r="N37" s="2715"/>
      <c r="O37" s="2724"/>
      <c r="P37" s="3746" t="str">
        <f>A37</f>
        <v>成交单价</v>
      </c>
      <c r="Q37" s="3746"/>
      <c r="R37" s="3747">
        <f>E37</f>
        <v>0</v>
      </c>
      <c r="S37" s="3747"/>
      <c r="T37" s="3747">
        <f>G37</f>
        <v>0</v>
      </c>
      <c r="U37" s="3747"/>
      <c r="V37" s="3747">
        <f>I37</f>
        <v>0</v>
      </c>
      <c r="W37" s="3747"/>
      <c r="X37" s="690"/>
      <c r="Y37" s="712"/>
      <c r="Z37" s="690"/>
      <c r="AA37" s="690"/>
      <c r="AB37" s="690"/>
      <c r="AC37" s="690"/>
    </row>
    <row r="38" spans="1:29" ht="15.75" thickBot="1">
      <c r="A38" s="437" t="s">
        <v>1845</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3" t="str">
        <f>A39</f>
        <v>估价对象XX用房的比较价值（楼面单价，元/平方米）</v>
      </c>
      <c r="Q39" s="3744"/>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2025-7</v>
      </c>
      <c r="D48" s="1184">
        <f>EDATE(C48,-1)</f>
        <v>45809</v>
      </c>
      <c r="E48" s="1184">
        <f t="shared" ref="E48:O48" si="16">EDATE(D48,-1)</f>
        <v>45778</v>
      </c>
      <c r="F48" s="1184">
        <f t="shared" si="16"/>
        <v>45748</v>
      </c>
      <c r="G48" s="1184">
        <f t="shared" si="16"/>
        <v>45717</v>
      </c>
      <c r="H48" s="1184">
        <f t="shared" si="16"/>
        <v>45689</v>
      </c>
      <c r="I48" s="1184">
        <f t="shared" si="16"/>
        <v>45658</v>
      </c>
      <c r="J48" s="1184">
        <f t="shared" si="16"/>
        <v>45627</v>
      </c>
      <c r="K48" s="1184">
        <f t="shared" si="16"/>
        <v>45597</v>
      </c>
      <c r="L48" s="1184">
        <f t="shared" si="16"/>
        <v>45566</v>
      </c>
      <c r="M48" s="1184">
        <f t="shared" si="16"/>
        <v>45536</v>
      </c>
      <c r="N48" s="1184">
        <f t="shared" si="16"/>
        <v>45505</v>
      </c>
      <c r="O48" s="1184">
        <f t="shared" si="16"/>
        <v>45474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4"/>
      <c r="M4" s="2715"/>
      <c r="N4" s="2715"/>
      <c r="O4" s="2715"/>
      <c r="P4" s="3733" t="s">
        <v>1775</v>
      </c>
      <c r="Q4" s="3734"/>
      <c r="R4" s="3716" t="s">
        <v>1771</v>
      </c>
      <c r="S4" s="3717"/>
      <c r="T4" s="3716" t="s">
        <v>1772</v>
      </c>
      <c r="U4" s="3717"/>
      <c r="V4" s="3741" t="s">
        <v>1773</v>
      </c>
      <c r="W4" s="3741"/>
      <c r="X4" s="1354"/>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4"/>
      <c r="M5" s="2715"/>
      <c r="N5" s="2715"/>
      <c r="O5" s="2715"/>
      <c r="P5" s="3735"/>
      <c r="Q5" s="3736"/>
      <c r="R5" s="3718"/>
      <c r="S5" s="3719"/>
      <c r="T5" s="3718"/>
      <c r="U5" s="3719"/>
      <c r="V5" s="3741"/>
      <c r="W5" s="3741"/>
      <c r="X5" s="1354"/>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2714"/>
      <c r="M6" s="2715"/>
      <c r="N6" s="2715"/>
      <c r="O6" s="2715"/>
      <c r="P6" s="3737"/>
      <c r="Q6" s="3738"/>
      <c r="R6" s="3718"/>
      <c r="S6" s="3719"/>
      <c r="T6" s="3739"/>
      <c r="U6" s="3740"/>
      <c r="V6" s="3741"/>
      <c r="W6" s="3741"/>
      <c r="X6" s="1354"/>
      <c r="Y6" s="3739"/>
      <c r="Z6" s="3740"/>
      <c r="AA6" s="3713"/>
      <c r="AB6" s="3713"/>
      <c r="AC6" s="3713"/>
    </row>
    <row r="7" spans="1:29" s="108" customFormat="1" ht="15.75" thickBot="1">
      <c r="A7" s="362" t="s">
        <v>1679</v>
      </c>
      <c r="B7" s="363"/>
      <c r="C7" s="364">
        <f>'数据-取费表'!B2</f>
        <v>45841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8" t="s">
        <v>1691</v>
      </c>
      <c r="Q14" s="1351" t="str">
        <f t="shared" si="6"/>
        <v>交通便捷度</v>
      </c>
      <c r="R14" s="705" t="s">
        <v>14</v>
      </c>
      <c r="S14" s="706">
        <f t="shared" si="0"/>
        <v>100</v>
      </c>
      <c r="T14" s="705" t="s">
        <v>14</v>
      </c>
      <c r="U14" s="706">
        <f t="shared" si="1"/>
        <v>100</v>
      </c>
      <c r="V14" s="705" t="s">
        <v>14</v>
      </c>
      <c r="W14" s="706">
        <f t="shared" si="2"/>
        <v>100</v>
      </c>
      <c r="X14" s="1354"/>
      <c r="Y14" s="374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9"/>
      <c r="Q15" s="1351"/>
      <c r="R15" s="705"/>
      <c r="S15" s="706"/>
      <c r="T15" s="705"/>
      <c r="U15" s="706"/>
      <c r="V15" s="705"/>
      <c r="W15" s="706"/>
      <c r="X15" s="1354"/>
      <c r="Y15" s="374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9"/>
      <c r="Q16" s="1351" t="str">
        <f>B16</f>
        <v>公共配套设施</v>
      </c>
      <c r="R16" s="705" t="s">
        <v>14</v>
      </c>
      <c r="S16" s="706">
        <f>F16</f>
        <v>100</v>
      </c>
      <c r="T16" s="705" t="s">
        <v>14</v>
      </c>
      <c r="U16" s="706">
        <f>H16</f>
        <v>100</v>
      </c>
      <c r="V16" s="705" t="s">
        <v>14</v>
      </c>
      <c r="W16" s="706">
        <f>J16</f>
        <v>100</v>
      </c>
      <c r="X16" s="1354"/>
      <c r="Y16" s="374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9"/>
      <c r="Q17" s="1351"/>
      <c r="R17" s="705"/>
      <c r="S17" s="706"/>
      <c r="T17" s="705"/>
      <c r="U17" s="706"/>
      <c r="V17" s="705"/>
      <c r="W17" s="706"/>
      <c r="X17" s="1354"/>
      <c r="Y17" s="3749"/>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9"/>
      <c r="Q18" s="1351" t="str">
        <f>B18</f>
        <v>基础设施水平</v>
      </c>
      <c r="R18" s="705" t="s">
        <v>14</v>
      </c>
      <c r="S18" s="706">
        <f>F18</f>
        <v>100</v>
      </c>
      <c r="T18" s="705" t="s">
        <v>14</v>
      </c>
      <c r="U18" s="706">
        <f>H18</f>
        <v>100</v>
      </c>
      <c r="V18" s="705" t="s">
        <v>14</v>
      </c>
      <c r="W18" s="706">
        <f>J18</f>
        <v>100</v>
      </c>
      <c r="X18" s="1354"/>
      <c r="Y18" s="374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49"/>
      <c r="Q19" s="1351"/>
      <c r="R19" s="705"/>
      <c r="S19" s="706"/>
      <c r="T19" s="705"/>
      <c r="U19" s="706"/>
      <c r="V19" s="705"/>
      <c r="W19" s="706"/>
      <c r="X19" s="1354"/>
      <c r="Y19" s="374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9"/>
      <c r="Q20" s="1351" t="str">
        <f>B20</f>
        <v>自然及人文环境</v>
      </c>
      <c r="R20" s="705" t="s">
        <v>14</v>
      </c>
      <c r="S20" s="706">
        <f>F20</f>
        <v>100</v>
      </c>
      <c r="T20" s="705" t="s">
        <v>14</v>
      </c>
      <c r="U20" s="706">
        <f>H20</f>
        <v>100</v>
      </c>
      <c r="V20" s="705" t="s">
        <v>14</v>
      </c>
      <c r="W20" s="706">
        <f>J20</f>
        <v>100</v>
      </c>
      <c r="X20" s="1354"/>
      <c r="Y20" s="374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9"/>
      <c r="Q21" s="1351"/>
      <c r="R21" s="705"/>
      <c r="S21" s="706"/>
      <c r="T21" s="705"/>
      <c r="U21" s="706"/>
      <c r="V21" s="705"/>
      <c r="W21" s="706"/>
      <c r="X21" s="1354"/>
      <c r="Y21" s="374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9"/>
      <c r="Q22" s="1351" t="str">
        <f>B22</f>
        <v>楼层</v>
      </c>
      <c r="R22" s="705" t="s">
        <v>14</v>
      </c>
      <c r="S22" s="706">
        <f>F22</f>
        <v>100</v>
      </c>
      <c r="T22" s="705" t="s">
        <v>14</v>
      </c>
      <c r="U22" s="706">
        <f>H22</f>
        <v>100</v>
      </c>
      <c r="V22" s="705" t="s">
        <v>14</v>
      </c>
      <c r="W22" s="706">
        <f>J22</f>
        <v>100</v>
      </c>
      <c r="X22" s="1354"/>
      <c r="Y22" s="374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9"/>
      <c r="Q23" s="1351">
        <f>B23</f>
        <v>111</v>
      </c>
      <c r="R23" s="705" t="s">
        <v>14</v>
      </c>
      <c r="S23" s="706">
        <f>F23</f>
        <v>100</v>
      </c>
      <c r="T23" s="705" t="s">
        <v>14</v>
      </c>
      <c r="U23" s="706">
        <f>H23</f>
        <v>100</v>
      </c>
      <c r="V23" s="705" t="s">
        <v>14</v>
      </c>
      <c r="W23" s="706">
        <f>J23</f>
        <v>100</v>
      </c>
      <c r="X23" s="1354"/>
      <c r="Y23" s="374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9"/>
      <c r="Q24" s="1351">
        <f t="shared" ref="Q24:Q34" si="11">B24</f>
        <v>111</v>
      </c>
      <c r="R24" s="705" t="s">
        <v>14</v>
      </c>
      <c r="S24" s="706">
        <f>F24</f>
        <v>100</v>
      </c>
      <c r="T24" s="705" t="s">
        <v>14</v>
      </c>
      <c r="U24" s="706">
        <f>H24</f>
        <v>100</v>
      </c>
      <c r="V24" s="705" t="s">
        <v>14</v>
      </c>
      <c r="W24" s="706">
        <f>J24</f>
        <v>100</v>
      </c>
      <c r="X24" s="1354"/>
      <c r="Y24" s="374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9"/>
      <c r="Q25" s="1342">
        <f t="shared" si="11"/>
        <v>111</v>
      </c>
      <c r="R25" s="701" t="s">
        <v>14</v>
      </c>
      <c r="S25" s="702">
        <f>F25</f>
        <v>100</v>
      </c>
      <c r="T25" s="701" t="s">
        <v>14</v>
      </c>
      <c r="U25" s="702">
        <f>H25</f>
        <v>100</v>
      </c>
      <c r="V25" s="701" t="s">
        <v>14</v>
      </c>
      <c r="W25" s="702">
        <f>J25</f>
        <v>100</v>
      </c>
      <c r="X25" s="703"/>
      <c r="Y25" s="374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3"/>
      <c r="Q27" s="707" t="str">
        <f t="shared" si="11"/>
        <v>成新率</v>
      </c>
      <c r="R27" s="708" t="s">
        <v>14</v>
      </c>
      <c r="S27" s="709" t="e">
        <f t="shared" si="12"/>
        <v>#N/A</v>
      </c>
      <c r="T27" s="708" t="s">
        <v>14</v>
      </c>
      <c r="U27" s="709" t="e">
        <f t="shared" si="13"/>
        <v>#N/A</v>
      </c>
      <c r="V27" s="708" t="s">
        <v>14</v>
      </c>
      <c r="W27" s="709" t="e">
        <f t="shared" si="14"/>
        <v>#N/A</v>
      </c>
      <c r="X27" s="710"/>
      <c r="Y27" s="375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3"/>
      <c r="Q28" s="1351" t="str">
        <f t="shared" si="11"/>
        <v>物业等级</v>
      </c>
      <c r="R28" s="705" t="s">
        <v>14</v>
      </c>
      <c r="S28" s="706">
        <f t="shared" si="12"/>
        <v>100</v>
      </c>
      <c r="T28" s="705" t="s">
        <v>14</v>
      </c>
      <c r="U28" s="706">
        <f t="shared" si="13"/>
        <v>100</v>
      </c>
      <c r="V28" s="705" t="s">
        <v>14</v>
      </c>
      <c r="W28" s="706">
        <f t="shared" si="14"/>
        <v>100</v>
      </c>
      <c r="X28" s="1354"/>
      <c r="Y28" s="375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3"/>
      <c r="Q29" s="1351" t="str">
        <f t="shared" si="11"/>
        <v>有无电梯</v>
      </c>
      <c r="R29" s="705" t="s">
        <v>14</v>
      </c>
      <c r="S29" s="706">
        <f t="shared" si="12"/>
        <v>100</v>
      </c>
      <c r="T29" s="705" t="s">
        <v>14</v>
      </c>
      <c r="U29" s="706">
        <f t="shared" si="13"/>
        <v>100</v>
      </c>
      <c r="V29" s="705" t="s">
        <v>14</v>
      </c>
      <c r="W29" s="706">
        <f t="shared" si="14"/>
        <v>100</v>
      </c>
      <c r="X29" s="1354"/>
      <c r="Y29" s="375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3"/>
      <c r="Q30" s="1351" t="str">
        <f t="shared" si="11"/>
        <v>建筑面积</v>
      </c>
      <c r="R30" s="705" t="s">
        <v>14</v>
      </c>
      <c r="S30" s="706" t="e">
        <f t="shared" si="12"/>
        <v>#N/A</v>
      </c>
      <c r="T30" s="705" t="s">
        <v>14</v>
      </c>
      <c r="U30" s="706" t="e">
        <f t="shared" si="13"/>
        <v>#N/A</v>
      </c>
      <c r="V30" s="705" t="s">
        <v>14</v>
      </c>
      <c r="W30" s="706" t="e">
        <f t="shared" si="14"/>
        <v>#N/A</v>
      </c>
      <c r="X30" s="1354"/>
      <c r="Y30" s="375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3"/>
      <c r="Q31" s="1342" t="str">
        <f t="shared" si="11"/>
        <v>是否封闭</v>
      </c>
      <c r="R31" s="701" t="s">
        <v>14</v>
      </c>
      <c r="S31" s="702">
        <f t="shared" si="12"/>
        <v>100</v>
      </c>
      <c r="T31" s="701" t="s">
        <v>14</v>
      </c>
      <c r="U31" s="702">
        <f t="shared" si="13"/>
        <v>100</v>
      </c>
      <c r="V31" s="701" t="s">
        <v>14</v>
      </c>
      <c r="W31" s="702">
        <f t="shared" si="14"/>
        <v>100</v>
      </c>
      <c r="X31" s="703"/>
      <c r="Y31" s="375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3" t="s">
        <v>1696</v>
      </c>
      <c r="Q32" s="1351">
        <f t="shared" si="11"/>
        <v>111</v>
      </c>
      <c r="R32" s="705" t="s">
        <v>14</v>
      </c>
      <c r="S32" s="706">
        <f t="shared" si="12"/>
        <v>100</v>
      </c>
      <c r="T32" s="705" t="s">
        <v>14</v>
      </c>
      <c r="U32" s="706">
        <f t="shared" si="13"/>
        <v>100</v>
      </c>
      <c r="V32" s="705" t="s">
        <v>14</v>
      </c>
      <c r="W32" s="706">
        <f t="shared" si="14"/>
        <v>100</v>
      </c>
      <c r="X32" s="1354"/>
      <c r="Y32" s="375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3"/>
      <c r="Q33" s="1351">
        <f t="shared" si="11"/>
        <v>111</v>
      </c>
      <c r="R33" s="705" t="s">
        <v>14</v>
      </c>
      <c r="S33" s="706">
        <f t="shared" si="12"/>
        <v>100</v>
      </c>
      <c r="T33" s="705" t="s">
        <v>14</v>
      </c>
      <c r="U33" s="706">
        <f t="shared" si="13"/>
        <v>100</v>
      </c>
      <c r="V33" s="705" t="s">
        <v>14</v>
      </c>
      <c r="W33" s="706">
        <f t="shared" si="14"/>
        <v>100</v>
      </c>
      <c r="X33" s="1354"/>
      <c r="Y33" s="375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3"/>
      <c r="Q34" s="1351">
        <f t="shared" si="11"/>
        <v>111</v>
      </c>
      <c r="R34" s="705" t="s">
        <v>14</v>
      </c>
      <c r="S34" s="706">
        <f t="shared" si="12"/>
        <v>100</v>
      </c>
      <c r="T34" s="705" t="s">
        <v>14</v>
      </c>
      <c r="U34" s="706">
        <f t="shared" si="13"/>
        <v>100</v>
      </c>
      <c r="V34" s="705" t="s">
        <v>14</v>
      </c>
      <c r="W34" s="706">
        <f t="shared" si="14"/>
        <v>100</v>
      </c>
      <c r="X34" s="1354"/>
      <c r="Y34" s="375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46" t="str">
        <f>A35</f>
        <v>成交单价（元/平方米）</v>
      </c>
      <c r="Q35" s="3746"/>
      <c r="R35" s="3747">
        <f>E35</f>
        <v>0</v>
      </c>
      <c r="S35" s="3747"/>
      <c r="T35" s="3747">
        <f>G35</f>
        <v>0</v>
      </c>
      <c r="U35" s="3747"/>
      <c r="V35" s="3747">
        <f>I35</f>
        <v>0</v>
      </c>
      <c r="W35" s="3747"/>
      <c r="X35" s="690"/>
      <c r="Y35" s="712"/>
      <c r="Z35" s="690"/>
      <c r="AA35" s="690"/>
      <c r="AB35" s="690"/>
      <c r="AC35" s="690"/>
    </row>
    <row r="36" spans="1:30" ht="15.75" thickBot="1">
      <c r="A36" s="437" t="s">
        <v>1793</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3" t="str">
        <f>A37</f>
        <v>估价对象XX用房的比较价值（楼面单价，元/平方米）</v>
      </c>
      <c r="Q37" s="3744"/>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2025-7</v>
      </c>
      <c r="D46" s="1184">
        <f>EDATE(C46,-1)</f>
        <v>45809</v>
      </c>
      <c r="E46" s="1184">
        <f t="shared" ref="E46:O46" si="16">EDATE(D46,-1)</f>
        <v>45778</v>
      </c>
      <c r="F46" s="1184">
        <f t="shared" si="16"/>
        <v>45748</v>
      </c>
      <c r="G46" s="1184">
        <f t="shared" si="16"/>
        <v>45717</v>
      </c>
      <c r="H46" s="1184">
        <f t="shared" si="16"/>
        <v>45689</v>
      </c>
      <c r="I46" s="1184">
        <f t="shared" si="16"/>
        <v>45658</v>
      </c>
      <c r="J46" s="1184">
        <f t="shared" si="16"/>
        <v>45627</v>
      </c>
      <c r="K46" s="1184">
        <f t="shared" si="16"/>
        <v>45597</v>
      </c>
      <c r="L46" s="1184">
        <f t="shared" si="16"/>
        <v>45566</v>
      </c>
      <c r="M46" s="1184">
        <f t="shared" si="16"/>
        <v>45536</v>
      </c>
      <c r="N46" s="1184">
        <f t="shared" si="16"/>
        <v>45505</v>
      </c>
      <c r="O46" s="1184">
        <f t="shared" si="16"/>
        <v>45474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B46" sqref="B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#N/A</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#N/A</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9" t="s">
        <v>1770</v>
      </c>
      <c r="D4" s="3730"/>
      <c r="E4" s="3731" t="s">
        <v>1771</v>
      </c>
      <c r="F4" s="3732"/>
      <c r="G4" s="3729" t="s">
        <v>1772</v>
      </c>
      <c r="H4" s="3730"/>
      <c r="I4" s="3729" t="s">
        <v>1773</v>
      </c>
      <c r="J4" s="3730"/>
      <c r="K4" s="559" t="s">
        <v>1774</v>
      </c>
      <c r="L4" s="2714"/>
      <c r="M4" s="2715"/>
      <c r="N4" s="2715"/>
      <c r="O4" s="2715"/>
      <c r="P4" s="3733" t="s">
        <v>1775</v>
      </c>
      <c r="Q4" s="3734"/>
      <c r="R4" s="3716" t="s">
        <v>1771</v>
      </c>
      <c r="S4" s="3717"/>
      <c r="T4" s="3716" t="s">
        <v>1772</v>
      </c>
      <c r="U4" s="3717"/>
      <c r="V4" s="3741" t="s">
        <v>1773</v>
      </c>
      <c r="W4" s="3741"/>
      <c r="X4" s="1354"/>
      <c r="Y4" s="3716" t="s">
        <v>1775</v>
      </c>
      <c r="Z4" s="3717"/>
      <c r="AA4" s="3711" t="s">
        <v>1771</v>
      </c>
      <c r="AB4" s="3712" t="s">
        <v>1772</v>
      </c>
      <c r="AC4" s="3711" t="s">
        <v>1773</v>
      </c>
    </row>
    <row r="5" spans="1:30" ht="15">
      <c r="A5" s="358"/>
      <c r="B5" s="359"/>
      <c r="C5" s="3722" t="s">
        <v>1673</v>
      </c>
      <c r="D5" s="3723"/>
      <c r="E5" s="3720" t="str">
        <f>土地案例!A3</f>
        <v>京津冀智能网联新能源汽车科技生态港(顺义)一期1、2号地项目SY00-3702-0005地块M1工业用地</v>
      </c>
      <c r="F5" s="3721"/>
      <c r="G5" s="3722" t="str">
        <f>土地案例!A7</f>
        <v>顺义新城3401街区(高丽营镇中关村顺义园三代半产业基地)3-2-4(北区)(3号地A)地块M1工业用地国有建设用地使用权出让</v>
      </c>
      <c r="H5" s="3723"/>
      <c r="I5" s="3722" t="str">
        <f>土地案例!A10</f>
        <v>顺义新城3401街区(高丽营镇中关村科技园区顺义园三代半产业基地)2号地 2-1(东区)地块M1工业用地国有建设用地使用权出让</v>
      </c>
      <c r="J5" s="3723"/>
      <c r="K5" s="559"/>
      <c r="L5" s="2714"/>
      <c r="M5" s="2715"/>
      <c r="N5" s="2715"/>
      <c r="O5" s="2715"/>
      <c r="P5" s="3735"/>
      <c r="Q5" s="3736"/>
      <c r="R5" s="3718"/>
      <c r="S5" s="3719"/>
      <c r="T5" s="3718"/>
      <c r="U5" s="3719"/>
      <c r="V5" s="3741"/>
      <c r="W5" s="3741"/>
      <c r="X5" s="1354"/>
      <c r="Y5" s="3718"/>
      <c r="Z5" s="3719"/>
      <c r="AA5" s="3712"/>
      <c r="AB5" s="3712"/>
      <c r="AC5" s="3712"/>
    </row>
    <row r="6" spans="1:30" ht="15.75" thickBot="1">
      <c r="A6" s="360"/>
      <c r="B6" s="361"/>
      <c r="C6" s="3724" t="s">
        <v>1677</v>
      </c>
      <c r="D6" s="3725"/>
      <c r="E6" s="3726" t="s">
        <v>1677</v>
      </c>
      <c r="F6" s="3727"/>
      <c r="G6" s="3724" t="s">
        <v>1677</v>
      </c>
      <c r="H6" s="3725"/>
      <c r="I6" s="3724" t="s">
        <v>1677</v>
      </c>
      <c r="J6" s="3725"/>
      <c r="K6" s="559" t="s">
        <v>1678</v>
      </c>
      <c r="L6" s="2714"/>
      <c r="M6" s="2715"/>
      <c r="N6" s="2715"/>
      <c r="O6" s="2715"/>
      <c r="P6" s="3737"/>
      <c r="Q6" s="3738"/>
      <c r="R6" s="3718"/>
      <c r="S6" s="3719"/>
      <c r="T6" s="3739"/>
      <c r="U6" s="3740"/>
      <c r="V6" s="3741"/>
      <c r="W6" s="3741"/>
      <c r="X6" s="1354"/>
      <c r="Y6" s="3739"/>
      <c r="Z6" s="3740"/>
      <c r="AA6" s="3713"/>
      <c r="AB6" s="3713"/>
      <c r="AC6" s="3713"/>
    </row>
    <row r="7" spans="1:30" s="108" customFormat="1" ht="15.75" thickBot="1">
      <c r="A7" s="362" t="s">
        <v>1679</v>
      </c>
      <c r="B7" s="363"/>
      <c r="C7" s="364">
        <f>'数据-取费表'!B2</f>
        <v>45841</v>
      </c>
      <c r="D7" s="365">
        <v>100</v>
      </c>
      <c r="E7" s="366" t="str">
        <f>土地案例!H3</f>
        <v>2025-02-03</v>
      </c>
      <c r="F7" s="367">
        <f>SUMIF(69:69,YEAR(E7)&amp;"-"&amp;INT((MONTH(E7)+2)/3),70:70)</f>
        <v>100</v>
      </c>
      <c r="G7" s="1973" t="str">
        <f>土地案例!H7</f>
        <v>2022-09-28</v>
      </c>
      <c r="H7" s="365">
        <f>SUMIF(69:69,YEAR(G7)&amp;"-"&amp;INT((MONTH(G7)+2)/3),70:70)</f>
        <v>99.399999999999991</v>
      </c>
      <c r="I7" s="1973" t="str">
        <f>土地案例!H10</f>
        <v>2022-07-19</v>
      </c>
      <c r="J7" s="365">
        <f>SUMIF(69:69,YEAR(I7)&amp;"-"&amp;INT((MONTH(I7)+2)/3),70:70)</f>
        <v>99.399999999999991</v>
      </c>
      <c r="K7" s="560"/>
      <c r="L7" s="2716"/>
      <c r="M7" s="2717"/>
      <c r="N7" s="2717"/>
      <c r="O7" s="2717"/>
      <c r="P7" s="3714" t="s">
        <v>1680</v>
      </c>
      <c r="Q7" s="3742"/>
      <c r="R7" s="701" t="s">
        <v>14</v>
      </c>
      <c r="S7" s="702">
        <f t="shared" ref="S7:S15" si="0">F7</f>
        <v>100</v>
      </c>
      <c r="T7" s="701" t="s">
        <v>14</v>
      </c>
      <c r="U7" s="702">
        <f t="shared" ref="U7:U15" si="1">H7</f>
        <v>99.399999999999991</v>
      </c>
      <c r="V7" s="701" t="s">
        <v>14</v>
      </c>
      <c r="W7" s="702">
        <f t="shared" ref="W7:W15" si="2">J7</f>
        <v>99.399999999999991</v>
      </c>
      <c r="X7" s="703"/>
      <c r="Y7" s="3714" t="s">
        <v>1680</v>
      </c>
      <c r="Z7" s="3715"/>
      <c r="AA7" s="704">
        <f>D7/F7</f>
        <v>1</v>
      </c>
      <c r="AB7" s="704">
        <f>D7/H7</f>
        <v>1.0060362173038231</v>
      </c>
      <c r="AC7" s="704">
        <f>D7/J7</f>
        <v>1.0060362173038231</v>
      </c>
    </row>
    <row r="8" spans="1:30" s="108" customFormat="1" ht="15.75" thickBot="1">
      <c r="A8" s="362" t="s">
        <v>1681</v>
      </c>
      <c r="B8" s="363"/>
      <c r="C8" s="368" t="s">
        <v>1682</v>
      </c>
      <c r="D8" s="365">
        <v>100</v>
      </c>
      <c r="E8" s="368" t="s">
        <v>3525</v>
      </c>
      <c r="F8" s="367">
        <f>SUMIF(72:72,E8,73:73)-SUMIF(72:72,C8,73:73)+100</f>
        <v>100</v>
      </c>
      <c r="G8" s="368" t="s">
        <v>3525</v>
      </c>
      <c r="H8" s="365">
        <f>SUMIF(72:72,G8,73:73)-SUMIF(72:72,C8,73:73)+100</f>
        <v>100</v>
      </c>
      <c r="I8" s="368" t="s">
        <v>3525</v>
      </c>
      <c r="J8" s="365">
        <f>SUMIF(72:72,I8,73:73)-SUMIF(72:72,C8,73:73)+100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5" si="3">D8/F8</f>
        <v>1</v>
      </c>
      <c r="AB8" s="704">
        <f t="shared" ref="AB8:AB45" si="4">D8/H8</f>
        <v>1</v>
      </c>
      <c r="AC8" s="704">
        <f t="shared" ref="AC8:AC45" si="5">D8/J8</f>
        <v>1</v>
      </c>
    </row>
    <row r="9" spans="1:30" s="108" customFormat="1">
      <c r="A9" s="369" t="s">
        <v>1684</v>
      </c>
      <c r="B9" s="63" t="s">
        <v>1685</v>
      </c>
      <c r="C9" s="1976" t="s">
        <v>3</v>
      </c>
      <c r="D9" s="126">
        <v>100</v>
      </c>
      <c r="E9" s="1976" t="s">
        <v>3</v>
      </c>
      <c r="F9" s="126">
        <f>SUMIF(74:74,E9,75:75)-SUMIF(74:74,C9,75:75)+100</f>
        <v>100</v>
      </c>
      <c r="G9" s="1976" t="s">
        <v>3</v>
      </c>
      <c r="H9" s="126">
        <f>SUMIF(74:74,G9,75:75)-SUMIF(74:74,C9,75:75)+100</f>
        <v>100</v>
      </c>
      <c r="I9" s="1976" t="s">
        <v>3</v>
      </c>
      <c r="J9" s="126">
        <f>SUMIF(74:74,I9,75:75)-SUMIF(74:74,C9,75:75)+100</f>
        <v>100</v>
      </c>
      <c r="K9" s="560"/>
      <c r="L9" s="2716"/>
      <c r="M9" s="2717"/>
      <c r="N9" s="2717"/>
      <c r="O9" s="2771"/>
      <c r="P9" s="374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30" s="378" customFormat="1" ht="27">
      <c r="A10" s="374"/>
      <c r="B10" s="375" t="s">
        <v>1688</v>
      </c>
      <c r="C10" s="383">
        <f>项目基本情况!H15</f>
        <v>31.69</v>
      </c>
      <c r="D10" s="127">
        <v>100</v>
      </c>
      <c r="E10" s="416" t="s">
        <v>3527</v>
      </c>
      <c r="F10" s="127">
        <f>ROUND(100/'数据-取费表'!G16,0)</f>
        <v>118</v>
      </c>
      <c r="G10" s="414" t="s">
        <v>3527</v>
      </c>
      <c r="H10" s="127">
        <f>ROUND(100/'数据-取费表'!G16,0)</f>
        <v>118</v>
      </c>
      <c r="I10" s="414" t="s">
        <v>3527</v>
      </c>
      <c r="J10" s="127">
        <f>ROUND(100/'数据-取费表'!G16,0)</f>
        <v>118</v>
      </c>
      <c r="K10" s="620"/>
      <c r="L10" s="2718"/>
      <c r="M10" s="2719"/>
      <c r="N10" s="2719"/>
      <c r="O10" s="2772"/>
      <c r="P10" s="3746"/>
      <c r="Q10" s="1342" t="str">
        <f t="shared" si="6"/>
        <v>土地使用年限（年）</v>
      </c>
      <c r="R10" s="701" t="s">
        <v>14</v>
      </c>
      <c r="S10" s="702">
        <f t="shared" si="0"/>
        <v>118</v>
      </c>
      <c r="T10" s="701" t="s">
        <v>14</v>
      </c>
      <c r="U10" s="702">
        <f t="shared" si="1"/>
        <v>118</v>
      </c>
      <c r="V10" s="701" t="s">
        <v>14</v>
      </c>
      <c r="W10" s="702">
        <f t="shared" si="2"/>
        <v>118</v>
      </c>
      <c r="X10" s="703"/>
      <c r="Y10" s="3658"/>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f>'数据-汇总表'!I8</f>
        <v>0.91</v>
      </c>
      <c r="D11" s="127">
        <v>100</v>
      </c>
      <c r="E11" s="380">
        <v>1.5</v>
      </c>
      <c r="F11" s="127">
        <f>LOOKUP(E11,79:79,80:80)-LOOKUP(C11,79:79,80:80)+100</f>
        <v>103</v>
      </c>
      <c r="G11" s="381">
        <v>1.5</v>
      </c>
      <c r="H11" s="127">
        <f>LOOKUP(G11,79:79,80:80)-LOOKUP(C11,79:79,80:80)+100</f>
        <v>103</v>
      </c>
      <c r="I11" s="380">
        <v>1.5</v>
      </c>
      <c r="J11" s="127">
        <f>LOOKUP(I11,79:79,80:80)-LOOKUP(C11,79:79,80:80)+100</f>
        <v>103</v>
      </c>
      <c r="K11" s="621">
        <v>3</v>
      </c>
      <c r="L11" s="2720"/>
      <c r="M11" s="2715"/>
      <c r="N11" s="2715"/>
      <c r="O11" s="2773"/>
      <c r="P11" s="3746"/>
      <c r="Q11" s="1342" t="str">
        <f t="shared" si="6"/>
        <v>容积率</v>
      </c>
      <c r="R11" s="701" t="s">
        <v>14</v>
      </c>
      <c r="S11" s="702">
        <f t="shared" si="0"/>
        <v>103</v>
      </c>
      <c r="T11" s="701" t="s">
        <v>14</v>
      </c>
      <c r="U11" s="702">
        <f t="shared" si="1"/>
        <v>103</v>
      </c>
      <c r="V11" s="701" t="s">
        <v>14</v>
      </c>
      <c r="W11" s="702">
        <f t="shared" si="2"/>
        <v>103</v>
      </c>
      <c r="X11" s="703"/>
      <c r="Y11" s="3658"/>
      <c r="Z11" s="52" t="str">
        <f t="shared" si="7"/>
        <v>容积率</v>
      </c>
      <c r="AA11" s="704">
        <f t="shared" si="3"/>
        <v>0.970873786407767</v>
      </c>
      <c r="AB11" s="704">
        <f t="shared" si="4"/>
        <v>0.970873786407767</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6"/>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6"/>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8" t="s">
        <v>1691</v>
      </c>
      <c r="Q15" s="1351" t="str">
        <f t="shared" si="6"/>
        <v>居住社区成熟度</v>
      </c>
      <c r="R15" s="705" t="s">
        <v>14</v>
      </c>
      <c r="S15" s="706">
        <f t="shared" si="0"/>
        <v>100</v>
      </c>
      <c r="T15" s="705" t="s">
        <v>14</v>
      </c>
      <c r="U15" s="706">
        <f t="shared" si="1"/>
        <v>100</v>
      </c>
      <c r="V15" s="705" t="s">
        <v>14</v>
      </c>
      <c r="W15" s="706">
        <f t="shared" si="2"/>
        <v>100</v>
      </c>
      <c r="X15" s="1354"/>
      <c r="Y15" s="374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9"/>
      <c r="Q16" s="1351"/>
      <c r="R16" s="705"/>
      <c r="S16" s="706"/>
      <c r="T16" s="705"/>
      <c r="U16" s="706"/>
      <c r="V16" s="705"/>
      <c r="W16" s="706"/>
      <c r="X16" s="1354"/>
      <c r="Y16" s="374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9"/>
      <c r="Q17" s="1351" t="str">
        <f>B17</f>
        <v>商业繁华度</v>
      </c>
      <c r="R17" s="705" t="s">
        <v>14</v>
      </c>
      <c r="S17" s="706">
        <f>F17</f>
        <v>100</v>
      </c>
      <c r="T17" s="705" t="s">
        <v>14</v>
      </c>
      <c r="U17" s="706">
        <f>H17</f>
        <v>100</v>
      </c>
      <c r="V17" s="705" t="s">
        <v>14</v>
      </c>
      <c r="W17" s="706">
        <f>J17</f>
        <v>100</v>
      </c>
      <c r="X17" s="1354"/>
      <c r="Y17" s="374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9"/>
      <c r="Q18" s="1351"/>
      <c r="R18" s="705"/>
      <c r="S18" s="706"/>
      <c r="T18" s="705"/>
      <c r="U18" s="706"/>
      <c r="V18" s="705"/>
      <c r="W18" s="706"/>
      <c r="X18" s="1354"/>
      <c r="Y18" s="374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9"/>
      <c r="Q19" s="1351" t="str">
        <f>B19</f>
        <v>办公集聚程度</v>
      </c>
      <c r="R19" s="705" t="s">
        <v>14</v>
      </c>
      <c r="S19" s="706">
        <f>F19</f>
        <v>100</v>
      </c>
      <c r="T19" s="705" t="s">
        <v>14</v>
      </c>
      <c r="U19" s="706">
        <f>H19</f>
        <v>100</v>
      </c>
      <c r="V19" s="705" t="s">
        <v>14</v>
      </c>
      <c r="W19" s="706">
        <f>J19</f>
        <v>100</v>
      </c>
      <c r="X19" s="1354"/>
      <c r="Y19" s="374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9"/>
      <c r="Q20" s="1351"/>
      <c r="R20" s="705"/>
      <c r="S20" s="706"/>
      <c r="T20" s="705"/>
      <c r="U20" s="706"/>
      <c r="V20" s="705"/>
      <c r="W20" s="706"/>
      <c r="X20" s="1354"/>
      <c r="Y20" s="374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9"/>
      <c r="Q21" s="1351" t="str">
        <f>B21</f>
        <v>交通便捷度</v>
      </c>
      <c r="R21" s="705" t="s">
        <v>14</v>
      </c>
      <c r="S21" s="706">
        <f>F21</f>
        <v>100</v>
      </c>
      <c r="T21" s="705" t="s">
        <v>14</v>
      </c>
      <c r="U21" s="706">
        <f>H21</f>
        <v>100</v>
      </c>
      <c r="V21" s="705" t="s">
        <v>14</v>
      </c>
      <c r="W21" s="706">
        <f>J21</f>
        <v>100</v>
      </c>
      <c r="X21" s="1354"/>
      <c r="Y21" s="374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49"/>
      <c r="Q22" s="1351"/>
      <c r="R22" s="705"/>
      <c r="S22" s="706"/>
      <c r="T22" s="705"/>
      <c r="U22" s="706"/>
      <c r="V22" s="705"/>
      <c r="W22" s="706"/>
      <c r="X22" s="1354"/>
      <c r="Y22" s="374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9"/>
      <c r="Q23" s="1351" t="str">
        <f t="shared" ref="Q23:Q37" si="8">B23</f>
        <v>区域土地利用方向</v>
      </c>
      <c r="R23" s="705" t="s">
        <v>14</v>
      </c>
      <c r="S23" s="706">
        <f>F23</f>
        <v>100</v>
      </c>
      <c r="T23" s="705" t="s">
        <v>14</v>
      </c>
      <c r="U23" s="706">
        <f>H23</f>
        <v>100</v>
      </c>
      <c r="V23" s="705" t="s">
        <v>14</v>
      </c>
      <c r="W23" s="706">
        <f>J23</f>
        <v>100</v>
      </c>
      <c r="X23" s="1354"/>
      <c r="Y23" s="374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49"/>
      <c r="Q24" s="1351"/>
      <c r="R24" s="705"/>
      <c r="S24" s="706"/>
      <c r="T24" s="705"/>
      <c r="U24" s="706"/>
      <c r="V24" s="705"/>
      <c r="W24" s="706"/>
      <c r="X24" s="1354"/>
      <c r="Y24" s="3749"/>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9"/>
      <c r="Q25" s="1351" t="str">
        <f t="shared" si="8"/>
        <v>自然及人文环境状况</v>
      </c>
      <c r="R25" s="705" t="s">
        <v>14</v>
      </c>
      <c r="S25" s="706">
        <f>F25</f>
        <v>100</v>
      </c>
      <c r="T25" s="705" t="s">
        <v>14</v>
      </c>
      <c r="U25" s="706">
        <f>H25</f>
        <v>100</v>
      </c>
      <c r="V25" s="705" t="s">
        <v>14</v>
      </c>
      <c r="W25" s="706">
        <f>J25</f>
        <v>100</v>
      </c>
      <c r="X25" s="1354"/>
      <c r="Y25" s="374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9"/>
      <c r="Q26" s="1351"/>
      <c r="R26" s="705"/>
      <c r="S26" s="706"/>
      <c r="T26" s="705"/>
      <c r="U26" s="706"/>
      <c r="V26" s="705"/>
      <c r="W26" s="706"/>
      <c r="X26" s="1354"/>
      <c r="Y26" s="3749"/>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9"/>
      <c r="Q27" s="1342" t="str">
        <f t="shared" si="8"/>
        <v>公共配套设施</v>
      </c>
      <c r="R27" s="701" t="s">
        <v>14</v>
      </c>
      <c r="S27" s="702">
        <f>F27</f>
        <v>100</v>
      </c>
      <c r="T27" s="701" t="s">
        <v>14</v>
      </c>
      <c r="U27" s="702">
        <f>H27</f>
        <v>100</v>
      </c>
      <c r="V27" s="701" t="s">
        <v>14</v>
      </c>
      <c r="W27" s="702">
        <f>J27</f>
        <v>100</v>
      </c>
      <c r="X27" s="703"/>
      <c r="Y27" s="374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9"/>
      <c r="Q28" s="1342"/>
      <c r="R28" s="701"/>
      <c r="S28" s="702"/>
      <c r="T28" s="701"/>
      <c r="U28" s="702"/>
      <c r="V28" s="701"/>
      <c r="W28" s="702"/>
      <c r="X28" s="703"/>
      <c r="Y28" s="3749"/>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9"/>
      <c r="Q29" s="1342" t="str">
        <f t="shared" ref="Q29" si="9">B29</f>
        <v>基础设施水平</v>
      </c>
      <c r="R29" s="701" t="s">
        <v>14</v>
      </c>
      <c r="S29" s="702">
        <f>F29</f>
        <v>100</v>
      </c>
      <c r="T29" s="701" t="s">
        <v>14</v>
      </c>
      <c r="U29" s="702">
        <f>H29</f>
        <v>100</v>
      </c>
      <c r="V29" s="701" t="s">
        <v>14</v>
      </c>
      <c r="W29" s="702">
        <f>J29</f>
        <v>100</v>
      </c>
      <c r="X29" s="703"/>
      <c r="Y29" s="374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9"/>
      <c r="Q30" s="1342"/>
      <c r="R30" s="701"/>
      <c r="S30" s="702"/>
      <c r="T30" s="701"/>
      <c r="U30" s="702"/>
      <c r="V30" s="701"/>
      <c r="W30" s="702"/>
      <c r="X30" s="703"/>
      <c r="Y30" s="374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9"/>
      <c r="Q32" s="1351" t="str">
        <f t="shared" si="8"/>
        <v>毗邻道路的类型与等级</v>
      </c>
      <c r="R32" s="705" t="s">
        <v>14</v>
      </c>
      <c r="S32" s="706">
        <f t="shared" si="10"/>
        <v>100</v>
      </c>
      <c r="T32" s="705" t="s">
        <v>14</v>
      </c>
      <c r="U32" s="706">
        <f t="shared" si="11"/>
        <v>100</v>
      </c>
      <c r="V32" s="705" t="s">
        <v>14</v>
      </c>
      <c r="W32" s="706">
        <f t="shared" si="12"/>
        <v>100</v>
      </c>
      <c r="X32" s="1354"/>
      <c r="Y32" s="374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9"/>
      <c r="Q33" s="1351"/>
      <c r="R33" s="705"/>
      <c r="S33" s="706"/>
      <c r="T33" s="705"/>
      <c r="U33" s="706"/>
      <c r="V33" s="705"/>
      <c r="W33" s="706"/>
      <c r="X33" s="1354"/>
      <c r="Y33" s="374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9"/>
      <c r="Q34" s="1351" t="str">
        <f t="shared" si="8"/>
        <v>土地级别</v>
      </c>
      <c r="R34" s="705" t="s">
        <v>14</v>
      </c>
      <c r="S34" s="706">
        <f t="shared" si="10"/>
        <v>100</v>
      </c>
      <c r="T34" s="705" t="s">
        <v>14</v>
      </c>
      <c r="U34" s="706">
        <f t="shared" si="11"/>
        <v>100</v>
      </c>
      <c r="V34" s="705" t="s">
        <v>14</v>
      </c>
      <c r="W34" s="706">
        <f t="shared" si="12"/>
        <v>100</v>
      </c>
      <c r="X34" s="1354"/>
      <c r="Y34" s="374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9"/>
      <c r="Q35" s="1351">
        <f t="shared" si="8"/>
        <v>111</v>
      </c>
      <c r="R35" s="705" t="s">
        <v>14</v>
      </c>
      <c r="S35" s="706">
        <f t="shared" si="10"/>
        <v>100</v>
      </c>
      <c r="T35" s="705" t="s">
        <v>14</v>
      </c>
      <c r="U35" s="706">
        <f t="shared" si="11"/>
        <v>100</v>
      </c>
      <c r="V35" s="705" t="s">
        <v>14</v>
      </c>
      <c r="W35" s="706">
        <f t="shared" si="12"/>
        <v>100</v>
      </c>
      <c r="X35" s="1354"/>
      <c r="Y35" s="374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2" t="s">
        <v>1696</v>
      </c>
      <c r="Q36" s="1351">
        <f t="shared" si="8"/>
        <v>111</v>
      </c>
      <c r="R36" s="705" t="s">
        <v>14</v>
      </c>
      <c r="S36" s="706">
        <f t="shared" si="10"/>
        <v>100</v>
      </c>
      <c r="T36" s="705" t="s">
        <v>14</v>
      </c>
      <c r="U36" s="706">
        <f t="shared" si="11"/>
        <v>100</v>
      </c>
      <c r="V36" s="705" t="s">
        <v>14</v>
      </c>
      <c r="W36" s="706">
        <f t="shared" si="12"/>
        <v>100</v>
      </c>
      <c r="X36" s="1354"/>
      <c r="Y36" s="375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3"/>
      <c r="Q37" s="1351">
        <f t="shared" si="8"/>
        <v>111</v>
      </c>
      <c r="R37" s="708" t="s">
        <v>14</v>
      </c>
      <c r="S37" s="709">
        <f t="shared" si="10"/>
        <v>100</v>
      </c>
      <c r="T37" s="708" t="s">
        <v>14</v>
      </c>
      <c r="U37" s="709">
        <f t="shared" si="11"/>
        <v>100</v>
      </c>
      <c r="V37" s="708" t="s">
        <v>14</v>
      </c>
      <c r="W37" s="709">
        <f t="shared" si="12"/>
        <v>100</v>
      </c>
      <c r="X37" s="710"/>
      <c r="Y37" s="375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3"/>
      <c r="Q38" s="1351" t="str">
        <f>B38</f>
        <v>宗地面积</v>
      </c>
      <c r="R38" s="705" t="s">
        <v>14</v>
      </c>
      <c r="S38" s="706" t="e">
        <f t="shared" si="10"/>
        <v>#N/A</v>
      </c>
      <c r="T38" s="705" t="s">
        <v>14</v>
      </c>
      <c r="U38" s="706" t="e">
        <f t="shared" si="11"/>
        <v>#N/A</v>
      </c>
      <c r="V38" s="705" t="s">
        <v>14</v>
      </c>
      <c r="W38" s="706" t="e">
        <f t="shared" si="12"/>
        <v>#N/A</v>
      </c>
      <c r="X38" s="1354"/>
      <c r="Y38" s="375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3"/>
      <c r="Q39" s="1351" t="str">
        <f t="shared" ref="Q39:Q45" si="14">B39</f>
        <v>宗地形状</v>
      </c>
      <c r="R39" s="705" t="s">
        <v>14</v>
      </c>
      <c r="S39" s="706">
        <f t="shared" si="10"/>
        <v>100</v>
      </c>
      <c r="T39" s="705" t="s">
        <v>14</v>
      </c>
      <c r="U39" s="706">
        <f t="shared" si="11"/>
        <v>100</v>
      </c>
      <c r="V39" s="705" t="s">
        <v>14</v>
      </c>
      <c r="W39" s="706">
        <f t="shared" si="12"/>
        <v>100</v>
      </c>
      <c r="X39" s="1354"/>
      <c r="Y39" s="375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3"/>
      <c r="Q40" s="1351" t="str">
        <f t="shared" si="14"/>
        <v>临街宽度及深度</v>
      </c>
      <c r="R40" s="705" t="s">
        <v>14</v>
      </c>
      <c r="S40" s="706">
        <f t="shared" si="10"/>
        <v>100</v>
      </c>
      <c r="T40" s="705" t="s">
        <v>14</v>
      </c>
      <c r="U40" s="706">
        <f t="shared" si="11"/>
        <v>100</v>
      </c>
      <c r="V40" s="705" t="s">
        <v>14</v>
      </c>
      <c r="W40" s="706">
        <f t="shared" si="12"/>
        <v>100</v>
      </c>
      <c r="X40" s="1354"/>
      <c r="Y40" s="375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3"/>
      <c r="Q41" s="1351" t="str">
        <f t="shared" si="14"/>
        <v>宗地开发程度</v>
      </c>
      <c r="R41" s="701" t="s">
        <v>14</v>
      </c>
      <c r="S41" s="702">
        <f t="shared" si="10"/>
        <v>100</v>
      </c>
      <c r="T41" s="701" t="s">
        <v>14</v>
      </c>
      <c r="U41" s="702">
        <f t="shared" si="11"/>
        <v>100</v>
      </c>
      <c r="V41" s="701" t="s">
        <v>14</v>
      </c>
      <c r="W41" s="702">
        <f t="shared" si="12"/>
        <v>100</v>
      </c>
      <c r="X41" s="703"/>
      <c r="Y41" s="375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3" t="s">
        <v>1696</v>
      </c>
      <c r="Q42" s="1351" t="str">
        <f t="shared" si="14"/>
        <v>工程地质条件</v>
      </c>
      <c r="R42" s="705" t="s">
        <v>14</v>
      </c>
      <c r="S42" s="706">
        <f t="shared" si="10"/>
        <v>100</v>
      </c>
      <c r="T42" s="705" t="s">
        <v>14</v>
      </c>
      <c r="U42" s="706">
        <f t="shared" si="11"/>
        <v>100</v>
      </c>
      <c r="V42" s="705" t="s">
        <v>14</v>
      </c>
      <c r="W42" s="706">
        <f t="shared" si="12"/>
        <v>100</v>
      </c>
      <c r="X42" s="1354"/>
      <c r="Y42" s="375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3"/>
      <c r="Q43" s="1351">
        <f t="shared" si="14"/>
        <v>111</v>
      </c>
      <c r="R43" s="705" t="s">
        <v>14</v>
      </c>
      <c r="S43" s="706">
        <f t="shared" si="10"/>
        <v>100</v>
      </c>
      <c r="T43" s="705" t="s">
        <v>14</v>
      </c>
      <c r="U43" s="706">
        <f t="shared" si="11"/>
        <v>100</v>
      </c>
      <c r="V43" s="705" t="s">
        <v>14</v>
      </c>
      <c r="W43" s="706">
        <f t="shared" si="12"/>
        <v>100</v>
      </c>
      <c r="X43" s="1354"/>
      <c r="Y43" s="375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3"/>
      <c r="Q44" s="1351">
        <f t="shared" si="14"/>
        <v>111</v>
      </c>
      <c r="R44" s="705" t="s">
        <v>14</v>
      </c>
      <c r="S44" s="706">
        <f t="shared" si="10"/>
        <v>100</v>
      </c>
      <c r="T44" s="705" t="s">
        <v>14</v>
      </c>
      <c r="U44" s="706">
        <f t="shared" si="11"/>
        <v>100</v>
      </c>
      <c r="V44" s="705" t="s">
        <v>14</v>
      </c>
      <c r="W44" s="706">
        <f t="shared" si="12"/>
        <v>100</v>
      </c>
      <c r="X44" s="1354"/>
      <c r="Y44" s="375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3"/>
      <c r="Q45" s="1351">
        <f t="shared" si="14"/>
        <v>111</v>
      </c>
      <c r="R45" s="708" t="s">
        <v>14</v>
      </c>
      <c r="S45" s="709">
        <f t="shared" si="10"/>
        <v>100</v>
      </c>
      <c r="T45" s="708" t="s">
        <v>14</v>
      </c>
      <c r="U45" s="709">
        <f t="shared" si="11"/>
        <v>100</v>
      </c>
      <c r="V45" s="708" t="s">
        <v>14</v>
      </c>
      <c r="W45" s="709">
        <f t="shared" si="12"/>
        <v>100</v>
      </c>
      <c r="X45" s="710"/>
      <c r="Y45" s="3753"/>
      <c r="Z45" s="711">
        <f t="shared" si="13"/>
        <v>111</v>
      </c>
      <c r="AA45" s="1352">
        <f t="shared" si="3"/>
        <v>1</v>
      </c>
      <c r="AB45" s="1352">
        <f t="shared" si="4"/>
        <v>1</v>
      </c>
      <c r="AC45" s="1352">
        <f t="shared" si="5"/>
        <v>1</v>
      </c>
    </row>
    <row r="46" spans="1:29" ht="15">
      <c r="A46" s="430" t="s">
        <v>1844</v>
      </c>
      <c r="B46" s="1981" t="s">
        <v>3528</v>
      </c>
      <c r="C46" s="630" t="s">
        <v>0</v>
      </c>
      <c r="D46" s="432"/>
      <c r="E46" s="433"/>
      <c r="F46" s="434"/>
      <c r="G46" s="435"/>
      <c r="H46" s="436"/>
      <c r="I46" s="433"/>
      <c r="J46" s="436"/>
      <c r="K46" s="714"/>
      <c r="L46" s="2723"/>
      <c r="M46" s="2724"/>
      <c r="N46" s="2715"/>
      <c r="O46" s="2724"/>
      <c r="P46" s="3746" t="str">
        <f>A46</f>
        <v>成交单价</v>
      </c>
      <c r="Q46" s="3746"/>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#N/A</v>
      </c>
      <c r="D47" s="2316" t="s">
        <v>2136</v>
      </c>
      <c r="E47" s="440" t="e">
        <f>R47</f>
        <v>#N/A</v>
      </c>
      <c r="F47" s="2317"/>
      <c r="G47" s="439" t="e">
        <f>T47</f>
        <v>#N/A</v>
      </c>
      <c r="H47" s="2317"/>
      <c r="I47" s="440" t="e">
        <f>V47</f>
        <v>#N/A</v>
      </c>
      <c r="J47" s="2317"/>
      <c r="K47" s="2319">
        <f>F47+H47+J47</f>
        <v>0</v>
      </c>
      <c r="L47" s="2723"/>
      <c r="M47" s="2724"/>
      <c r="N47" s="2724"/>
      <c r="O47" s="2724"/>
      <c r="P47" s="3746" t="str">
        <f>A47</f>
        <v>比较价值（元/平方米）</v>
      </c>
      <c r="Q47" s="3746"/>
      <c r="R47" s="3774" t="e">
        <f>ROUND(PRODUCT(R46,AA7:AA45),0)</f>
        <v>#N/A</v>
      </c>
      <c r="S47" s="3774"/>
      <c r="T47" s="3774" t="e">
        <f>ROUND(PRODUCT(T46,AB7:AB45),0)</f>
        <v>#N/A</v>
      </c>
      <c r="U47" s="3774"/>
      <c r="V47" s="3774" t="e">
        <f>ROUND(PRODUCT(V46,AC7:AC45),0)</f>
        <v>#N/A</v>
      </c>
      <c r="W47" s="3774"/>
      <c r="X47" s="690"/>
      <c r="Y47" s="690"/>
      <c r="Z47" s="690"/>
      <c r="AA47" s="690"/>
      <c r="AB47" s="690"/>
      <c r="AC47" s="690"/>
    </row>
    <row r="48" spans="1:29" ht="15.75" thickBot="1">
      <c r="A48" s="441" t="s">
        <v>1879</v>
      </c>
      <c r="B48" s="442"/>
      <c r="C48" s="443" t="e">
        <f>R48</f>
        <v>#N/A</v>
      </c>
      <c r="D48" s="443"/>
      <c r="E48" s="443"/>
      <c r="F48" s="443"/>
      <c r="G48" s="443"/>
      <c r="H48" s="443"/>
      <c r="I48" s="443"/>
      <c r="J48" s="443"/>
      <c r="K48" s="715"/>
      <c r="L48" s="2723"/>
      <c r="M48" s="2724"/>
      <c r="N48" s="2724"/>
      <c r="O48" s="2724"/>
      <c r="P48" s="3743" t="str">
        <f>A48</f>
        <v>估价对象XX用房的比较价值（楼面单价，元/平方米）</v>
      </c>
      <c r="Q48" s="3744"/>
      <c r="R48" s="3775" t="e">
        <f>ROUND(IF(D47="简单平均",AVERAGE(R47:W47),R47*F47+T47*H47+V47*J47),0)</f>
        <v>#N/A</v>
      </c>
      <c r="S48" s="3775"/>
      <c r="T48" s="3775"/>
      <c r="U48" s="3775"/>
      <c r="V48" s="3775"/>
      <c r="W48" s="377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#N/A</v>
      </c>
      <c r="F51" s="449" t="e">
        <f>IF(OR(E51&gt;=0.3,E51&lt;=-0.3),"超过30%","")</f>
        <v>#N/A</v>
      </c>
      <c r="G51" s="448" t="e">
        <f>IF(G46&lt;G47,G47/G46-1,G46/G47-1)</f>
        <v>#N/A</v>
      </c>
      <c r="H51" s="449" t="e">
        <f>IF(OR(G51&gt;=0.3,G51&lt;=-0.3),"超过30%","")</f>
        <v>#N/A</v>
      </c>
      <c r="I51" s="448" t="e">
        <f>IF(I46&lt;I47,I47/I46-1,I46/I47-1)</f>
        <v>#N/A</v>
      </c>
      <c r="J51" s="449" t="e">
        <f>IF(OR(I51&gt;=0.3,I51&lt;=-0.3),"超过30%","")</f>
        <v>#N/A</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#N/A</v>
      </c>
      <c r="F52" s="449" t="e">
        <f>IF(OR(E52&gt;=0.2,E52&lt;=-0.2),"超过20%","")</f>
        <v>#N/A</v>
      </c>
      <c r="G52" s="448" t="e">
        <f>IF(G47&lt;I47,I47/G47-1,G47/I47-1)</f>
        <v>#N/A</v>
      </c>
      <c r="H52" s="449" t="e">
        <f>IF(OR(G52&gt;=0.2,G52&lt;=-0.2),"超过20%","")</f>
        <v>#N/A</v>
      </c>
      <c r="I52" s="448" t="e">
        <f>IF(I47&lt;E47,E47/I47-1,I47/E47-1)</f>
        <v>#N/A</v>
      </c>
      <c r="J52" s="449" t="e">
        <f>IF(OR(I52&gt;=0.2,I52&lt;=-0.2),"超过20%","")</f>
        <v>#N/A</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29" t="s">
        <v>1886</v>
      </c>
      <c r="H55" s="3776"/>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#N/A</v>
      </c>
      <c r="C56" s="638">
        <v>1</v>
      </c>
      <c r="D56" s="944">
        <v>1</v>
      </c>
      <c r="E56" s="638">
        <f>'数据-汇总表'!E8+'数据-汇总表'!E9</f>
        <v>13305.62</v>
      </c>
      <c r="F56" s="886" t="e">
        <f t="shared" ref="F56:F64" si="15">ROUND(B56*E56/10000,0)</f>
        <v>#N/A</v>
      </c>
      <c r="G56" s="3728"/>
      <c r="H56" s="374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#N/A</v>
      </c>
      <c r="C57" s="171">
        <f t="shared" ref="C57:C64" si="16">IF($C$55="北京市系数",I57,J57)</f>
        <v>0</v>
      </c>
      <c r="D57" s="945">
        <v>0.25</v>
      </c>
      <c r="E57" s="642"/>
      <c r="F57" s="886" t="e">
        <f t="shared" si="15"/>
        <v>#N/A</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#N/A</v>
      </c>
      <c r="C58" s="171">
        <f t="shared" si="16"/>
        <v>0</v>
      </c>
      <c r="D58" s="945">
        <v>0.25</v>
      </c>
      <c r="E58" s="642"/>
      <c r="F58" s="886" t="e">
        <f t="shared" si="15"/>
        <v>#N/A</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#N/A</v>
      </c>
      <c r="C59" s="171">
        <f t="shared" si="16"/>
        <v>0</v>
      </c>
      <c r="D59" s="945">
        <v>0.25</v>
      </c>
      <c r="E59" s="642"/>
      <c r="F59" s="886" t="e">
        <f t="shared" si="15"/>
        <v>#N/A</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#N/A</v>
      </c>
      <c r="C60" s="171">
        <f t="shared" si="16"/>
        <v>0</v>
      </c>
      <c r="D60" s="945">
        <v>0.25</v>
      </c>
      <c r="E60" s="217">
        <f>'数据-汇总表'!E11</f>
        <v>0</v>
      </c>
      <c r="F60" s="886" t="e">
        <f t="shared" si="15"/>
        <v>#N/A</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#N/A</v>
      </c>
      <c r="C61" s="171">
        <f t="shared" si="16"/>
        <v>0</v>
      </c>
      <c r="D61" s="945">
        <v>0.25</v>
      </c>
      <c r="E61" s="217">
        <f>'数据-汇总表'!E12</f>
        <v>0</v>
      </c>
      <c r="F61" s="886" t="e">
        <f t="shared" si="15"/>
        <v>#N/A</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#N/A</v>
      </c>
      <c r="C62" s="171">
        <f t="shared" si="16"/>
        <v>0</v>
      </c>
      <c r="D62" s="945">
        <v>0.25</v>
      </c>
      <c r="E62" s="217">
        <f>'数据-汇总表'!E13</f>
        <v>0</v>
      </c>
      <c r="F62" s="886" t="e">
        <f t="shared" si="15"/>
        <v>#N/A</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#N/A</v>
      </c>
      <c r="C63" s="171">
        <f t="shared" si="16"/>
        <v>0</v>
      </c>
      <c r="D63" s="945">
        <v>0.25</v>
      </c>
      <c r="E63" s="217">
        <f>'数据-汇总表'!E14</f>
        <v>0</v>
      </c>
      <c r="F63" s="886" t="e">
        <f t="shared" si="15"/>
        <v>#N/A</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#N/A</v>
      </c>
      <c r="C64" s="171">
        <f t="shared" si="16"/>
        <v>0</v>
      </c>
      <c r="D64" s="945">
        <v>0.25</v>
      </c>
      <c r="E64" s="217">
        <f>'数据-汇总表'!E15</f>
        <v>0</v>
      </c>
      <c r="F64" s="886" t="e">
        <f t="shared" si="15"/>
        <v>#N/A</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21428.52</v>
      </c>
      <c r="F65" s="645" t="e">
        <f>IF(B46="楼面地价",SUM(F56:F64),ROUND(C48*E65/10000,0))</f>
        <v>#N/A</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v>100</v>
      </c>
      <c r="E70" s="544">
        <v>100</v>
      </c>
      <c r="F70" s="544">
        <f>E70-0.2</f>
        <v>99.8</v>
      </c>
      <c r="G70" s="544">
        <f>F70</f>
        <v>99.8</v>
      </c>
      <c r="H70" s="544">
        <f>F70</f>
        <v>99.8</v>
      </c>
      <c r="I70" s="544">
        <f>F70</f>
        <v>99.8</v>
      </c>
      <c r="J70" s="544">
        <f>I70-0.2</f>
        <v>99.6</v>
      </c>
      <c r="K70" s="544">
        <f>J70</f>
        <v>99.6</v>
      </c>
      <c r="L70" s="544">
        <f>J70</f>
        <v>99.6</v>
      </c>
      <c r="M70" s="1178">
        <f>J70</f>
        <v>99.6</v>
      </c>
      <c r="N70" s="544">
        <f>M70-0.2</f>
        <v>99.399999999999991</v>
      </c>
      <c r="O70" s="1179">
        <f>N70</f>
        <v>99.399999999999991</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92" t="s">
        <v>3526</v>
      </c>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103</v>
      </c>
      <c r="E80" s="493">
        <f t="shared" si="21"/>
        <v>106</v>
      </c>
      <c r="F80" s="493">
        <f t="shared" si="21"/>
        <v>109</v>
      </c>
      <c r="G80" s="493">
        <f t="shared" si="21"/>
        <v>112</v>
      </c>
      <c r="H80" s="493">
        <f t="shared" si="21"/>
        <v>115</v>
      </c>
      <c r="I80" s="493">
        <f t="shared" si="21"/>
        <v>118</v>
      </c>
      <c r="J80" s="493">
        <f t="shared" si="21"/>
        <v>121</v>
      </c>
      <c r="K80" s="493">
        <f t="shared" si="21"/>
        <v>124</v>
      </c>
      <c r="L80" s="493">
        <f t="shared" si="21"/>
        <v>127</v>
      </c>
      <c r="M80" s="493">
        <f t="shared" si="21"/>
        <v>130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Normal="60" zoomScaleSheetLayoutView="100" workbookViewId="0">
      <selection activeCell="C43" sqref="C4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3225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2424</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4"/>
      <c r="M4" s="2715"/>
      <c r="N4" s="2715"/>
      <c r="O4" s="2715"/>
      <c r="P4" s="3733" t="s">
        <v>1775</v>
      </c>
      <c r="Q4" s="3734"/>
      <c r="R4" s="3716" t="s">
        <v>1771</v>
      </c>
      <c r="S4" s="3717"/>
      <c r="T4" s="3716" t="s">
        <v>1772</v>
      </c>
      <c r="U4" s="3717"/>
      <c r="V4" s="3741" t="s">
        <v>1773</v>
      </c>
      <c r="W4" s="3741"/>
      <c r="X4" s="1354"/>
      <c r="Y4" s="3716" t="s">
        <v>1775</v>
      </c>
      <c r="Z4" s="3717"/>
      <c r="AA4" s="3711" t="s">
        <v>1771</v>
      </c>
      <c r="AB4" s="3712" t="s">
        <v>1772</v>
      </c>
      <c r="AC4" s="3711" t="s">
        <v>1773</v>
      </c>
    </row>
    <row r="5" spans="1:29" ht="15">
      <c r="A5" s="358"/>
      <c r="B5" s="359"/>
      <c r="C5" s="3722" t="s">
        <v>1673</v>
      </c>
      <c r="D5" s="3723"/>
      <c r="E5" s="3720" t="str">
        <f>土地案例!A3</f>
        <v>京津冀智能网联新能源汽车科技生态港(顺义)一期1、2号地项目SY00-3702-0005地块M1工业用地</v>
      </c>
      <c r="F5" s="3721"/>
      <c r="G5" s="3722" t="str">
        <f>土地案例!A7</f>
        <v>顺义新城3401街区(高丽营镇中关村顺义园三代半产业基地)3-2-4(北区)(3号地A)地块M1工业用地国有建设用地使用权出让</v>
      </c>
      <c r="H5" s="3723"/>
      <c r="I5" s="3722" t="str">
        <f>土地案例!A10</f>
        <v>顺义新城3401街区(高丽营镇中关村科技园区顺义园三代半产业基地)2号地 2-1(东区)地块M1工业用地国有建设用地使用权出让</v>
      </c>
      <c r="J5" s="3723"/>
      <c r="K5" s="559"/>
      <c r="L5" s="2714"/>
      <c r="M5" s="2715"/>
      <c r="N5" s="2715"/>
      <c r="O5" s="2715"/>
      <c r="P5" s="3735"/>
      <c r="Q5" s="3736"/>
      <c r="R5" s="3718"/>
      <c r="S5" s="3719"/>
      <c r="T5" s="3718"/>
      <c r="U5" s="3719"/>
      <c r="V5" s="3741"/>
      <c r="W5" s="3741"/>
      <c r="X5" s="1354"/>
      <c r="Y5" s="3718"/>
      <c r="Z5" s="3719"/>
      <c r="AA5" s="3712"/>
      <c r="AB5" s="3712"/>
      <c r="AC5" s="3712"/>
    </row>
    <row r="6" spans="1:29" ht="15.75" thickBot="1">
      <c r="A6" s="360"/>
      <c r="B6" s="361"/>
      <c r="C6" s="3777" t="s">
        <v>1918</v>
      </c>
      <c r="D6" s="3778"/>
      <c r="E6" s="3779" t="s">
        <v>1918</v>
      </c>
      <c r="F6" s="3780"/>
      <c r="G6" s="3777" t="s">
        <v>1918</v>
      </c>
      <c r="H6" s="3778"/>
      <c r="I6" s="3777" t="s">
        <v>1918</v>
      </c>
      <c r="J6" s="3778"/>
      <c r="K6" s="559" t="s">
        <v>1678</v>
      </c>
      <c r="L6" s="2714"/>
      <c r="M6" s="2715"/>
      <c r="N6" s="2715"/>
      <c r="O6" s="2715"/>
      <c r="P6" s="3737"/>
      <c r="Q6" s="3738"/>
      <c r="R6" s="3718"/>
      <c r="S6" s="3719"/>
      <c r="T6" s="3739"/>
      <c r="U6" s="3740"/>
      <c r="V6" s="3741"/>
      <c r="W6" s="3741"/>
      <c r="X6" s="1354"/>
      <c r="Y6" s="3739"/>
      <c r="Z6" s="3740"/>
      <c r="AA6" s="3713"/>
      <c r="AB6" s="3713"/>
      <c r="AC6" s="3713"/>
    </row>
    <row r="7" spans="1:29" s="108" customFormat="1" ht="15.75" thickBot="1">
      <c r="A7" s="362" t="s">
        <v>1679</v>
      </c>
      <c r="B7" s="363"/>
      <c r="C7" s="364">
        <f>'数据-取费表'!B2</f>
        <v>45841</v>
      </c>
      <c r="D7" s="365">
        <v>100</v>
      </c>
      <c r="E7" s="366" t="str">
        <f>土地案例!H3</f>
        <v>2025-02-03</v>
      </c>
      <c r="F7" s="367">
        <f>SUMIF(65:65,YEAR(E7)&amp;"-"&amp;INT((MONTH(E7)+2)/3),66:66)</f>
        <v>100</v>
      </c>
      <c r="G7" s="1973" t="str">
        <f>土地案例!H7</f>
        <v>2022-09-28</v>
      </c>
      <c r="H7" s="365">
        <f>SUMIF(65:65,YEAR(G7)&amp;"-"&amp;INT((MONTH(G7)+2)/3),66:66)</f>
        <v>96.09</v>
      </c>
      <c r="I7" s="1973" t="str">
        <f>土地案例!H10</f>
        <v>2022-07-19</v>
      </c>
      <c r="J7" s="365">
        <f>SUMIF(65:65,YEAR(I7)&amp;"-"&amp;INT((MONTH(I7)+2)/3),66:66)</f>
        <v>96.09</v>
      </c>
      <c r="K7" s="560"/>
      <c r="L7" s="2716"/>
      <c r="M7" s="2717"/>
      <c r="N7" s="2717"/>
      <c r="O7" s="2717"/>
      <c r="P7" s="3714" t="s">
        <v>1680</v>
      </c>
      <c r="Q7" s="3742"/>
      <c r="R7" s="701" t="s">
        <v>14</v>
      </c>
      <c r="S7" s="702">
        <f t="shared" ref="S7:S15" si="0">F7</f>
        <v>100</v>
      </c>
      <c r="T7" s="701" t="s">
        <v>14</v>
      </c>
      <c r="U7" s="702">
        <f t="shared" ref="U7:U15" si="1">H7</f>
        <v>96.09</v>
      </c>
      <c r="V7" s="701" t="s">
        <v>14</v>
      </c>
      <c r="W7" s="702">
        <f t="shared" ref="W7:W15" si="2">J7</f>
        <v>96.09</v>
      </c>
      <c r="X7" s="703"/>
      <c r="Y7" s="3714" t="s">
        <v>1680</v>
      </c>
      <c r="Z7" s="3715"/>
      <c r="AA7" s="704">
        <f>D7/F7</f>
        <v>1</v>
      </c>
      <c r="AB7" s="704">
        <f>D7/H7</f>
        <v>1.0406910188365075</v>
      </c>
      <c r="AC7" s="704">
        <f>D7/J7</f>
        <v>1.0406910188365075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4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31.69</v>
      </c>
      <c r="D10" s="127">
        <v>100</v>
      </c>
      <c r="E10" s="383">
        <v>50</v>
      </c>
      <c r="F10" s="127">
        <f>ROUND(100/'数据-取费表'!G16,0)</f>
        <v>118</v>
      </c>
      <c r="G10" s="383">
        <v>50</v>
      </c>
      <c r="H10" s="127">
        <f>ROUND(100/'数据-取费表'!G16,0)</f>
        <v>118</v>
      </c>
      <c r="I10" s="383">
        <v>50</v>
      </c>
      <c r="J10" s="127">
        <f>ROUND(100/'数据-取费表'!G16,0)</f>
        <v>118</v>
      </c>
      <c r="K10" s="620"/>
      <c r="L10" s="2718"/>
      <c r="M10" s="2719"/>
      <c r="N10" s="2719"/>
      <c r="O10" s="2772"/>
      <c r="P10" s="3746"/>
      <c r="Q10" s="1342" t="str">
        <f t="shared" si="6"/>
        <v>土地使用年限（年）</v>
      </c>
      <c r="R10" s="701" t="s">
        <v>14</v>
      </c>
      <c r="S10" s="702">
        <f t="shared" si="0"/>
        <v>118</v>
      </c>
      <c r="T10" s="701" t="s">
        <v>14</v>
      </c>
      <c r="U10" s="702">
        <f t="shared" si="1"/>
        <v>118</v>
      </c>
      <c r="V10" s="701" t="s">
        <v>14</v>
      </c>
      <c r="W10" s="702">
        <f t="shared" si="2"/>
        <v>118</v>
      </c>
      <c r="X10" s="703"/>
      <c r="Y10" s="3658"/>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f>'数据-汇总表'!I8</f>
        <v>0.91</v>
      </c>
      <c r="D11" s="127">
        <v>100</v>
      </c>
      <c r="E11" s="380">
        <v>1.5</v>
      </c>
      <c r="F11" s="127">
        <f>LOOKUP(E11,75:75,76:76)-LOOKUP(C11,75:75,76:76)+100</f>
        <v>103</v>
      </c>
      <c r="G11" s="381">
        <v>1.5</v>
      </c>
      <c r="H11" s="127">
        <f>LOOKUP(G11,75:75,76:76)-LOOKUP(C11,75:75,76:76)+100</f>
        <v>103</v>
      </c>
      <c r="I11" s="380">
        <v>1.5</v>
      </c>
      <c r="J11" s="127">
        <f>LOOKUP(I11,75:75,76:76)-LOOKUP(C11,75:75,76:76)+100</f>
        <v>103</v>
      </c>
      <c r="K11" s="621">
        <v>3</v>
      </c>
      <c r="L11" s="2720"/>
      <c r="M11" s="2715"/>
      <c r="N11" s="2715"/>
      <c r="O11" s="2773"/>
      <c r="P11" s="3746"/>
      <c r="Q11" s="1342" t="str">
        <f t="shared" si="6"/>
        <v>容积率</v>
      </c>
      <c r="R11" s="701" t="s">
        <v>14</v>
      </c>
      <c r="S11" s="702">
        <f t="shared" si="0"/>
        <v>103</v>
      </c>
      <c r="T11" s="701" t="s">
        <v>14</v>
      </c>
      <c r="U11" s="702">
        <f t="shared" si="1"/>
        <v>103</v>
      </c>
      <c r="V11" s="701" t="s">
        <v>14</v>
      </c>
      <c r="W11" s="702">
        <f t="shared" si="2"/>
        <v>103</v>
      </c>
      <c r="X11" s="703"/>
      <c r="Y11" s="3658"/>
      <c r="Z11" s="52" t="str">
        <f t="shared" si="7"/>
        <v>容积率</v>
      </c>
      <c r="AA11" s="704">
        <f t="shared" si="3"/>
        <v>0.970873786407767</v>
      </c>
      <c r="AB11" s="704">
        <f t="shared" si="4"/>
        <v>0.970873786407767</v>
      </c>
      <c r="AC11" s="704">
        <f t="shared" si="5"/>
        <v>0.970873786407767</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48" t="s">
        <v>1691</v>
      </c>
      <c r="Q15" s="1351" t="str">
        <f t="shared" si="6"/>
        <v>产业集聚程度</v>
      </c>
      <c r="R15" s="705" t="s">
        <v>14</v>
      </c>
      <c r="S15" s="706">
        <f t="shared" si="0"/>
        <v>100</v>
      </c>
      <c r="T15" s="705" t="s">
        <v>14</v>
      </c>
      <c r="U15" s="706">
        <f t="shared" si="1"/>
        <v>100</v>
      </c>
      <c r="V15" s="705" t="s">
        <v>14</v>
      </c>
      <c r="W15" s="706">
        <f t="shared" si="2"/>
        <v>100</v>
      </c>
      <c r="X15" s="1354"/>
      <c r="Y15" s="3748" t="s">
        <v>1691</v>
      </c>
      <c r="Z15" s="1355" t="str">
        <f t="shared" si="7"/>
        <v>产业集聚程度</v>
      </c>
      <c r="AA15" s="1352">
        <f t="shared" si="3"/>
        <v>1</v>
      </c>
      <c r="AB15" s="1352">
        <f t="shared" si="4"/>
        <v>1</v>
      </c>
      <c r="AC15" s="1352">
        <f t="shared" si="5"/>
        <v>1</v>
      </c>
    </row>
    <row r="16" spans="1:29" ht="15">
      <c r="A16" s="379"/>
      <c r="B16" s="578"/>
      <c r="C16" s="398" t="s">
        <v>3432</v>
      </c>
      <c r="D16" s="399"/>
      <c r="E16" s="398" t="s">
        <v>3432</v>
      </c>
      <c r="F16" s="399"/>
      <c r="G16" s="398" t="s">
        <v>3432</v>
      </c>
      <c r="H16" s="401"/>
      <c r="I16" s="398" t="s">
        <v>3432</v>
      </c>
      <c r="J16" s="399"/>
      <c r="K16" s="620"/>
      <c r="L16" s="2721"/>
      <c r="M16" s="2715"/>
      <c r="N16" s="2715"/>
      <c r="O16" s="2773"/>
      <c r="P16" s="3749"/>
      <c r="Q16" s="1351"/>
      <c r="R16" s="705"/>
      <c r="S16" s="706"/>
      <c r="T16" s="705"/>
      <c r="U16" s="706"/>
      <c r="V16" s="705"/>
      <c r="W16" s="706"/>
      <c r="X16" s="1354"/>
      <c r="Y16" s="374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49"/>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352">
        <f t="shared" si="5"/>
        <v>1</v>
      </c>
    </row>
    <row r="18" spans="1:29" ht="15">
      <c r="A18" s="379"/>
      <c r="B18" s="580"/>
      <c r="C18" s="398" t="s">
        <v>3433</v>
      </c>
      <c r="D18" s="399"/>
      <c r="E18" s="398" t="s">
        <v>3433</v>
      </c>
      <c r="F18" s="399"/>
      <c r="G18" s="398" t="s">
        <v>3433</v>
      </c>
      <c r="H18" s="399"/>
      <c r="I18" s="398" t="s">
        <v>3433</v>
      </c>
      <c r="J18" s="399"/>
      <c r="K18" s="620"/>
      <c r="L18" s="2721"/>
      <c r="M18" s="2715"/>
      <c r="N18" s="2715"/>
      <c r="O18" s="2773"/>
      <c r="P18" s="3749"/>
      <c r="Q18" s="1351"/>
      <c r="R18" s="705"/>
      <c r="S18" s="706"/>
      <c r="T18" s="705"/>
      <c r="U18" s="706"/>
      <c r="V18" s="705"/>
      <c r="W18" s="706"/>
      <c r="X18" s="1354"/>
      <c r="Y18" s="374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49"/>
      <c r="Q19" s="1351" t="str">
        <f t="shared" ref="Q19:Q33" si="8">B19</f>
        <v>区域土地利用方向</v>
      </c>
      <c r="R19" s="705" t="s">
        <v>14</v>
      </c>
      <c r="S19" s="706">
        <f>F19</f>
        <v>100</v>
      </c>
      <c r="T19" s="705" t="s">
        <v>14</v>
      </c>
      <c r="U19" s="706">
        <f>H19</f>
        <v>100</v>
      </c>
      <c r="V19" s="705" t="s">
        <v>14</v>
      </c>
      <c r="W19" s="706">
        <f>J19</f>
        <v>100</v>
      </c>
      <c r="X19" s="1354"/>
      <c r="Y19" s="3749"/>
      <c r="Z19" s="1355" t="str">
        <f>Q19</f>
        <v>区域土地利用方向</v>
      </c>
      <c r="AA19" s="1352">
        <f t="shared" si="3"/>
        <v>1</v>
      </c>
      <c r="AB19" s="1352">
        <f t="shared" si="4"/>
        <v>1</v>
      </c>
      <c r="AC19" s="1352">
        <f t="shared" si="5"/>
        <v>1</v>
      </c>
    </row>
    <row r="20" spans="1:29" ht="15">
      <c r="A20" s="358"/>
      <c r="B20" s="580"/>
      <c r="C20" s="398" t="s">
        <v>3432</v>
      </c>
      <c r="D20" s="399"/>
      <c r="E20" s="398" t="s">
        <v>3432</v>
      </c>
      <c r="F20" s="399"/>
      <c r="G20" s="398" t="s">
        <v>3432</v>
      </c>
      <c r="H20" s="399"/>
      <c r="I20" s="398" t="s">
        <v>3432</v>
      </c>
      <c r="J20" s="399"/>
      <c r="K20" s="740"/>
      <c r="L20" s="2721"/>
      <c r="M20" s="2715"/>
      <c r="N20" s="2715"/>
      <c r="O20" s="2773"/>
      <c r="P20" s="3749"/>
      <c r="Q20" s="1351"/>
      <c r="R20" s="705"/>
      <c r="S20" s="706"/>
      <c r="T20" s="705"/>
      <c r="U20" s="706"/>
      <c r="V20" s="705"/>
      <c r="W20" s="706"/>
      <c r="X20" s="1354"/>
      <c r="Y20" s="3749"/>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49"/>
      <c r="Q21" s="1351" t="str">
        <f t="shared" si="8"/>
        <v>环境状况</v>
      </c>
      <c r="R21" s="705" t="s">
        <v>14</v>
      </c>
      <c r="S21" s="706">
        <f>F21</f>
        <v>100</v>
      </c>
      <c r="T21" s="705" t="s">
        <v>14</v>
      </c>
      <c r="U21" s="706">
        <f>H21</f>
        <v>100</v>
      </c>
      <c r="V21" s="705" t="s">
        <v>14</v>
      </c>
      <c r="W21" s="706">
        <f>J21</f>
        <v>100</v>
      </c>
      <c r="X21" s="1354"/>
      <c r="Y21" s="3749"/>
      <c r="Z21" s="1355" t="str">
        <f>Q21</f>
        <v>环境状况</v>
      </c>
      <c r="AA21" s="1352">
        <f t="shared" si="3"/>
        <v>1</v>
      </c>
      <c r="AB21" s="1352">
        <f t="shared" si="4"/>
        <v>1</v>
      </c>
      <c r="AC21" s="1352">
        <f t="shared" si="5"/>
        <v>1</v>
      </c>
    </row>
    <row r="22" spans="1:29" ht="15">
      <c r="A22" s="358"/>
      <c r="B22" s="580"/>
      <c r="C22" s="398" t="s">
        <v>3433</v>
      </c>
      <c r="D22" s="399"/>
      <c r="E22" s="398" t="s">
        <v>3433</v>
      </c>
      <c r="F22" s="399"/>
      <c r="G22" s="398" t="s">
        <v>3433</v>
      </c>
      <c r="H22" s="399"/>
      <c r="I22" s="398" t="s">
        <v>3433</v>
      </c>
      <c r="J22" s="399"/>
      <c r="K22" s="620"/>
      <c r="L22" s="2721"/>
      <c r="M22" s="2715"/>
      <c r="N22" s="2715"/>
      <c r="O22" s="2773"/>
      <c r="P22" s="3749"/>
      <c r="Q22" s="1351"/>
      <c r="R22" s="705"/>
      <c r="S22" s="706"/>
      <c r="T22" s="705"/>
      <c r="U22" s="706"/>
      <c r="V22" s="705"/>
      <c r="W22" s="706"/>
      <c r="X22" s="1354"/>
      <c r="Y22" s="374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49"/>
      <c r="Q23" s="1342" t="str">
        <f t="shared" si="8"/>
        <v>公共配套设施</v>
      </c>
      <c r="R23" s="701" t="s">
        <v>14</v>
      </c>
      <c r="S23" s="702">
        <f>F23</f>
        <v>100</v>
      </c>
      <c r="T23" s="701" t="s">
        <v>14</v>
      </c>
      <c r="U23" s="702">
        <f>H23</f>
        <v>100</v>
      </c>
      <c r="V23" s="701" t="s">
        <v>14</v>
      </c>
      <c r="W23" s="702">
        <f>J23</f>
        <v>100</v>
      </c>
      <c r="X23" s="703"/>
      <c r="Y23" s="3749"/>
      <c r="Z23" s="52" t="str">
        <f>Q23</f>
        <v>公共配套设施</v>
      </c>
      <c r="AA23" s="1352">
        <f>D23/F23</f>
        <v>1</v>
      </c>
      <c r="AB23" s="1352">
        <f>D23/H23</f>
        <v>1</v>
      </c>
      <c r="AC23" s="1352">
        <f>D23/J23</f>
        <v>1</v>
      </c>
    </row>
    <row r="24" spans="1:29" s="108" customFormat="1" ht="15">
      <c r="A24" s="597"/>
      <c r="B24" s="580"/>
      <c r="C24" s="1977" t="s">
        <v>3433</v>
      </c>
      <c r="D24" s="399"/>
      <c r="E24" s="1977" t="s">
        <v>3433</v>
      </c>
      <c r="F24" s="399"/>
      <c r="G24" s="1977" t="s">
        <v>3433</v>
      </c>
      <c r="H24" s="399"/>
      <c r="I24" s="1977" t="s">
        <v>3433</v>
      </c>
      <c r="J24" s="399"/>
      <c r="K24" s="620"/>
      <c r="L24" s="2716"/>
      <c r="M24" s="2717"/>
      <c r="N24" s="2717"/>
      <c r="O24" s="2771"/>
      <c r="P24" s="3749"/>
      <c r="Q24" s="1342"/>
      <c r="R24" s="701"/>
      <c r="S24" s="702"/>
      <c r="T24" s="701"/>
      <c r="U24" s="702"/>
      <c r="V24" s="701"/>
      <c r="W24" s="702"/>
      <c r="X24" s="703"/>
      <c r="Y24" s="374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49"/>
      <c r="Q25" s="1342" t="str">
        <f t="shared" ref="Q25" si="9">B25</f>
        <v>基础设施水平</v>
      </c>
      <c r="R25" s="701" t="s">
        <v>14</v>
      </c>
      <c r="S25" s="702">
        <f>F25</f>
        <v>100</v>
      </c>
      <c r="T25" s="701" t="s">
        <v>14</v>
      </c>
      <c r="U25" s="702">
        <f>H25</f>
        <v>100</v>
      </c>
      <c r="V25" s="701" t="s">
        <v>14</v>
      </c>
      <c r="W25" s="702">
        <f>J25</f>
        <v>100</v>
      </c>
      <c r="X25" s="703"/>
      <c r="Y25" s="3749"/>
      <c r="Z25" s="52" t="str">
        <f>Q25</f>
        <v>基础设施水平</v>
      </c>
      <c r="AA25" s="1352">
        <f>D25/F25</f>
        <v>1</v>
      </c>
      <c r="AB25" s="1352">
        <f>D25/H25</f>
        <v>1</v>
      </c>
      <c r="AC25" s="1352">
        <f>D25/J25</f>
        <v>1</v>
      </c>
    </row>
    <row r="26" spans="1:29" s="108" customFormat="1" ht="15">
      <c r="A26" s="597"/>
      <c r="B26" s="580"/>
      <c r="C26" s="1977" t="s">
        <v>3530</v>
      </c>
      <c r="D26" s="399"/>
      <c r="E26" s="1977" t="s">
        <v>3530</v>
      </c>
      <c r="F26" s="399"/>
      <c r="G26" s="1977" t="s">
        <v>3530</v>
      </c>
      <c r="H26" s="399"/>
      <c r="I26" s="1977" t="s">
        <v>3530</v>
      </c>
      <c r="J26" s="399"/>
      <c r="K26" s="620"/>
      <c r="L26" s="2716"/>
      <c r="M26" s="2717"/>
      <c r="N26" s="2717"/>
      <c r="O26" s="2771"/>
      <c r="P26" s="3749"/>
      <c r="Q26" s="1342"/>
      <c r="R26" s="701"/>
      <c r="S26" s="702"/>
      <c r="T26" s="701"/>
      <c r="U26" s="702"/>
      <c r="V26" s="701"/>
      <c r="W26" s="702"/>
      <c r="X26" s="703"/>
      <c r="Y26" s="37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9"/>
      <c r="Q28" s="1351" t="str">
        <f t="shared" si="8"/>
        <v>毗邻道路的类型与等级</v>
      </c>
      <c r="R28" s="705" t="s">
        <v>14</v>
      </c>
      <c r="S28" s="706">
        <f t="shared" si="10"/>
        <v>100</v>
      </c>
      <c r="T28" s="705" t="s">
        <v>14</v>
      </c>
      <c r="U28" s="706">
        <f t="shared" si="11"/>
        <v>100</v>
      </c>
      <c r="V28" s="705" t="s">
        <v>14</v>
      </c>
      <c r="W28" s="706">
        <f t="shared" si="12"/>
        <v>100</v>
      </c>
      <c r="X28" s="1354"/>
      <c r="Y28" s="374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9"/>
      <c r="Q29" s="1351"/>
      <c r="R29" s="705"/>
      <c r="S29" s="706"/>
      <c r="T29" s="705"/>
      <c r="U29" s="706"/>
      <c r="V29" s="705"/>
      <c r="W29" s="706"/>
      <c r="X29" s="1354"/>
      <c r="Y29" s="374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9"/>
      <c r="Q30" s="1351" t="str">
        <f t="shared" si="8"/>
        <v>土地级别</v>
      </c>
      <c r="R30" s="705" t="s">
        <v>14</v>
      </c>
      <c r="S30" s="706">
        <f t="shared" si="10"/>
        <v>100</v>
      </c>
      <c r="T30" s="705" t="s">
        <v>14</v>
      </c>
      <c r="U30" s="706">
        <f t="shared" si="11"/>
        <v>100</v>
      </c>
      <c r="V30" s="705" t="s">
        <v>14</v>
      </c>
      <c r="W30" s="706">
        <f t="shared" si="12"/>
        <v>100</v>
      </c>
      <c r="X30" s="1354"/>
      <c r="Y30" s="374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9"/>
      <c r="Q31" s="1351">
        <f t="shared" si="8"/>
        <v>111</v>
      </c>
      <c r="R31" s="705" t="s">
        <v>14</v>
      </c>
      <c r="S31" s="706">
        <f t="shared" si="10"/>
        <v>100</v>
      </c>
      <c r="T31" s="705" t="s">
        <v>14</v>
      </c>
      <c r="U31" s="706">
        <f t="shared" si="11"/>
        <v>100</v>
      </c>
      <c r="V31" s="705" t="s">
        <v>14</v>
      </c>
      <c r="W31" s="706">
        <f t="shared" si="12"/>
        <v>100</v>
      </c>
      <c r="X31" s="1354"/>
      <c r="Y31" s="374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2" t="s">
        <v>1696</v>
      </c>
      <c r="Q32" s="1351">
        <f t="shared" si="8"/>
        <v>111</v>
      </c>
      <c r="R32" s="705" t="s">
        <v>14</v>
      </c>
      <c r="S32" s="706">
        <f t="shared" si="10"/>
        <v>100</v>
      </c>
      <c r="T32" s="705" t="s">
        <v>14</v>
      </c>
      <c r="U32" s="706">
        <f t="shared" si="11"/>
        <v>100</v>
      </c>
      <c r="V32" s="705" t="s">
        <v>14</v>
      </c>
      <c r="W32" s="706">
        <f t="shared" si="12"/>
        <v>100</v>
      </c>
      <c r="X32" s="1354"/>
      <c r="Y32" s="375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3"/>
      <c r="Q33" s="1351">
        <f t="shared" si="8"/>
        <v>111</v>
      </c>
      <c r="R33" s="708" t="s">
        <v>14</v>
      </c>
      <c r="S33" s="709">
        <f t="shared" si="10"/>
        <v>100</v>
      </c>
      <c r="T33" s="708" t="s">
        <v>14</v>
      </c>
      <c r="U33" s="709">
        <f t="shared" si="11"/>
        <v>100</v>
      </c>
      <c r="V33" s="708" t="s">
        <v>14</v>
      </c>
      <c r="W33" s="709">
        <f t="shared" si="12"/>
        <v>100</v>
      </c>
      <c r="X33" s="710"/>
      <c r="Y33" s="3753"/>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土地案例!D3</f>
        <v>61152.33</v>
      </c>
      <c r="F34" s="418">
        <f>LOOKUP(E34,108:108,109:109)-LOOKUP(C34,108:108,109:109)+100</f>
        <v>98</v>
      </c>
      <c r="G34" s="627">
        <f>土地案例!D7</f>
        <v>40217.370000000003</v>
      </c>
      <c r="H34" s="418">
        <f>LOOKUP(G34,108:108,109:109)-LOOKUP(C34,108:108,109:109)+100</f>
        <v>99</v>
      </c>
      <c r="I34" s="479">
        <f>土地案例!D10</f>
        <v>65024.44</v>
      </c>
      <c r="J34" s="418">
        <f>LOOKUP(I34,108:108,109:109)-LOOKUP(C34,108:108,109:109)+100</f>
        <v>98</v>
      </c>
      <c r="K34" s="562"/>
      <c r="L34" s="2721"/>
      <c r="M34" s="2715"/>
      <c r="N34" s="2715"/>
      <c r="O34" s="2773"/>
      <c r="P34" s="3753"/>
      <c r="Q34" s="1351" t="str">
        <f>B34</f>
        <v>宗地面积</v>
      </c>
      <c r="R34" s="705" t="s">
        <v>14</v>
      </c>
      <c r="S34" s="706">
        <f t="shared" si="10"/>
        <v>98</v>
      </c>
      <c r="T34" s="705" t="s">
        <v>14</v>
      </c>
      <c r="U34" s="706">
        <f t="shared" si="11"/>
        <v>99</v>
      </c>
      <c r="V34" s="705" t="s">
        <v>14</v>
      </c>
      <c r="W34" s="706">
        <f t="shared" si="12"/>
        <v>98</v>
      </c>
      <c r="X34" s="1354"/>
      <c r="Y34" s="3753"/>
      <c r="Z34" s="1355" t="str">
        <f t="shared" si="13"/>
        <v>宗地面积</v>
      </c>
      <c r="AA34" s="1352">
        <f t="shared" si="3"/>
        <v>1.0204081632653061</v>
      </c>
      <c r="AB34" s="1352">
        <f t="shared" si="4"/>
        <v>1.0101010101010102</v>
      </c>
      <c r="AC34" s="1352">
        <f t="shared" si="5"/>
        <v>1.0204081632653061</v>
      </c>
    </row>
    <row r="35" spans="1:31" ht="15">
      <c r="A35" s="423"/>
      <c r="B35" s="375" t="s">
        <v>1875</v>
      </c>
      <c r="C35" s="1905" t="s">
        <v>3531</v>
      </c>
      <c r="D35" s="386">
        <v>100</v>
      </c>
      <c r="E35" s="1905" t="s">
        <v>3531</v>
      </c>
      <c r="F35" s="386">
        <f>SUMIF(110:110,E35,111:111)-SUMIF(110:110,C35,111:111)+100</f>
        <v>100</v>
      </c>
      <c r="G35" s="1905" t="s">
        <v>3531</v>
      </c>
      <c r="H35" s="386">
        <f>SUMIF(110:110,G35,111:111)-SUMIF(110:110,C35,111:111)+100</f>
        <v>100</v>
      </c>
      <c r="I35" s="1905" t="s">
        <v>3531</v>
      </c>
      <c r="J35" s="386">
        <f>SUMIF(110:110,I35,111:111)-SUMIF(110:110,C35,111:111)+100</f>
        <v>100</v>
      </c>
      <c r="K35" s="561">
        <v>1</v>
      </c>
      <c r="L35" s="2721"/>
      <c r="M35" s="2715"/>
      <c r="N35" s="2715"/>
      <c r="O35" s="2773"/>
      <c r="P35" s="3753"/>
      <c r="Q35" s="1351" t="str">
        <f t="shared" ref="Q35:Q40" si="14">B35</f>
        <v>宗地形状</v>
      </c>
      <c r="R35" s="705" t="s">
        <v>14</v>
      </c>
      <c r="S35" s="706">
        <f t="shared" si="10"/>
        <v>100</v>
      </c>
      <c r="T35" s="705" t="s">
        <v>14</v>
      </c>
      <c r="U35" s="706">
        <f t="shared" si="11"/>
        <v>100</v>
      </c>
      <c r="V35" s="705" t="s">
        <v>14</v>
      </c>
      <c r="W35" s="706">
        <f t="shared" si="12"/>
        <v>100</v>
      </c>
      <c r="X35" s="1354"/>
      <c r="Y35" s="375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3"/>
      <c r="Q36" s="1351" t="str">
        <f t="shared" si="14"/>
        <v>宗地开发程度</v>
      </c>
      <c r="R36" s="701" t="s">
        <v>14</v>
      </c>
      <c r="S36" s="702">
        <f t="shared" si="10"/>
        <v>100</v>
      </c>
      <c r="T36" s="701" t="s">
        <v>14</v>
      </c>
      <c r="U36" s="702">
        <f t="shared" si="11"/>
        <v>100</v>
      </c>
      <c r="V36" s="701" t="s">
        <v>14</v>
      </c>
      <c r="W36" s="702">
        <f t="shared" si="12"/>
        <v>100</v>
      </c>
      <c r="X36" s="703"/>
      <c r="Y36" s="3753"/>
      <c r="Z36" s="52" t="str">
        <f t="shared" si="13"/>
        <v>宗地开发程度</v>
      </c>
      <c r="AA36" s="704">
        <f t="shared" si="3"/>
        <v>1</v>
      </c>
      <c r="AB36" s="704">
        <f t="shared" si="4"/>
        <v>1</v>
      </c>
      <c r="AC36" s="704">
        <f t="shared" si="5"/>
        <v>1</v>
      </c>
    </row>
    <row r="37" spans="1:31" ht="15">
      <c r="A37" s="423"/>
      <c r="B37" s="375" t="s">
        <v>1878</v>
      </c>
      <c r="C37" s="1905" t="s">
        <v>3432</v>
      </c>
      <c r="D37" s="386">
        <v>100</v>
      </c>
      <c r="E37" s="1905" t="s">
        <v>3432</v>
      </c>
      <c r="F37" s="386">
        <f>SUMIF(114:114,E37,115:115)-SUMIF(114:114,C37,115:115)+100</f>
        <v>100</v>
      </c>
      <c r="G37" s="1905" t="s">
        <v>3432</v>
      </c>
      <c r="H37" s="386">
        <f>SUMIF(114:114,G37,115:115)-SUMIF(114:114,C37,115:115)+100</f>
        <v>100</v>
      </c>
      <c r="I37" s="1905" t="s">
        <v>3432</v>
      </c>
      <c r="J37" s="386">
        <f>SUMIF(114:114,I37,115:115)-SUMIF(114:114,C37,115:115)+100</f>
        <v>100</v>
      </c>
      <c r="K37" s="561">
        <v>1</v>
      </c>
      <c r="L37" s="2721"/>
      <c r="M37" s="2715"/>
      <c r="N37" s="2715"/>
      <c r="O37" s="2773"/>
      <c r="P37" s="3753" t="s">
        <v>1696</v>
      </c>
      <c r="Q37" s="1351" t="str">
        <f t="shared" si="14"/>
        <v>工程地质条件</v>
      </c>
      <c r="R37" s="705" t="s">
        <v>14</v>
      </c>
      <c r="S37" s="706">
        <f t="shared" si="10"/>
        <v>100</v>
      </c>
      <c r="T37" s="705" t="s">
        <v>14</v>
      </c>
      <c r="U37" s="706">
        <f t="shared" si="11"/>
        <v>100</v>
      </c>
      <c r="V37" s="705" t="s">
        <v>14</v>
      </c>
      <c r="W37" s="706">
        <f t="shared" si="12"/>
        <v>100</v>
      </c>
      <c r="X37" s="1354"/>
      <c r="Y37" s="375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3"/>
      <c r="Q38" s="1351">
        <f t="shared" si="14"/>
        <v>111</v>
      </c>
      <c r="R38" s="705" t="s">
        <v>14</v>
      </c>
      <c r="S38" s="706">
        <f t="shared" si="10"/>
        <v>100</v>
      </c>
      <c r="T38" s="705" t="s">
        <v>14</v>
      </c>
      <c r="U38" s="706">
        <f t="shared" si="11"/>
        <v>100</v>
      </c>
      <c r="V38" s="705" t="s">
        <v>14</v>
      </c>
      <c r="W38" s="706">
        <f t="shared" si="12"/>
        <v>100</v>
      </c>
      <c r="X38" s="1354"/>
      <c r="Y38" s="375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3"/>
      <c r="Q39" s="1351">
        <f t="shared" si="14"/>
        <v>111</v>
      </c>
      <c r="R39" s="705" t="s">
        <v>14</v>
      </c>
      <c r="S39" s="706">
        <f t="shared" si="10"/>
        <v>100</v>
      </c>
      <c r="T39" s="705" t="s">
        <v>14</v>
      </c>
      <c r="U39" s="706">
        <f t="shared" si="11"/>
        <v>100</v>
      </c>
      <c r="V39" s="705" t="s">
        <v>14</v>
      </c>
      <c r="W39" s="706">
        <f t="shared" si="12"/>
        <v>100</v>
      </c>
      <c r="X39" s="1354"/>
      <c r="Y39" s="375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3"/>
      <c r="Q40" s="1351">
        <f t="shared" si="14"/>
        <v>111</v>
      </c>
      <c r="R40" s="708" t="s">
        <v>14</v>
      </c>
      <c r="S40" s="709">
        <f t="shared" si="10"/>
        <v>100</v>
      </c>
      <c r="T40" s="708" t="s">
        <v>14</v>
      </c>
      <c r="U40" s="709">
        <f t="shared" si="11"/>
        <v>100</v>
      </c>
      <c r="V40" s="708" t="s">
        <v>14</v>
      </c>
      <c r="W40" s="709">
        <f t="shared" si="12"/>
        <v>100</v>
      </c>
      <c r="X40" s="710"/>
      <c r="Y40" s="3753"/>
      <c r="Z40" s="711">
        <f t="shared" si="13"/>
        <v>111</v>
      </c>
      <c r="AA40" s="1352">
        <f t="shared" si="3"/>
        <v>1</v>
      </c>
      <c r="AB40" s="1352">
        <f t="shared" si="4"/>
        <v>1</v>
      </c>
      <c r="AC40" s="1352">
        <f t="shared" si="5"/>
        <v>1</v>
      </c>
    </row>
    <row r="41" spans="1:31" ht="15">
      <c r="A41" s="430" t="s">
        <v>1844</v>
      </c>
      <c r="B41" s="1981" t="s">
        <v>3528</v>
      </c>
      <c r="C41" s="630" t="s">
        <v>0</v>
      </c>
      <c r="D41" s="432"/>
      <c r="E41" s="433">
        <f>土地案例!O3</f>
        <v>1637</v>
      </c>
      <c r="F41" s="434"/>
      <c r="G41" s="435">
        <f>土地案例!O7</f>
        <v>1807</v>
      </c>
      <c r="H41" s="436"/>
      <c r="I41" s="433">
        <f>土地案例!O10</f>
        <v>1805</v>
      </c>
      <c r="J41" s="436"/>
      <c r="K41" s="714"/>
      <c r="L41" s="2723"/>
      <c r="M41" s="2715"/>
      <c r="N41" s="2715"/>
      <c r="O41" s="2724"/>
      <c r="P41" s="3746" t="str">
        <f>A41</f>
        <v>成交单价</v>
      </c>
      <c r="Q41" s="3746"/>
      <c r="R41" s="3741">
        <f>E41</f>
        <v>1637</v>
      </c>
      <c r="S41" s="3741"/>
      <c r="T41" s="3741">
        <f>G41</f>
        <v>1807</v>
      </c>
      <c r="U41" s="3741"/>
      <c r="V41" s="3741">
        <f>I41</f>
        <v>1805</v>
      </c>
      <c r="W41" s="3741"/>
      <c r="X41" s="690"/>
      <c r="Y41" s="712"/>
      <c r="Z41" s="690"/>
      <c r="AA41" s="690"/>
      <c r="AB41" s="690"/>
      <c r="AC41" s="690"/>
    </row>
    <row r="42" spans="1:31" ht="15.75" thickBot="1">
      <c r="A42" s="437" t="s">
        <v>1793</v>
      </c>
      <c r="B42" s="631"/>
      <c r="C42" s="440">
        <f>R43</f>
        <v>1505</v>
      </c>
      <c r="D42" s="2316" t="s">
        <v>2136</v>
      </c>
      <c r="E42" s="440">
        <f>R42</f>
        <v>1374</v>
      </c>
      <c r="F42" s="2317"/>
      <c r="G42" s="439">
        <f>T42</f>
        <v>1563</v>
      </c>
      <c r="H42" s="2317"/>
      <c r="I42" s="440">
        <f>V42</f>
        <v>1577</v>
      </c>
      <c r="J42" s="2317"/>
      <c r="K42" s="2319">
        <f>F42+H42+J42</f>
        <v>0</v>
      </c>
      <c r="L42" s="2723"/>
      <c r="M42" s="2715"/>
      <c r="N42" s="2715"/>
      <c r="O42" s="2724"/>
      <c r="P42" s="3746" t="str">
        <f>A42</f>
        <v>比较价值（元/平方米）</v>
      </c>
      <c r="Q42" s="3746"/>
      <c r="R42" s="3774">
        <f>ROUND(PRODUCT(R41,AA7:AA40),0)</f>
        <v>1374</v>
      </c>
      <c r="S42" s="3774"/>
      <c r="T42" s="3774">
        <f>ROUND(PRODUCT(T41,AB7:AB40),0)</f>
        <v>1563</v>
      </c>
      <c r="U42" s="3774"/>
      <c r="V42" s="3774">
        <f>ROUND(PRODUCT(V41,AC7:AC40),0)</f>
        <v>1577</v>
      </c>
      <c r="W42" s="3774"/>
      <c r="X42" s="690"/>
      <c r="Y42" s="690"/>
      <c r="Z42" s="690"/>
      <c r="AA42" s="690"/>
      <c r="AB42" s="690"/>
      <c r="AC42" s="690"/>
    </row>
    <row r="43" spans="1:31" ht="15.75" thickBot="1">
      <c r="A43" s="441" t="s">
        <v>1794</v>
      </c>
      <c r="B43" s="442"/>
      <c r="C43" s="443">
        <f>R43</f>
        <v>1505</v>
      </c>
      <c r="D43" s="443"/>
      <c r="E43" s="443"/>
      <c r="F43" s="443"/>
      <c r="G43" s="443"/>
      <c r="H43" s="443"/>
      <c r="I43" s="443"/>
      <c r="J43" s="443"/>
      <c r="K43" s="715"/>
      <c r="L43" s="2723"/>
      <c r="M43" s="2715"/>
      <c r="N43" s="2715"/>
      <c r="O43" s="2724"/>
      <c r="P43" s="3743" t="str">
        <f>A43</f>
        <v>估价对象XX用房的比较价值（楼面单价，元/平方米）</v>
      </c>
      <c r="Q43" s="3744"/>
      <c r="R43" s="3775">
        <f>ROUND(IF(D42="简单平均",AVERAGE(R42:W42),R42*F42+T42*H42+V42*J42),0)</f>
        <v>1505</v>
      </c>
      <c r="S43" s="3775"/>
      <c r="T43" s="3775"/>
      <c r="U43" s="3775"/>
      <c r="V43" s="3775"/>
      <c r="W43" s="377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0.19141193595342076</v>
      </c>
      <c r="F46" s="449" t="str">
        <f>IF(OR(E46&gt;=0.3,E46&lt;=-0.3),"超过30%","")</f>
        <v/>
      </c>
      <c r="G46" s="448">
        <f>IF(G41&lt;G42,G42/G41-1,G41/G42-1)</f>
        <v>0.15611004478566848</v>
      </c>
      <c r="H46" s="449" t="str">
        <f>IF(OR(G46&gt;=0.3,G46&lt;=-0.3),"超过30%","")</f>
        <v/>
      </c>
      <c r="I46" s="448">
        <f>IF(I41&lt;I42,I42/I41-1,I41/I42-1)</f>
        <v>0.14457831325301207</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0.13755458515283836</v>
      </c>
      <c r="F47" s="449" t="str">
        <f>IF(OR(E47&gt;=0.2,E47&lt;=-0.2),"超过20%","")</f>
        <v/>
      </c>
      <c r="G47" s="448">
        <f>IF(G42&lt;I42,I42/G42-1,G42/I42-1)</f>
        <v>8.9571337172105192E-3</v>
      </c>
      <c r="H47" s="449" t="str">
        <f>IF(OR(G47&gt;=0.2,G47&lt;=-0.2),"超过20%","")</f>
        <v/>
      </c>
      <c r="I47" s="448">
        <f>IF(I42&lt;E42,E42/I42-1,I42/E42-1)</f>
        <v>0.1477438136826783</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0.10384850335980444</v>
      </c>
      <c r="F48" s="449" t="str">
        <f>IF(OR(E48&gt;=0.3,E48&lt;=-0.3),"超过30%","")</f>
        <v/>
      </c>
      <c r="G48" s="448">
        <f>IF(G41&lt;I41,I41/G41-1,G41/I41-1)</f>
        <v>1.1080332409971749E-3</v>
      </c>
      <c r="H48" s="449" t="str">
        <f>IF(OR(G48&gt;=0.3,G48&lt;=-0.3),"超过30%","")</f>
        <v/>
      </c>
      <c r="I48" s="448">
        <f>IF(I41&lt;E41,E41/I41-1,I41/E41-1)</f>
        <v>0.10262675626145379</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29" t="s">
        <v>1886</v>
      </c>
      <c r="H50" s="3776"/>
      <c r="I50" s="1355" t="s">
        <v>1921</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f>C43</f>
        <v>1505</v>
      </c>
      <c r="C51" s="638">
        <v>1</v>
      </c>
      <c r="D51" s="944">
        <v>1</v>
      </c>
      <c r="E51" s="638">
        <f>'数据-汇总表'!E8+'数据-汇总表'!E9</f>
        <v>13305.62</v>
      </c>
      <c r="F51" s="639">
        <f t="shared" ref="F51:F60" si="15">ROUND(B51*E51/10000,0)</f>
        <v>2002</v>
      </c>
      <c r="G51" s="3728"/>
      <c r="H51" s="374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f>ROUND($C$43*C52*D52,0)</f>
        <v>0</v>
      </c>
      <c r="C52" s="171">
        <f t="shared" ref="C52:C60" si="16">IF($C$50="北京市系数",I52,J52)</f>
        <v>0</v>
      </c>
      <c r="D52" s="945">
        <v>0.25</v>
      </c>
      <c r="E52" s="642"/>
      <c r="F52" s="639">
        <f t="shared" si="15"/>
        <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f t="shared" si="17"/>
        <v>0</v>
      </c>
      <c r="C58" s="171">
        <f t="shared" si="16"/>
        <v>0</v>
      </c>
      <c r="D58" s="945">
        <v>0.25</v>
      </c>
      <c r="E58" s="217">
        <f>'数据-汇总表'!E13</f>
        <v>0</v>
      </c>
      <c r="F58" s="639">
        <f t="shared" si="15"/>
        <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21428.52</v>
      </c>
      <c r="F61" s="645">
        <f>IF(B41="楼面地价",SUM(F51:F60),ROUND(C43*E61/10000,0))</f>
        <v>3225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544">
        <v>100</v>
      </c>
      <c r="O66" s="544">
        <v>96.09</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92" t="s">
        <v>3529</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103</v>
      </c>
      <c r="E76" s="493">
        <f t="shared" ref="E76:M76" si="21">IF($B$41="单位面积地价",D76+$K11,D76-$K11)</f>
        <v>106</v>
      </c>
      <c r="F76" s="493">
        <f t="shared" si="21"/>
        <v>109</v>
      </c>
      <c r="G76" s="493">
        <f t="shared" si="21"/>
        <v>112</v>
      </c>
      <c r="H76" s="493">
        <f t="shared" si="21"/>
        <v>115</v>
      </c>
      <c r="I76" s="493">
        <f t="shared" si="21"/>
        <v>118</v>
      </c>
      <c r="J76" s="493">
        <f t="shared" si="21"/>
        <v>121</v>
      </c>
      <c r="K76" s="493">
        <f t="shared" si="21"/>
        <v>124</v>
      </c>
      <c r="L76" s="493">
        <f t="shared" si="21"/>
        <v>127</v>
      </c>
      <c r="M76" s="493">
        <f t="shared" si="21"/>
        <v>130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1912</v>
      </c>
      <c r="C107" s="478" t="str">
        <f t="shared" ref="C107:L107" si="25">C108&amp;"(含)"&amp;"-"&amp;D108</f>
        <v>0(含)-10000</v>
      </c>
      <c r="D107" s="478" t="str">
        <f t="shared" si="25"/>
        <v>10000(含)-20000</v>
      </c>
      <c r="E107" s="478" t="str">
        <f t="shared" si="25"/>
        <v>20000(含)-40000</v>
      </c>
      <c r="F107" s="478" t="str">
        <f t="shared" si="25"/>
        <v>40000(含)-60000</v>
      </c>
      <c r="G107" s="478" t="str">
        <f t="shared" si="25"/>
        <v>60000(含)-80000</v>
      </c>
      <c r="H107" s="478" t="str">
        <f t="shared" si="25"/>
        <v>80000(含)-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v>
      </c>
      <c r="E108" s="544">
        <v>20000</v>
      </c>
      <c r="F108" s="544">
        <v>40000</v>
      </c>
      <c r="G108" s="544">
        <v>60000</v>
      </c>
      <c r="H108" s="544">
        <v>80000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98</v>
      </c>
      <c r="D109" s="540">
        <v>99</v>
      </c>
      <c r="E109" s="540">
        <v>100</v>
      </c>
      <c r="F109" s="540">
        <v>99</v>
      </c>
      <c r="G109" s="540">
        <v>98</v>
      </c>
      <c r="H109" s="540">
        <v>97</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3493" t="s">
        <v>3532</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3494" t="s">
        <v>3533</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4" t="s">
        <v>2082</v>
      </c>
      <c r="D1" s="3785"/>
      <c r="E1" s="3785"/>
      <c r="F1" s="3785"/>
      <c r="G1" s="3785"/>
      <c r="H1" s="3785"/>
      <c r="I1" s="3785"/>
      <c r="J1" s="3785"/>
      <c r="K1" s="3785"/>
      <c r="L1" s="3785"/>
      <c r="M1" s="3785"/>
      <c r="N1" s="3785"/>
      <c r="O1" s="3785"/>
      <c r="P1" s="3785"/>
      <c r="Q1" s="3785"/>
      <c r="R1" s="3785"/>
      <c r="S1" s="378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1903</v>
      </c>
      <c r="C2" s="2144" t="s">
        <v>2072</v>
      </c>
      <c r="D2" s="2144" t="s">
        <v>2073</v>
      </c>
      <c r="E2" s="2611">
        <f ca="1">SUMIF(E6:E13,"&lt;&gt;#ref!",E6:E13)</f>
        <v>21428.52</v>
      </c>
      <c r="F2" s="2792"/>
      <c r="G2" s="2792"/>
      <c r="H2" s="2792"/>
      <c r="I2" s="2792"/>
      <c r="J2" s="2792"/>
      <c r="K2" s="2792"/>
      <c r="L2" s="2792"/>
      <c r="M2" s="2792"/>
      <c r="N2" s="2792"/>
      <c r="O2" s="2792"/>
      <c r="P2" s="2792"/>
    </row>
    <row r="3" spans="1:16" ht="15.75">
      <c r="A3" s="2144" t="s">
        <v>2074</v>
      </c>
      <c r="B3" s="2601">
        <f ca="1">ROUND(B2*10000/E2,0)</f>
        <v>888</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1903</v>
      </c>
      <c r="C6" s="2144" t="s">
        <v>2072</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6" sqref="F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21428.52</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1903</v>
      </c>
      <c r="C2" s="1998" t="s">
        <v>1933</v>
      </c>
      <c r="D2" s="1999" t="s">
        <v>1934</v>
      </c>
      <c r="E2" s="3421" t="s">
        <v>3</v>
      </c>
      <c r="F2" s="1999" t="s">
        <v>1935</v>
      </c>
      <c r="G2" s="2000" t="str">
        <f>IF(E2="商业",项目基本情况!B37,IF(E2="办公",项目基本情况!C37,IF(E2="住宅",项目基本情况!D37,IF(E2="工业",项目基本情况!E37,项目基本情况!F37))))</f>
        <v>九级</v>
      </c>
      <c r="H2" s="1999" t="s">
        <v>1936</v>
      </c>
      <c r="I2" s="2000" t="str">
        <f>IF(E2="商业",项目基本情况!B38,IF(E2="办公",项目基本情况!C38,IF(E2="住宅",项目基本情况!D38,IF(E2="工业",项目基本情况!E38,项目基本情况!F38))))</f>
        <v>Ⅸ-顺3</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1370</v>
      </c>
      <c r="U2" s="1212"/>
      <c r="V2" s="3360">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888</v>
      </c>
      <c r="C3" s="1998" t="s">
        <v>1939</v>
      </c>
      <c r="D3" s="1999" t="s">
        <v>1940</v>
      </c>
      <c r="E3" s="3419" t="s">
        <v>2477</v>
      </c>
      <c r="F3" s="2003" t="s">
        <v>3429</v>
      </c>
      <c r="G3" s="752">
        <f>IF(F3="宗地容积率",'数据-汇总表'!I4,IF(F3="估价对象容积率",'数据-汇总表'!I6,'数据-汇总表'!I7))</f>
        <v>1</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1056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4"/>
      <c r="B4" s="3795"/>
      <c r="C4" s="3795"/>
      <c r="D4" s="3796"/>
      <c r="E4" s="3796"/>
      <c r="F4" s="3796"/>
      <c r="G4" s="3796"/>
      <c r="H4" s="3796"/>
      <c r="I4" s="3796"/>
      <c r="J4" s="3797"/>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861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930</v>
      </c>
      <c r="D5" s="1338">
        <f>ROUND(C6*C17+C20,0)</f>
        <v>930</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731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930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666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3235</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1953</v>
      </c>
      <c r="X7" s="1213" t="str">
        <f>G2</f>
        <v>九级</v>
      </c>
      <c r="Y7" s="1213" t="s">
        <v>1954</v>
      </c>
      <c r="Z7" s="1214">
        <f>G3</f>
        <v>1</v>
      </c>
      <c r="AA7" s="1215"/>
      <c r="AB7" s="1215"/>
      <c r="AC7" s="1216"/>
      <c r="AD7" s="1217"/>
      <c r="AE7" s="1217"/>
      <c r="AF7" s="1217"/>
      <c r="AG7" s="1217"/>
      <c r="AH7" s="1217"/>
      <c r="AI7" s="1217"/>
      <c r="AJ7" s="1218"/>
    </row>
    <row r="8" spans="1:36" ht="15">
      <c r="A8" s="3298"/>
      <c r="B8" s="170" t="s">
        <v>1955</v>
      </c>
      <c r="C8" s="2025"/>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1" t="s">
        <v>1958</v>
      </c>
      <c r="X8" s="3792"/>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8"/>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93"/>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1980</v>
      </c>
      <c r="C13" s="755">
        <f>ROUND(C16*D16*E16*F16*G16*H16*I16*J16,4)</f>
        <v>0</v>
      </c>
      <c r="D13" s="2034" t="s">
        <v>1981</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1983</v>
      </c>
      <c r="C14" s="2040" t="s">
        <v>1984</v>
      </c>
      <c r="D14" s="1349" t="s">
        <v>1985</v>
      </c>
      <c r="E14" s="27" t="s">
        <v>1986</v>
      </c>
      <c r="F14" s="3311" t="s">
        <v>3241</v>
      </c>
      <c r="G14" s="3311" t="s">
        <v>3241</v>
      </c>
      <c r="H14" s="3311" t="s">
        <v>3241</v>
      </c>
      <c r="I14" s="3311" t="s">
        <v>3241</v>
      </c>
      <c r="J14" s="3311" t="s">
        <v>3241</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3247</v>
      </c>
      <c r="E19" s="3337"/>
      <c r="F19" s="3338" t="s">
        <v>3250</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98" t="s">
        <v>3252</v>
      </c>
      <c r="B20" s="167" t="s">
        <v>1992</v>
      </c>
      <c r="C20" s="3324">
        <f>ROUND(IF(F21="与级别开发程度一致",0,(G21-E21)/C21),0)</f>
        <v>0</v>
      </c>
      <c r="D20" s="3340" t="s">
        <v>1996</v>
      </c>
      <c r="E20" s="3341"/>
      <c r="F20" s="3804" t="s">
        <v>1993</v>
      </c>
      <c r="G20" s="380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99"/>
      <c r="B21" s="2163" t="s">
        <v>1995</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3430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2000</v>
      </c>
      <c r="E23" s="761">
        <v>44197</v>
      </c>
      <c r="F23" s="2053" t="s">
        <v>2001</v>
      </c>
      <c r="G23" s="762">
        <f>'数据-取费表'!B2</f>
        <v>45841</v>
      </c>
      <c r="H23" s="3342" t="s">
        <v>3254</v>
      </c>
      <c r="I23" s="3343" t="str">
        <f>IF(H23="季度增幅（自定义）",SUMIF(N25:N28,E2,O25:O28),"")</f>
        <v/>
      </c>
      <c r="J23" s="3445" t="s">
        <v>3253</v>
      </c>
      <c r="K23" s="1125"/>
      <c r="L23" s="2054" t="s">
        <v>2002</v>
      </c>
      <c r="M23" s="1327">
        <f>ROUND(SUMIF(地价!B2:G2,E2,地价!B16:G16),0)</f>
        <v>318</v>
      </c>
      <c r="N23" s="2055" t="s">
        <v>2003</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0.86209999999999998</v>
      </c>
      <c r="D24" s="2059" t="s">
        <v>2005</v>
      </c>
      <c r="E24" s="1334">
        <f>存贷款利率!E28/100</f>
        <v>4.3499999999999997E-2</v>
      </c>
      <c r="F24" s="2059" t="s">
        <v>1997</v>
      </c>
      <c r="G24" s="768">
        <f>SUMIF(M30:Q30,E2,M33:Q33)</f>
        <v>0.05</v>
      </c>
      <c r="H24" s="2059" t="s">
        <v>2006</v>
      </c>
      <c r="I24" s="769">
        <f>SUMIF('数据-取费表'!C6:C15,E2,'数据-取费表'!F6:F15)/COUNTIF('数据-取费表'!C6:C15,E2)</f>
        <v>31.69</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3333</v>
      </c>
      <c r="C25" s="771">
        <f>IF(B25="容积率修正",IF(G3&lt;10,D26,J26),C27)</f>
        <v>1</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4" t="s">
        <v>3255</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1.0193000000000001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1903</v>
      </c>
      <c r="D30" s="2082"/>
      <c r="E30" s="2045"/>
      <c r="F30" s="2083"/>
      <c r="G30" s="2045"/>
      <c r="H30" s="2045"/>
      <c r="I30" s="2045"/>
      <c r="J30" s="2084"/>
      <c r="K30" s="1119"/>
      <c r="L30" s="3350" t="s">
        <v>1934</v>
      </c>
      <c r="M30" s="3351" t="s">
        <v>1988</v>
      </c>
      <c r="N30" s="3351" t="s">
        <v>1989</v>
      </c>
      <c r="O30" s="3351" t="s">
        <v>1990</v>
      </c>
      <c r="P30" s="3351" t="s">
        <v>1991</v>
      </c>
      <c r="Q30" s="3354"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0</v>
      </c>
      <c r="D31" s="2086"/>
      <c r="E31" s="2087"/>
      <c r="F31" s="2088"/>
      <c r="G31" s="2087"/>
      <c r="H31" s="2087"/>
      <c r="I31" s="2087"/>
      <c r="J31" s="2089"/>
      <c r="K31" s="1119"/>
      <c r="L31" s="3352" t="s">
        <v>1994</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888</v>
      </c>
      <c r="D33" s="2097">
        <f>'数据-汇总表'!D3</f>
        <v>21428.52</v>
      </c>
      <c r="E33" s="773">
        <f>ROUND(C33*D33/10000,0)</f>
        <v>1903</v>
      </c>
      <c r="F33" s="3345" t="s">
        <v>3258</v>
      </c>
      <c r="G33" s="2098"/>
      <c r="H33" s="2098"/>
      <c r="I33" s="2098"/>
      <c r="J33" s="2099"/>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133</v>
      </c>
      <c r="D34" s="2102"/>
      <c r="E34" s="773">
        <f>ROUND(IF(B25="楼层修正",SUM(V2:V16)*M40,C34*D34/10000),0)</f>
        <v>0</v>
      </c>
      <c r="F34" s="2103" t="s">
        <v>2030</v>
      </c>
      <c r="G34" s="2104"/>
      <c r="H34" s="2104"/>
      <c r="I34" s="2104"/>
      <c r="J34" s="2105"/>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6" t="s">
        <v>3259</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6" t="s">
        <v>3263</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2"/>
      <c r="B37" s="2112" t="s">
        <v>2034</v>
      </c>
      <c r="C37" s="175">
        <f>ROUND(D5*C22*C23*C24*C28*F37,0)</f>
        <v>444</v>
      </c>
      <c r="D37" s="2097"/>
      <c r="E37" s="171">
        <f>ROUND(C37*D37/10000,0)</f>
        <v>0</v>
      </c>
      <c r="F37" s="171">
        <f>SUMIF(修正!A57:A68,G2,修正!B57:B68)</f>
        <v>0.5</v>
      </c>
      <c r="G37" s="171">
        <f>ROUND(IF(E2="工业",C37*$M$42,C37*$M$41),0)</f>
        <v>67</v>
      </c>
      <c r="H37" s="171">
        <f>D37</f>
        <v>0</v>
      </c>
      <c r="I37" s="171">
        <f>ROUND(G37*H37/10000,0)</f>
        <v>0</v>
      </c>
      <c r="J37" s="3011"/>
      <c r="K37" s="3358" t="s">
        <v>3264</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3"/>
      <c r="B38" s="2040" t="s">
        <v>2035</v>
      </c>
      <c r="C38" s="175">
        <f>ROUND(D5*C22*C23*C24*C28*F38,0)</f>
        <v>178</v>
      </c>
      <c r="D38" s="2097"/>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3"/>
      <c r="B39" s="2040" t="s">
        <v>3257</v>
      </c>
      <c r="C39" s="175">
        <f>ROUND(D5*C22*C23*C24*C28*F39,0)</f>
        <v>178</v>
      </c>
      <c r="D39" s="2097"/>
      <c r="E39" s="171">
        <f t="shared" si="4"/>
        <v>0</v>
      </c>
      <c r="F39" s="171">
        <f>SUMIF(修正!A57:A68,G2,修正!D57:D68)</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178</v>
      </c>
      <c r="D40" s="2097"/>
      <c r="E40" s="171">
        <f t="shared" si="4"/>
        <v>0</v>
      </c>
      <c r="F40" s="175">
        <f>SUMIF(修正!A57:A68,G2,修正!E57:E68)</f>
        <v>0.2</v>
      </c>
      <c r="G40" s="171">
        <f>ROUND(IF(E2="工业",C40*$M$42,C40*$M$41),0)</f>
        <v>27</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3265</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1997</v>
      </c>
      <c r="E44" s="2152">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3267</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3267</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1.0193000000000001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1721</v>
      </c>
      <c r="K82" s="552" t="s">
        <v>1722</v>
      </c>
      <c r="L82" s="552" t="s">
        <v>1723</v>
      </c>
      <c r="M82" s="552" t="s">
        <v>1724</v>
      </c>
      <c r="N82" s="552" t="s">
        <v>1725</v>
      </c>
      <c r="Z82" s="1997"/>
      <c r="AA82" s="2052"/>
      <c r="AG82" s="1121"/>
      <c r="AK82" s="2052"/>
    </row>
    <row r="83" spans="1:37" ht="38.25">
      <c r="A83" s="2129" t="s">
        <v>2068</v>
      </c>
      <c r="B83" s="2133" t="str">
        <f>估价对象房地状况!G15</f>
        <v>估价对象位于XX开发区，园区建设成熟度XX，产业集聚程度XX</v>
      </c>
      <c r="C83" s="2043" t="s">
        <v>3432</v>
      </c>
      <c r="D83" s="1065">
        <f t="shared" ref="D83:D90" si="22">SUMIF($J$82:$N$82,C83,J83:N83)</f>
        <v>1.9300000000000001E-2</v>
      </c>
      <c r="E83" s="744">
        <f>ROUND(SUM(D83:D90),4)</f>
        <v>1.9300000000000001E-2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3433</v>
      </c>
      <c r="D84" s="1065">
        <f t="shared" si="22"/>
        <v>0</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3268</v>
      </c>
      <c r="B85" s="2133">
        <f>估价对象房地状况!G17</f>
        <v>0</v>
      </c>
      <c r="C85" s="2043" t="s">
        <v>3433</v>
      </c>
      <c r="D85" s="1065">
        <f t="shared" si="22"/>
        <v>0</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2065</v>
      </c>
      <c r="B86" s="2133">
        <f>估价对象房地状况!G22</f>
        <v>0</v>
      </c>
      <c r="C86" s="2043" t="s">
        <v>3433</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2057</v>
      </c>
      <c r="B87" s="1325" t="str">
        <f>估价对象房地状况!G19</f>
        <v>估价对象所在区域公共配套设施齐备情况</v>
      </c>
      <c r="C87" s="2043" t="s">
        <v>3434</v>
      </c>
      <c r="D87" s="1065">
        <f t="shared" si="22"/>
        <v>-4.4000000000000003E-3</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2058</v>
      </c>
      <c r="B88" s="1325" t="str">
        <f>估价对象房地状况!G20</f>
        <v>估价对象所在区域基础设施水平</v>
      </c>
      <c r="C88" s="2043" t="s">
        <v>3433</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2055</v>
      </c>
      <c r="B89" s="2135" t="s">
        <v>2069</v>
      </c>
      <c r="C89" s="2043" t="s">
        <v>3432</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2070</v>
      </c>
      <c r="B90" s="2142" t="str">
        <f>估价对象房地状况!G18</f>
        <v>该园区内是否有污染型企业，绿化情况，卫生条件，整体环境状况判断</v>
      </c>
      <c r="C90" s="2043" t="s">
        <v>3433</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2610</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800" t="s">
        <v>3292</v>
      </c>
      <c r="B103" s="3800"/>
      <c r="C103" s="3800"/>
      <c r="D103" s="3800"/>
      <c r="E103" s="3800"/>
      <c r="F103" s="3800"/>
      <c r="G103" s="3800"/>
      <c r="H103" s="3800"/>
      <c r="I103" s="3800"/>
      <c r="J103" s="3800"/>
      <c r="K103" s="3389"/>
      <c r="L103" s="3389"/>
      <c r="M103" s="3389"/>
      <c r="N103" s="3389"/>
    </row>
    <row r="104" spans="1:14">
      <c r="A104" s="3801" t="s">
        <v>3293</v>
      </c>
      <c r="B104" s="3801" t="s">
        <v>3294</v>
      </c>
      <c r="C104" s="3390" t="s">
        <v>3295</v>
      </c>
      <c r="D104" s="3391"/>
      <c r="E104" s="3391"/>
      <c r="F104" s="3391"/>
      <c r="G104" s="3391"/>
      <c r="H104" s="3391"/>
      <c r="I104" s="3391"/>
      <c r="J104" s="3392"/>
      <c r="K104" s="3393"/>
      <c r="L104" s="3393"/>
      <c r="M104" s="3393"/>
      <c r="N104" s="3393"/>
    </row>
    <row r="105" spans="1:14">
      <c r="A105" s="3801"/>
      <c r="B105" s="3801"/>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87"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8"/>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8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90" t="s">
        <v>3309</v>
      </c>
      <c r="B113" s="3790"/>
      <c r="C113" s="3790"/>
      <c r="D113" s="3790"/>
      <c r="E113" s="3790"/>
      <c r="F113" s="3790"/>
      <c r="G113" s="3790"/>
      <c r="H113" s="3790"/>
      <c r="I113" s="3790"/>
      <c r="J113" s="379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2610</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zoomScale="70" zoomScaleNormal="70" workbookViewId="0">
      <selection activeCell="F47" sqref="F47"/>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13" t="s">
        <v>2605</v>
      </c>
      <c r="B20" s="3806" t="s">
        <v>2626</v>
      </c>
      <c r="C20" s="3102" t="s">
        <v>2437</v>
      </c>
      <c r="D20" s="3103"/>
      <c r="E20" s="3104">
        <v>1</v>
      </c>
      <c r="F20" s="3105" t="s">
        <v>2438</v>
      </c>
      <c r="G20" s="3105"/>
    </row>
    <row r="21" spans="1:13" ht="19.5" customHeight="1">
      <c r="A21" s="3814"/>
      <c r="B21" s="3807"/>
      <c r="C21" s="3106" t="s">
        <v>2439</v>
      </c>
      <c r="D21" s="3107"/>
      <c r="E21" s="3108">
        <v>1</v>
      </c>
      <c r="F21" s="3105" t="s">
        <v>2440</v>
      </c>
      <c r="G21" s="3105"/>
    </row>
    <row r="22" spans="1:13" ht="19.5" customHeight="1">
      <c r="A22" s="3814"/>
      <c r="B22" s="3807"/>
      <c r="C22" s="3106" t="s">
        <v>2441</v>
      </c>
      <c r="D22" s="3107"/>
      <c r="E22" s="3108">
        <v>0.9</v>
      </c>
      <c r="F22" s="3105" t="s">
        <v>2442</v>
      </c>
      <c r="G22" s="3105"/>
    </row>
    <row r="23" spans="1:13" ht="19.5" customHeight="1">
      <c r="A23" s="3814"/>
      <c r="B23" s="3807"/>
      <c r="C23" s="3106" t="s">
        <v>2443</v>
      </c>
      <c r="D23" s="3107"/>
      <c r="E23" s="3108">
        <v>0.9</v>
      </c>
      <c r="F23" s="3105" t="s">
        <v>2444</v>
      </c>
      <c r="G23" s="3105"/>
    </row>
    <row r="24" spans="1:13" ht="19.5" customHeight="1">
      <c r="A24" s="3814"/>
      <c r="B24" s="3807"/>
      <c r="C24" s="3106" t="s">
        <v>2445</v>
      </c>
      <c r="D24" s="3107"/>
      <c r="E24" s="3108">
        <v>0.8</v>
      </c>
      <c r="F24" s="3105" t="s">
        <v>2446</v>
      </c>
      <c r="G24" s="3105"/>
    </row>
    <row r="25" spans="1:13" ht="19.5" customHeight="1" thickBot="1">
      <c r="A25" s="3815"/>
      <c r="B25" s="3808"/>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09" t="s">
        <v>2629</v>
      </c>
      <c r="B27" s="3806" t="s">
        <v>2610</v>
      </c>
      <c r="C27" s="3102" t="s">
        <v>2450</v>
      </c>
      <c r="D27" s="3103"/>
      <c r="E27" s="3104">
        <v>1</v>
      </c>
      <c r="F27" s="3105" t="s">
        <v>2451</v>
      </c>
      <c r="G27" s="3105"/>
    </row>
    <row r="28" spans="1:13" ht="19.5" customHeight="1">
      <c r="A28" s="3810"/>
      <c r="B28" s="3807"/>
      <c r="C28" s="3106" t="s">
        <v>2452</v>
      </c>
      <c r="D28" s="3107"/>
      <c r="E28" s="3108">
        <v>1</v>
      </c>
      <c r="F28" s="3105" t="s">
        <v>2453</v>
      </c>
      <c r="G28" s="3105"/>
    </row>
    <row r="29" spans="1:13" ht="19.5" customHeight="1">
      <c r="A29" s="3810"/>
      <c r="B29" s="3807"/>
      <c r="C29" s="3106" t="s">
        <v>2454</v>
      </c>
      <c r="D29" s="3107"/>
      <c r="E29" s="3108">
        <v>0.8</v>
      </c>
      <c r="F29" s="3105" t="s">
        <v>2455</v>
      </c>
      <c r="G29" s="3105"/>
    </row>
    <row r="30" spans="1:13" ht="19.5" customHeight="1">
      <c r="A30" s="3810"/>
      <c r="B30" s="3807"/>
      <c r="C30" s="3106" t="s">
        <v>2456</v>
      </c>
      <c r="D30" s="3107"/>
      <c r="E30" s="3108">
        <v>0.8</v>
      </c>
      <c r="F30" s="3105" t="s">
        <v>2457</v>
      </c>
      <c r="G30" s="3105"/>
    </row>
    <row r="31" spans="1:13" ht="19.5" customHeight="1">
      <c r="A31" s="3810"/>
      <c r="B31" s="3807"/>
      <c r="C31" s="3106" t="s">
        <v>2458</v>
      </c>
      <c r="D31" s="3107"/>
      <c r="E31" s="3108">
        <v>0.8</v>
      </c>
      <c r="F31" s="3105" t="s">
        <v>2459</v>
      </c>
      <c r="G31" s="3105"/>
    </row>
    <row r="32" spans="1:13" ht="19.5" customHeight="1">
      <c r="A32" s="3810"/>
      <c r="B32" s="3807"/>
      <c r="C32" s="3106" t="s">
        <v>2460</v>
      </c>
      <c r="D32" s="3107"/>
      <c r="E32" s="3108">
        <v>0.7</v>
      </c>
      <c r="F32" s="3105" t="s">
        <v>2461</v>
      </c>
      <c r="G32" s="3105"/>
    </row>
    <row r="33" spans="1:7" ht="19.5" customHeight="1">
      <c r="A33" s="3810"/>
      <c r="B33" s="3807"/>
      <c r="C33" s="3106" t="s">
        <v>2462</v>
      </c>
      <c r="D33" s="3107"/>
      <c r="E33" s="3108">
        <v>0.8</v>
      </c>
      <c r="F33" s="3105" t="s">
        <v>2463</v>
      </c>
      <c r="G33" s="3105"/>
    </row>
    <row r="34" spans="1:7" ht="19.5" customHeight="1">
      <c r="A34" s="3810"/>
      <c r="B34" s="3807"/>
      <c r="C34" s="3106" t="s">
        <v>2464</v>
      </c>
      <c r="D34" s="3107"/>
      <c r="E34" s="3108">
        <v>0.6</v>
      </c>
      <c r="F34" s="3105" t="s">
        <v>2465</v>
      </c>
      <c r="G34" s="3105"/>
    </row>
    <row r="35" spans="1:7" ht="19.5" customHeight="1">
      <c r="A35" s="3810"/>
      <c r="B35" s="3807"/>
      <c r="C35" s="3106" t="s">
        <v>2466</v>
      </c>
      <c r="D35" s="3107"/>
      <c r="E35" s="3108">
        <v>0.2</v>
      </c>
      <c r="F35" s="3105" t="s">
        <v>2467</v>
      </c>
      <c r="G35" s="3105"/>
    </row>
    <row r="36" spans="1:7" ht="19.5" customHeight="1">
      <c r="A36" s="3810"/>
      <c r="B36" s="3807"/>
      <c r="C36" s="3106" t="s">
        <v>2468</v>
      </c>
      <c r="D36" s="3107"/>
      <c r="E36" s="3108">
        <v>0.2</v>
      </c>
      <c r="F36" s="3105" t="s">
        <v>2469</v>
      </c>
      <c r="G36" s="3105"/>
    </row>
    <row r="37" spans="1:7" ht="19.5" customHeight="1">
      <c r="A37" s="3810"/>
      <c r="B37" s="3812" t="s">
        <v>2630</v>
      </c>
      <c r="C37" s="3106" t="s">
        <v>2470</v>
      </c>
      <c r="D37" s="3107"/>
      <c r="E37" s="3108">
        <v>0.6</v>
      </c>
      <c r="F37" s="3105" t="s">
        <v>2471</v>
      </c>
      <c r="G37" s="3105"/>
    </row>
    <row r="38" spans="1:7" ht="19.5" customHeight="1">
      <c r="A38" s="3810"/>
      <c r="B38" s="3807"/>
      <c r="C38" s="3106" t="s">
        <v>2472</v>
      </c>
      <c r="D38" s="3107"/>
      <c r="E38" s="3108">
        <v>0.6</v>
      </c>
      <c r="F38" s="3105" t="s">
        <v>2473</v>
      </c>
      <c r="G38" s="3105"/>
    </row>
    <row r="39" spans="1:7" ht="19.5" customHeight="1" thickBot="1">
      <c r="A39" s="3811"/>
      <c r="B39" s="3808"/>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13" t="s">
        <v>2608</v>
      </c>
      <c r="B41" s="3806" t="s">
        <v>2632</v>
      </c>
      <c r="C41" s="3102" t="s">
        <v>2477</v>
      </c>
      <c r="D41" s="3103"/>
      <c r="E41" s="3104">
        <v>1</v>
      </c>
      <c r="F41" s="3105" t="s">
        <v>2478</v>
      </c>
      <c r="G41" s="3105"/>
    </row>
    <row r="42" spans="1:7" ht="19.5" customHeight="1">
      <c r="A42" s="3814"/>
      <c r="B42" s="3807"/>
      <c r="C42" s="3106" t="s">
        <v>2479</v>
      </c>
      <c r="D42" s="3107"/>
      <c r="E42" s="3108">
        <v>1</v>
      </c>
      <c r="F42" s="3105" t="s">
        <v>2480</v>
      </c>
      <c r="G42" s="3105"/>
    </row>
    <row r="43" spans="1:7" ht="19.5" customHeight="1">
      <c r="A43" s="3814"/>
      <c r="B43" s="3816"/>
      <c r="C43" s="3106" t="s">
        <v>2481</v>
      </c>
      <c r="D43" s="3107"/>
      <c r="E43" s="3108">
        <v>1.5</v>
      </c>
      <c r="F43" s="3105" t="s">
        <v>2482</v>
      </c>
      <c r="G43" s="3105"/>
    </row>
    <row r="44" spans="1:7" ht="19.5" customHeight="1">
      <c r="A44" s="3814"/>
      <c r="B44" s="3117" t="s">
        <v>2633</v>
      </c>
      <c r="C44" s="3106" t="s">
        <v>2634</v>
      </c>
      <c r="D44" s="3107"/>
      <c r="E44" s="3108">
        <v>2</v>
      </c>
      <c r="F44" s="3105" t="s">
        <v>2483</v>
      </c>
      <c r="G44" s="3105"/>
    </row>
    <row r="45" spans="1:7" ht="19.5" customHeight="1">
      <c r="A45" s="3814"/>
      <c r="B45" s="3812" t="s">
        <v>2635</v>
      </c>
      <c r="C45" s="3106" t="s">
        <v>2484</v>
      </c>
      <c r="D45" s="3107"/>
      <c r="E45" s="3108">
        <v>1</v>
      </c>
      <c r="F45" s="3105" t="s">
        <v>2485</v>
      </c>
      <c r="G45" s="3105"/>
    </row>
    <row r="46" spans="1:7" ht="19.5" customHeight="1">
      <c r="A46" s="3814"/>
      <c r="B46" s="3807"/>
      <c r="C46" s="3106" t="s">
        <v>2486</v>
      </c>
      <c r="D46" s="3107"/>
      <c r="E46" s="3108">
        <v>1</v>
      </c>
      <c r="F46" s="3105" t="s">
        <v>2487</v>
      </c>
      <c r="G46" s="3105"/>
    </row>
    <row r="47" spans="1:7" ht="19.5" customHeight="1">
      <c r="A47" s="3814"/>
      <c r="B47" s="3807"/>
      <c r="C47" s="3106" t="s">
        <v>2488</v>
      </c>
      <c r="D47" s="3107"/>
      <c r="E47" s="3108">
        <v>1</v>
      </c>
      <c r="F47" s="3105" t="s">
        <v>2489</v>
      </c>
      <c r="G47" s="3105"/>
    </row>
    <row r="48" spans="1:7" ht="19.5" customHeight="1">
      <c r="A48" s="3814"/>
      <c r="B48" s="3807"/>
      <c r="C48" s="3106" t="s">
        <v>2490</v>
      </c>
      <c r="D48" s="3107"/>
      <c r="E48" s="3108">
        <v>1</v>
      </c>
      <c r="F48" s="3105" t="s">
        <v>2491</v>
      </c>
      <c r="G48" s="3105"/>
    </row>
    <row r="49" spans="1:7" ht="19.5" customHeight="1">
      <c r="A49" s="3814"/>
      <c r="B49" s="3807"/>
      <c r="C49" s="3106" t="s">
        <v>2492</v>
      </c>
      <c r="D49" s="3107"/>
      <c r="E49" s="3108">
        <v>1</v>
      </c>
      <c r="F49" s="3105" t="s">
        <v>2493</v>
      </c>
      <c r="G49" s="3105"/>
    </row>
    <row r="50" spans="1:7" ht="19.5" customHeight="1">
      <c r="A50" s="3814"/>
      <c r="B50" s="3807"/>
      <c r="C50" s="3106" t="s">
        <v>2494</v>
      </c>
      <c r="D50" s="3107"/>
      <c r="E50" s="3108">
        <v>1</v>
      </c>
      <c r="F50" s="3105" t="s">
        <v>2495</v>
      </c>
      <c r="G50" s="3105"/>
    </row>
    <row r="51" spans="1:7" ht="19.5" customHeight="1" thickBot="1">
      <c r="A51" s="3815"/>
      <c r="B51" s="3808"/>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12" t="s">
        <v>2649</v>
      </c>
      <c r="C73" s="3091" t="s">
        <v>2650</v>
      </c>
      <c r="D73" s="3091" t="s">
        <v>2651</v>
      </c>
      <c r="E73" s="3117">
        <v>0.2</v>
      </c>
      <c r="F73" s="3117">
        <v>25</v>
      </c>
    </row>
    <row r="74" spans="1:7" ht="24">
      <c r="A74" s="3117">
        <v>2</v>
      </c>
      <c r="B74" s="3807"/>
      <c r="C74" s="3091" t="s">
        <v>2652</v>
      </c>
      <c r="D74" s="3091" t="s">
        <v>2653</v>
      </c>
      <c r="E74" s="3117">
        <v>0.2</v>
      </c>
      <c r="F74" s="3117">
        <v>25</v>
      </c>
    </row>
    <row r="75" spans="1:7" ht="24">
      <c r="A75" s="3117">
        <v>3</v>
      </c>
      <c r="B75" s="3807"/>
      <c r="C75" s="3091" t="s">
        <v>2654</v>
      </c>
      <c r="D75" s="3091" t="s">
        <v>2655</v>
      </c>
      <c r="E75" s="3117">
        <v>0.2</v>
      </c>
      <c r="F75" s="3117">
        <v>25</v>
      </c>
    </row>
    <row r="76" spans="1:7" ht="13.5">
      <c r="A76" s="3117">
        <v>4</v>
      </c>
      <c r="B76" s="3807"/>
      <c r="C76" s="3091" t="s">
        <v>2656</v>
      </c>
      <c r="D76" s="3091" t="s">
        <v>2657</v>
      </c>
      <c r="E76" s="3117">
        <v>0.15</v>
      </c>
      <c r="F76" s="3117">
        <v>20</v>
      </c>
    </row>
    <row r="77" spans="1:7" ht="24">
      <c r="A77" s="3117">
        <v>5</v>
      </c>
      <c r="B77" s="3807"/>
      <c r="C77" s="3091" t="s">
        <v>2658</v>
      </c>
      <c r="D77" s="3091" t="s">
        <v>2659</v>
      </c>
      <c r="E77" s="3117">
        <v>0.15</v>
      </c>
      <c r="F77" s="3117">
        <v>20</v>
      </c>
    </row>
    <row r="78" spans="1:7" ht="24">
      <c r="A78" s="3117">
        <v>6</v>
      </c>
      <c r="B78" s="3807"/>
      <c r="C78" s="3091" t="s">
        <v>2660</v>
      </c>
      <c r="D78" s="3091" t="s">
        <v>2661</v>
      </c>
      <c r="E78" s="3117">
        <v>0.15</v>
      </c>
      <c r="F78" s="3117">
        <v>20</v>
      </c>
    </row>
    <row r="79" spans="1:7" ht="24">
      <c r="A79" s="3117">
        <v>7</v>
      </c>
      <c r="B79" s="3807"/>
      <c r="C79" s="3091" t="s">
        <v>2662</v>
      </c>
      <c r="D79" s="3091" t="s">
        <v>2663</v>
      </c>
      <c r="E79" s="3117">
        <v>0.15</v>
      </c>
      <c r="F79" s="3117">
        <v>20</v>
      </c>
    </row>
    <row r="80" spans="1:7" ht="24">
      <c r="A80" s="3117">
        <v>8</v>
      </c>
      <c r="B80" s="3807"/>
      <c r="C80" s="3091" t="s">
        <v>2664</v>
      </c>
      <c r="D80" s="3091" t="s">
        <v>2665</v>
      </c>
      <c r="E80" s="3117">
        <v>0.1</v>
      </c>
      <c r="F80" s="3117">
        <v>15</v>
      </c>
    </row>
    <row r="81" spans="1:6" ht="24">
      <c r="A81" s="3117">
        <v>9</v>
      </c>
      <c r="B81" s="3807"/>
      <c r="C81" s="3091" t="s">
        <v>2666</v>
      </c>
      <c r="D81" s="3091" t="s">
        <v>2667</v>
      </c>
      <c r="E81" s="3117">
        <v>0.1</v>
      </c>
      <c r="F81" s="3117">
        <v>15</v>
      </c>
    </row>
    <row r="82" spans="1:6" ht="24">
      <c r="A82" s="3117">
        <v>10</v>
      </c>
      <c r="B82" s="3807"/>
      <c r="C82" s="3091" t="s">
        <v>2668</v>
      </c>
      <c r="D82" s="3091" t="s">
        <v>2669</v>
      </c>
      <c r="E82" s="3117">
        <v>0.1</v>
      </c>
      <c r="F82" s="3117">
        <v>15</v>
      </c>
    </row>
    <row r="83" spans="1:6" ht="24">
      <c r="A83" s="3117">
        <v>11</v>
      </c>
      <c r="B83" s="3807"/>
      <c r="C83" s="3091" t="s">
        <v>2670</v>
      </c>
      <c r="D83" s="3091" t="s">
        <v>2671</v>
      </c>
      <c r="E83" s="3117">
        <v>0.1</v>
      </c>
      <c r="F83" s="3117">
        <v>15</v>
      </c>
    </row>
    <row r="84" spans="1:6" ht="24">
      <c r="A84" s="3117">
        <v>12</v>
      </c>
      <c r="B84" s="3807"/>
      <c r="C84" s="3091" t="s">
        <v>2672</v>
      </c>
      <c r="D84" s="3091" t="s">
        <v>2673</v>
      </c>
      <c r="E84" s="3117">
        <v>0.1</v>
      </c>
      <c r="F84" s="3117">
        <v>15</v>
      </c>
    </row>
    <row r="85" spans="1:6" ht="13.5">
      <c r="A85" s="3117">
        <v>13</v>
      </c>
      <c r="B85" s="3807"/>
      <c r="C85" s="3091" t="s">
        <v>2674</v>
      </c>
      <c r="D85" s="3091" t="s">
        <v>2675</v>
      </c>
      <c r="E85" s="3117">
        <v>0.1</v>
      </c>
      <c r="F85" s="3117">
        <v>15</v>
      </c>
    </row>
    <row r="86" spans="1:6" ht="13.5">
      <c r="A86" s="3117">
        <v>14</v>
      </c>
      <c r="B86" s="3807"/>
      <c r="C86" s="3091" t="s">
        <v>2676</v>
      </c>
      <c r="D86" s="3091" t="s">
        <v>2677</v>
      </c>
      <c r="E86" s="3117">
        <v>0.1</v>
      </c>
      <c r="F86" s="3117">
        <v>15</v>
      </c>
    </row>
    <row r="87" spans="1:6" ht="13.5">
      <c r="A87" s="3117">
        <v>15</v>
      </c>
      <c r="B87" s="3807"/>
      <c r="C87" s="3091" t="s">
        <v>2678</v>
      </c>
      <c r="D87" s="3091" t="s">
        <v>2679</v>
      </c>
      <c r="E87" s="3117">
        <v>0.1</v>
      </c>
      <c r="F87" s="3117">
        <v>15</v>
      </c>
    </row>
    <row r="88" spans="1:6" ht="24">
      <c r="A88" s="3117">
        <v>16</v>
      </c>
      <c r="B88" s="3807"/>
      <c r="C88" s="3091" t="s">
        <v>2680</v>
      </c>
      <c r="D88" s="3091" t="s">
        <v>2681</v>
      </c>
      <c r="E88" s="3117">
        <v>0.1</v>
      </c>
      <c r="F88" s="3117">
        <v>15</v>
      </c>
    </row>
    <row r="89" spans="1:6" ht="24">
      <c r="A89" s="3117">
        <v>17</v>
      </c>
      <c r="B89" s="3816"/>
      <c r="C89" s="3091" t="s">
        <v>2682</v>
      </c>
      <c r="D89" s="3091" t="s">
        <v>2683</v>
      </c>
      <c r="E89" s="3117">
        <v>0.1</v>
      </c>
      <c r="F89" s="3117">
        <v>15</v>
      </c>
    </row>
    <row r="90" spans="1:6" ht="13.5">
      <c r="A90" s="3117">
        <v>18</v>
      </c>
      <c r="B90" s="3812" t="s">
        <v>2684</v>
      </c>
      <c r="C90" s="3091" t="s">
        <v>2685</v>
      </c>
      <c r="D90" s="3091" t="s">
        <v>2686</v>
      </c>
      <c r="E90" s="3117">
        <v>0.2</v>
      </c>
      <c r="F90" s="3117">
        <v>25</v>
      </c>
    </row>
    <row r="91" spans="1:6" ht="24">
      <c r="A91" s="3117">
        <v>19</v>
      </c>
      <c r="B91" s="3807"/>
      <c r="C91" s="3091" t="s">
        <v>2687</v>
      </c>
      <c r="D91" s="3091" t="s">
        <v>2688</v>
      </c>
      <c r="E91" s="3117">
        <v>0.2</v>
      </c>
      <c r="F91" s="3117">
        <v>25</v>
      </c>
    </row>
    <row r="92" spans="1:6" ht="13.5">
      <c r="A92" s="3117">
        <v>20</v>
      </c>
      <c r="B92" s="3807"/>
      <c r="C92" s="3091" t="s">
        <v>2689</v>
      </c>
      <c r="D92" s="3091" t="s">
        <v>2690</v>
      </c>
      <c r="E92" s="3117">
        <v>0.15</v>
      </c>
      <c r="F92" s="3117">
        <v>20</v>
      </c>
    </row>
    <row r="93" spans="1:6" ht="13.5">
      <c r="A93" s="3117">
        <v>21</v>
      </c>
      <c r="B93" s="3807"/>
      <c r="C93" s="3091" t="s">
        <v>2691</v>
      </c>
      <c r="D93" s="3091" t="s">
        <v>2692</v>
      </c>
      <c r="E93" s="3117">
        <v>0.15</v>
      </c>
      <c r="F93" s="3117">
        <v>20</v>
      </c>
    </row>
    <row r="94" spans="1:6" ht="13.5">
      <c r="A94" s="3117">
        <v>22</v>
      </c>
      <c r="B94" s="3807"/>
      <c r="C94" s="3091" t="s">
        <v>2693</v>
      </c>
      <c r="D94" s="3091" t="s">
        <v>2694</v>
      </c>
      <c r="E94" s="3117">
        <v>0.15</v>
      </c>
      <c r="F94" s="3117">
        <v>20</v>
      </c>
    </row>
    <row r="95" spans="1:6" ht="36">
      <c r="A95" s="3117">
        <v>23</v>
      </c>
      <c r="B95" s="3807"/>
      <c r="C95" s="3091" t="s">
        <v>2695</v>
      </c>
      <c r="D95" s="3091" t="s">
        <v>2696</v>
      </c>
      <c r="E95" s="3117">
        <v>0.15</v>
      </c>
      <c r="F95" s="3117">
        <v>20</v>
      </c>
    </row>
    <row r="96" spans="1:6" ht="13.5">
      <c r="A96" s="3117">
        <v>24</v>
      </c>
      <c r="B96" s="3807"/>
      <c r="C96" s="3091" t="s">
        <v>2697</v>
      </c>
      <c r="D96" s="3091" t="s">
        <v>2698</v>
      </c>
      <c r="E96" s="3117">
        <v>0.1</v>
      </c>
      <c r="F96" s="3117">
        <v>15</v>
      </c>
    </row>
    <row r="97" spans="1:6" ht="13.5">
      <c r="A97" s="3117">
        <v>25</v>
      </c>
      <c r="B97" s="3807"/>
      <c r="C97" s="3091" t="s">
        <v>2699</v>
      </c>
      <c r="D97" s="3091" t="s">
        <v>2700</v>
      </c>
      <c r="E97" s="3117">
        <v>0.1</v>
      </c>
      <c r="F97" s="3117">
        <v>15</v>
      </c>
    </row>
    <row r="98" spans="1:6" ht="24">
      <c r="A98" s="3117">
        <v>26</v>
      </c>
      <c r="B98" s="3807"/>
      <c r="C98" s="3091" t="s">
        <v>2701</v>
      </c>
      <c r="D98" s="3091" t="s">
        <v>2702</v>
      </c>
      <c r="E98" s="3117">
        <v>0.1</v>
      </c>
      <c r="F98" s="3117">
        <v>15</v>
      </c>
    </row>
    <row r="99" spans="1:6" ht="24">
      <c r="A99" s="3117">
        <v>27</v>
      </c>
      <c r="B99" s="3807"/>
      <c r="C99" s="3091" t="s">
        <v>2703</v>
      </c>
      <c r="D99" s="3091" t="s">
        <v>2704</v>
      </c>
      <c r="E99" s="3117">
        <v>0.1</v>
      </c>
      <c r="F99" s="3117">
        <v>15</v>
      </c>
    </row>
    <row r="100" spans="1:6" ht="13.5">
      <c r="A100" s="3117">
        <v>28</v>
      </c>
      <c r="B100" s="3807"/>
      <c r="C100" s="3091" t="s">
        <v>2705</v>
      </c>
      <c r="D100" s="3091" t="s">
        <v>2706</v>
      </c>
      <c r="E100" s="3117">
        <v>0.1</v>
      </c>
      <c r="F100" s="3117">
        <v>15</v>
      </c>
    </row>
    <row r="101" spans="1:6" ht="13.5">
      <c r="A101" s="3117">
        <v>29</v>
      </c>
      <c r="B101" s="3807"/>
      <c r="C101" s="3091" t="s">
        <v>2707</v>
      </c>
      <c r="D101" s="3091" t="s">
        <v>2708</v>
      </c>
      <c r="E101" s="3117">
        <v>0.1</v>
      </c>
      <c r="F101" s="3117">
        <v>15</v>
      </c>
    </row>
    <row r="102" spans="1:6" ht="13.5">
      <c r="A102" s="3117">
        <v>30</v>
      </c>
      <c r="B102" s="3807"/>
      <c r="C102" s="3091" t="s">
        <v>2709</v>
      </c>
      <c r="D102" s="3091" t="s">
        <v>2710</v>
      </c>
      <c r="E102" s="3117">
        <v>0.1</v>
      </c>
      <c r="F102" s="3117">
        <v>15</v>
      </c>
    </row>
    <row r="103" spans="1:6" ht="24">
      <c r="A103" s="3117">
        <v>31</v>
      </c>
      <c r="B103" s="3807"/>
      <c r="C103" s="3091" t="s">
        <v>2711</v>
      </c>
      <c r="D103" s="3091" t="s">
        <v>2712</v>
      </c>
      <c r="E103" s="3117">
        <v>0.1</v>
      </c>
      <c r="F103" s="3117">
        <v>15</v>
      </c>
    </row>
    <row r="104" spans="1:6" ht="24">
      <c r="A104" s="3117">
        <v>32</v>
      </c>
      <c r="B104" s="3807"/>
      <c r="C104" s="3091" t="s">
        <v>2713</v>
      </c>
      <c r="D104" s="3091" t="s">
        <v>2714</v>
      </c>
      <c r="E104" s="3117">
        <v>0.1</v>
      </c>
      <c r="F104" s="3117">
        <v>15</v>
      </c>
    </row>
    <row r="105" spans="1:6" ht="24">
      <c r="A105" s="3117">
        <v>33</v>
      </c>
      <c r="B105" s="3807"/>
      <c r="C105" s="3091" t="s">
        <v>2715</v>
      </c>
      <c r="D105" s="3091" t="s">
        <v>2716</v>
      </c>
      <c r="E105" s="3117">
        <v>0.1</v>
      </c>
      <c r="F105" s="3117">
        <v>15</v>
      </c>
    </row>
    <row r="106" spans="1:6" ht="24">
      <c r="A106" s="3117">
        <v>34</v>
      </c>
      <c r="B106" s="3816"/>
      <c r="C106" s="3091" t="s">
        <v>2717</v>
      </c>
      <c r="D106" s="3091" t="s">
        <v>2718</v>
      </c>
      <c r="E106" s="3117">
        <v>0.1</v>
      </c>
      <c r="F106" s="3117">
        <v>15</v>
      </c>
    </row>
    <row r="107" spans="1:6" ht="24">
      <c r="A107" s="3117">
        <v>35</v>
      </c>
      <c r="B107" s="3812" t="s">
        <v>2719</v>
      </c>
      <c r="C107" s="3117" t="s">
        <v>2720</v>
      </c>
      <c r="D107" s="3091" t="s">
        <v>2721</v>
      </c>
      <c r="E107" s="3117">
        <v>0.15</v>
      </c>
      <c r="F107" s="3117">
        <v>20</v>
      </c>
    </row>
    <row r="108" spans="1:6" ht="13.5">
      <c r="A108" s="3117">
        <v>36</v>
      </c>
      <c r="B108" s="3807"/>
      <c r="C108" s="3117" t="s">
        <v>2722</v>
      </c>
      <c r="D108" s="3091" t="s">
        <v>2723</v>
      </c>
      <c r="E108" s="3117">
        <v>0.15</v>
      </c>
      <c r="F108" s="3117">
        <v>20</v>
      </c>
    </row>
    <row r="109" spans="1:6" ht="13.5">
      <c r="A109" s="3117">
        <v>37</v>
      </c>
      <c r="B109" s="3807"/>
      <c r="C109" s="3117" t="s">
        <v>2724</v>
      </c>
      <c r="D109" s="3091" t="s">
        <v>2725</v>
      </c>
      <c r="E109" s="3117">
        <v>0.15</v>
      </c>
      <c r="F109" s="3117">
        <v>20</v>
      </c>
    </row>
    <row r="110" spans="1:6" ht="13.5">
      <c r="A110" s="3117">
        <v>38</v>
      </c>
      <c r="B110" s="3807"/>
      <c r="C110" s="3117" t="s">
        <v>2726</v>
      </c>
      <c r="D110" s="3091" t="s">
        <v>2727</v>
      </c>
      <c r="E110" s="3117">
        <v>0.1</v>
      </c>
      <c r="F110" s="3117">
        <v>15</v>
      </c>
    </row>
    <row r="111" spans="1:6" ht="24">
      <c r="A111" s="3117">
        <v>39</v>
      </c>
      <c r="B111" s="3807"/>
      <c r="C111" s="3117" t="s">
        <v>2728</v>
      </c>
      <c r="D111" s="3091" t="s">
        <v>2729</v>
      </c>
      <c r="E111" s="3117">
        <v>0.1</v>
      </c>
      <c r="F111" s="3117">
        <v>15</v>
      </c>
    </row>
    <row r="112" spans="1:6" ht="24">
      <c r="A112" s="3117">
        <v>40</v>
      </c>
      <c r="B112" s="3816"/>
      <c r="C112" s="3117" t="s">
        <v>2730</v>
      </c>
      <c r="D112" s="3091" t="s">
        <v>2731</v>
      </c>
      <c r="E112" s="3117">
        <v>0.1</v>
      </c>
      <c r="F112" s="3117">
        <v>15</v>
      </c>
    </row>
    <row r="113" spans="1:6" ht="13.5">
      <c r="A113" s="3117">
        <v>41</v>
      </c>
      <c r="B113" s="3817" t="s">
        <v>2732</v>
      </c>
      <c r="C113" s="3117" t="s">
        <v>2733</v>
      </c>
      <c r="D113" s="3091" t="s">
        <v>2734</v>
      </c>
      <c r="E113" s="3117">
        <v>0.1</v>
      </c>
      <c r="F113" s="3117">
        <v>15</v>
      </c>
    </row>
    <row r="114" spans="1:6" ht="13.5">
      <c r="A114" s="3117">
        <v>42</v>
      </c>
      <c r="B114" s="3817"/>
      <c r="C114" s="3117" t="s">
        <v>2735</v>
      </c>
      <c r="D114" s="3091" t="s">
        <v>2736</v>
      </c>
      <c r="E114" s="3117">
        <v>0.1</v>
      </c>
      <c r="F114" s="3117">
        <v>15</v>
      </c>
    </row>
    <row r="115" spans="1:6" ht="24">
      <c r="A115" s="3117">
        <v>43</v>
      </c>
      <c r="B115" s="3817"/>
      <c r="C115" s="3117" t="s">
        <v>2737</v>
      </c>
      <c r="D115" s="3091" t="s">
        <v>2738</v>
      </c>
      <c r="E115" s="3117">
        <v>0.1</v>
      </c>
      <c r="F115" s="3117">
        <v>15</v>
      </c>
    </row>
    <row r="116" spans="1:6" ht="13.5">
      <c r="A116" s="3117">
        <v>44</v>
      </c>
      <c r="B116" s="3812" t="s">
        <v>2739</v>
      </c>
      <c r="C116" s="3117" t="s">
        <v>2740</v>
      </c>
      <c r="D116" s="3091" t="s">
        <v>2741</v>
      </c>
      <c r="E116" s="3117">
        <v>0.1</v>
      </c>
      <c r="F116" s="3117">
        <v>15</v>
      </c>
    </row>
    <row r="117" spans="1:6" ht="24">
      <c r="A117" s="3117">
        <v>45</v>
      </c>
      <c r="B117" s="3816"/>
      <c r="C117" s="3091" t="s">
        <v>2742</v>
      </c>
      <c r="D117" s="3091" t="s">
        <v>2743</v>
      </c>
      <c r="E117" s="3117">
        <v>0.1</v>
      </c>
      <c r="F117" s="3117">
        <v>15</v>
      </c>
    </row>
    <row r="118" spans="1:6" ht="24">
      <c r="A118" s="3117">
        <v>46</v>
      </c>
      <c r="B118" s="3812" t="s">
        <v>2744</v>
      </c>
      <c r="C118" s="3117" t="s">
        <v>2745</v>
      </c>
      <c r="D118" s="3091" t="s">
        <v>2746</v>
      </c>
      <c r="E118" s="3117">
        <v>0.1</v>
      </c>
      <c r="F118" s="3117">
        <v>15</v>
      </c>
    </row>
    <row r="119" spans="1:6" ht="24">
      <c r="A119" s="3117">
        <v>47</v>
      </c>
      <c r="B119" s="3816"/>
      <c r="C119" s="3117" t="s">
        <v>2747</v>
      </c>
      <c r="D119" s="3091" t="s">
        <v>2748</v>
      </c>
      <c r="E119" s="3117">
        <v>0.1</v>
      </c>
      <c r="F119" s="3117">
        <v>15</v>
      </c>
    </row>
    <row r="120" spans="1:6" ht="13.5">
      <c r="A120" s="3117">
        <v>48</v>
      </c>
      <c r="B120" s="3812" t="s">
        <v>2749</v>
      </c>
      <c r="C120" s="3117" t="s">
        <v>2750</v>
      </c>
      <c r="D120" s="3091" t="s">
        <v>2751</v>
      </c>
      <c r="E120" s="3117">
        <v>0.1</v>
      </c>
      <c r="F120" s="3117">
        <v>15</v>
      </c>
    </row>
    <row r="121" spans="1:6" ht="13.5">
      <c r="A121" s="3117">
        <v>49</v>
      </c>
      <c r="B121" s="3816"/>
      <c r="C121" s="3117" t="s">
        <v>2752</v>
      </c>
      <c r="D121" s="3091" t="s">
        <v>2753</v>
      </c>
      <c r="E121" s="3117">
        <v>0.1</v>
      </c>
      <c r="F121" s="3117">
        <v>15</v>
      </c>
    </row>
    <row r="122" spans="1:6" ht="24">
      <c r="A122" s="3117">
        <v>50</v>
      </c>
      <c r="B122" s="3817" t="s">
        <v>2754</v>
      </c>
      <c r="C122" s="3117" t="s">
        <v>2755</v>
      </c>
      <c r="D122" s="3091" t="s">
        <v>2756</v>
      </c>
      <c r="E122" s="3117">
        <v>0.1</v>
      </c>
      <c r="F122" s="3117">
        <v>15</v>
      </c>
    </row>
    <row r="123" spans="1:6" ht="24">
      <c r="A123" s="3117">
        <v>51</v>
      </c>
      <c r="B123" s="3817"/>
      <c r="C123" s="3117" t="s">
        <v>2757</v>
      </c>
      <c r="D123" s="3091" t="s">
        <v>2758</v>
      </c>
      <c r="E123" s="3117">
        <v>0.1</v>
      </c>
      <c r="F123" s="3117">
        <v>15</v>
      </c>
    </row>
    <row r="124" spans="1:6" ht="24">
      <c r="A124" s="3117">
        <v>52</v>
      </c>
      <c r="B124" s="3817" t="s">
        <v>2759</v>
      </c>
      <c r="C124" s="3117" t="s">
        <v>2760</v>
      </c>
      <c r="D124" s="3091" t="s">
        <v>2761</v>
      </c>
      <c r="E124" s="3117">
        <v>0.1</v>
      </c>
      <c r="F124" s="3117">
        <v>15</v>
      </c>
    </row>
    <row r="125" spans="1:6" ht="24">
      <c r="A125" s="3117">
        <v>53</v>
      </c>
      <c r="B125" s="3817"/>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17" t="s">
        <v>2767</v>
      </c>
      <c r="C127" s="3117" t="s">
        <v>2768</v>
      </c>
      <c r="D127" s="3091" t="s">
        <v>2769</v>
      </c>
      <c r="E127" s="3117">
        <v>0.1</v>
      </c>
      <c r="F127" s="3117">
        <v>15</v>
      </c>
    </row>
    <row r="128" spans="1:6" ht="13.5">
      <c r="A128" s="3117">
        <v>56</v>
      </c>
      <c r="B128" s="3817"/>
      <c r="C128" s="3117" t="s">
        <v>2770</v>
      </c>
      <c r="D128" s="3091" t="s">
        <v>2771</v>
      </c>
      <c r="E128" s="3117">
        <v>0.1</v>
      </c>
      <c r="F128" s="3117">
        <v>15</v>
      </c>
    </row>
    <row r="129" spans="1:6" ht="24">
      <c r="A129" s="3117">
        <v>57</v>
      </c>
      <c r="B129" s="3817"/>
      <c r="C129" s="3117" t="s">
        <v>2772</v>
      </c>
      <c r="D129" s="3091" t="s">
        <v>2773</v>
      </c>
      <c r="E129" s="3117">
        <v>0.1</v>
      </c>
      <c r="F129" s="3117">
        <v>15</v>
      </c>
    </row>
    <row r="130" spans="1:6" ht="24">
      <c r="A130" s="3117">
        <v>58</v>
      </c>
      <c r="B130" s="3817" t="s">
        <v>2774</v>
      </c>
      <c r="C130" s="3117" t="s">
        <v>2775</v>
      </c>
      <c r="D130" s="3091" t="s">
        <v>2776</v>
      </c>
      <c r="E130" s="3117">
        <v>0.1</v>
      </c>
      <c r="F130" s="3117">
        <v>15</v>
      </c>
    </row>
    <row r="131" spans="1:6" ht="13.5">
      <c r="A131" s="3117">
        <v>59</v>
      </c>
      <c r="B131" s="3817"/>
      <c r="C131" s="3117" t="s">
        <v>2777</v>
      </c>
      <c r="D131" s="3091" t="s">
        <v>2778</v>
      </c>
      <c r="E131" s="3117">
        <v>0.1</v>
      </c>
      <c r="F131" s="3117">
        <v>15</v>
      </c>
    </row>
    <row r="132" spans="1:6" ht="13.5">
      <c r="A132" s="3117">
        <v>60</v>
      </c>
      <c r="B132" s="3812" t="s">
        <v>2779</v>
      </c>
      <c r="C132" s="3117" t="s">
        <v>2780</v>
      </c>
      <c r="D132" s="3091" t="s">
        <v>2781</v>
      </c>
      <c r="E132" s="3117">
        <v>0.1</v>
      </c>
      <c r="F132" s="3117">
        <v>15</v>
      </c>
    </row>
    <row r="133" spans="1:6" ht="13.5">
      <c r="A133" s="3117">
        <v>61</v>
      </c>
      <c r="B133" s="3816"/>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17" t="s">
        <v>2787</v>
      </c>
      <c r="C135" s="3117" t="s">
        <v>2788</v>
      </c>
      <c r="D135" s="3091" t="s">
        <v>2789</v>
      </c>
      <c r="E135" s="3117">
        <v>0.1</v>
      </c>
      <c r="F135" s="3117">
        <v>15</v>
      </c>
    </row>
    <row r="136" spans="1:6" ht="13.5">
      <c r="A136" s="3117">
        <v>64</v>
      </c>
      <c r="B136" s="3817"/>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6" zoomScale="90" zoomScaleNormal="90" workbookViewId="0">
      <selection activeCell="A284" sqref="A284:XFD284"/>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1.2302</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1.1198999999999999</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29359</v>
      </c>
      <c r="C2" s="2" t="s">
        <v>106</v>
      </c>
      <c r="D2" s="199"/>
      <c r="E2" s="199"/>
      <c r="F2" s="199"/>
      <c r="G2" s="199"/>
    </row>
    <row r="3" spans="1:7" s="200" customFormat="1" ht="18" customHeight="1" thickBot="1">
      <c r="A3" s="203" t="s">
        <v>58</v>
      </c>
      <c r="B3" s="204">
        <f ca="1">ROUND(B2*10000/'数据-汇总表'!E3,0)</f>
        <v>22065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632</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1491</v>
      </c>
      <c r="D27" s="235">
        <f>C29</f>
        <v>1.4E-3</v>
      </c>
      <c r="E27" s="236" t="s">
        <v>99</v>
      </c>
      <c r="F27" s="246">
        <f>'数据-取费表'!Q16</f>
        <v>7.0000000000000007E-2</v>
      </c>
      <c r="G27" s="247" t="s">
        <v>431</v>
      </c>
    </row>
    <row r="28" spans="1:7" s="214" customFormat="1" ht="13.5" customHeight="1">
      <c r="A28" s="780" t="s">
        <v>349</v>
      </c>
      <c r="B28" s="248" t="s">
        <v>424</v>
      </c>
      <c r="C28" s="249">
        <f>ROUND((C5+C19+C20)*F27*'数据-取费表'!B21/'数据-取费表'!B20,0)</f>
        <v>1491</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25291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200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68</v>
      </c>
      <c r="D42" s="238"/>
      <c r="E42" s="238"/>
      <c r="F42" s="239"/>
      <c r="G42" s="3682" t="s">
        <v>94</v>
      </c>
    </row>
    <row r="43" spans="1:7" ht="13.5" customHeight="1">
      <c r="A43" s="780" t="s">
        <v>347</v>
      </c>
      <c r="B43" s="215" t="s">
        <v>426</v>
      </c>
      <c r="C43" s="238">
        <f ca="1">ROUND(IF('数据-取费表'!B22&lt;=1,C39*F22*'数据-取费表'!B21/2,C39*(POWER((1+F22),'数据-取费表'!B21/2)-1)),0)</f>
        <v>1</v>
      </c>
      <c r="D43" s="238"/>
      <c r="E43" s="238"/>
      <c r="F43" s="239"/>
      <c r="G43" s="3683"/>
    </row>
    <row r="44" spans="1:7" ht="13.5" customHeight="1">
      <c r="A44" s="780" t="s">
        <v>348</v>
      </c>
      <c r="B44" s="215" t="s">
        <v>428</v>
      </c>
      <c r="C44" s="238">
        <f ca="1">ROUND(IF('数据-取费表'!B22&lt;=1,C40*F22*'数据-取费表'!B21/2,C40*(POWER((1+F22),'数据-取费表'!B21/2)-1)),4)</f>
        <v>2.9999999999999997E-4</v>
      </c>
      <c r="D44" s="238"/>
      <c r="E44" s="238"/>
      <c r="F44" s="239"/>
      <c r="G44" s="3684"/>
    </row>
    <row r="45" spans="1:7" s="214" customFormat="1" ht="13.5" customHeight="1">
      <c r="A45" s="777" t="s">
        <v>341</v>
      </c>
      <c r="B45" s="244" t="s">
        <v>85</v>
      </c>
      <c r="C45" s="245">
        <f>C46</f>
        <v>324</v>
      </c>
      <c r="D45" s="235">
        <f>C47</f>
        <v>1.4E-3</v>
      </c>
      <c r="E45" s="236" t="s">
        <v>102</v>
      </c>
      <c r="F45" s="246"/>
      <c r="G45" s="247" t="s">
        <v>434</v>
      </c>
    </row>
    <row r="46" spans="1:7" s="214" customFormat="1" ht="13.5" customHeight="1">
      <c r="A46" s="780" t="s">
        <v>349</v>
      </c>
      <c r="B46" s="248" t="s">
        <v>427</v>
      </c>
      <c r="C46" s="249">
        <f>ROUND((C33+C39)*F27,0)</f>
        <v>324</v>
      </c>
      <c r="D46" s="263"/>
      <c r="E46" s="236"/>
      <c r="F46" s="246"/>
      <c r="G46" s="247"/>
    </row>
    <row r="47" spans="1:7" s="214" customFormat="1" ht="13.5" customHeight="1">
      <c r="A47" s="780" t="s">
        <v>347</v>
      </c>
      <c r="B47" s="248" t="s">
        <v>429</v>
      </c>
      <c r="C47" s="238">
        <f>ROUND(C40*F27,4)</f>
        <v>1.4E-3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5424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4068</v>
      </c>
      <c r="D51" s="232"/>
      <c r="E51" s="232"/>
      <c r="F51" s="264"/>
      <c r="G51" s="234" t="s">
        <v>37</v>
      </c>
    </row>
    <row r="52" spans="1:7" s="208" customFormat="1" ht="16.5" thickBot="1">
      <c r="A52" s="265" t="s">
        <v>38</v>
      </c>
      <c r="B52" s="266"/>
      <c r="C52" s="267">
        <f ca="1">C31+C51</f>
        <v>29359</v>
      </c>
      <c r="D52" s="266"/>
      <c r="E52" s="266"/>
      <c r="F52" s="266"/>
      <c r="G52" s="268"/>
    </row>
    <row r="55" spans="1:7" ht="15">
      <c r="B55" s="270" t="s">
        <v>39</v>
      </c>
      <c r="C55" s="271"/>
    </row>
    <row r="56" spans="1:7">
      <c r="B56" s="273" t="s">
        <v>40</v>
      </c>
      <c r="C56" s="274">
        <f ca="1">ROUND(C51/C52,3)</f>
        <v>0.13900000000000001</v>
      </c>
    </row>
    <row r="57" spans="1:7">
      <c r="B57" s="273" t="s">
        <v>41</v>
      </c>
      <c r="C57" s="275">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2"/>
      <c r="B4" s="3503" t="s">
        <v>917</v>
      </c>
      <c r="C4" s="3503"/>
      <c r="D4" s="3503"/>
      <c r="E4" s="1492"/>
    </row>
    <row r="5" spans="1:5" ht="16.5" thickTop="1">
      <c r="A5" s="1490"/>
      <c r="B5" s="3501" t="s">
        <v>909</v>
      </c>
      <c r="C5" s="1493" t="s">
        <v>910</v>
      </c>
      <c r="D5" s="850">
        <f ca="1">结果表!H101</f>
        <v>8231</v>
      </c>
      <c r="E5" s="1490"/>
    </row>
    <row r="6" spans="1:5" ht="15.75">
      <c r="A6" s="1490"/>
      <c r="B6" s="3501"/>
      <c r="C6" s="1493" t="s">
        <v>911</v>
      </c>
      <c r="D6" s="850" t="str">
        <f ca="1">NUMBERSTRING(INT(D5*10000),2)&amp;"元整"</f>
        <v>捌仟贰佰叁拾壹万元整</v>
      </c>
      <c r="E6" s="1490"/>
    </row>
    <row r="7" spans="1:5" ht="15.75">
      <c r="A7" s="1490"/>
      <c r="B7" s="3506"/>
      <c r="C7" s="1494" t="s">
        <v>912</v>
      </c>
      <c r="D7" s="851">
        <f ca="1">结果表!H102</f>
        <v>6186</v>
      </c>
      <c r="E7" s="1490"/>
    </row>
    <row r="8" spans="1:5" ht="15.75">
      <c r="A8" s="1490"/>
      <c r="B8" s="3507" t="str">
        <f>结果表!E103</f>
        <v>2.估价师知悉的法定优先受偿款</v>
      </c>
      <c r="C8" s="1495" t="s">
        <v>913</v>
      </c>
      <c r="D8" s="851">
        <f>结果表!H103</f>
        <v>0</v>
      </c>
      <c r="E8" s="1490"/>
    </row>
    <row r="9" spans="1:5" ht="15.75">
      <c r="A9" s="1490"/>
      <c r="B9" s="350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0" t="str">
        <f>结果表!E107</f>
        <v>3.房地产抵押价值</v>
      </c>
      <c r="C13" s="1498" t="s">
        <v>910</v>
      </c>
      <c r="D13" s="853">
        <f ca="1">结果表!H107</f>
        <v>8231</v>
      </c>
      <c r="E13" s="1490"/>
    </row>
    <row r="14" spans="1:5" ht="15.75">
      <c r="A14" s="1490"/>
      <c r="B14" s="3501"/>
      <c r="C14" s="1493" t="s">
        <v>911</v>
      </c>
      <c r="D14" s="850" t="str">
        <f ca="1">NUMBERSTRING(INT(D13*10000),2)&amp;"元整"</f>
        <v>捌仟贰佰叁拾壹万元整</v>
      </c>
      <c r="E14" s="1490"/>
    </row>
    <row r="15" spans="1:5" ht="15">
      <c r="A15" s="1490"/>
      <c r="B15" s="3506"/>
      <c r="C15" s="1494" t="s">
        <v>921</v>
      </c>
      <c r="D15" s="859">
        <f ca="1">结果表!H108</f>
        <v>6186</v>
      </c>
      <c r="E15" s="1490"/>
    </row>
    <row r="16" spans="1:5" ht="15">
      <c r="A16" s="1490"/>
      <c r="B16" s="3507" t="str">
        <f>结果表!E109</f>
        <v>——</v>
      </c>
      <c r="C16" s="1498" t="s">
        <v>922</v>
      </c>
      <c r="D16" s="1499" t="str">
        <f>结果表!H109</f>
        <v>——</v>
      </c>
      <c r="E16" s="1490"/>
    </row>
    <row r="17" spans="1:5" ht="15.75">
      <c r="A17" s="1490"/>
      <c r="B17" s="3508"/>
      <c r="C17" s="1493" t="s">
        <v>923</v>
      </c>
      <c r="D17" s="850" t="e">
        <f>NUMBERSTRING(INT(D16*10000),2)&amp;"元整"</f>
        <v>#VALUE!</v>
      </c>
      <c r="E17" s="1490"/>
    </row>
    <row r="18" spans="1:5" ht="15">
      <c r="A18" s="1490"/>
      <c r="B18" s="3509"/>
      <c r="C18" s="1494" t="s">
        <v>912</v>
      </c>
      <c r="D18" s="859" t="str">
        <f>结果表!H110</f>
        <v>——</v>
      </c>
      <c r="E18" s="1490"/>
    </row>
    <row r="19" spans="1:5" ht="15.75">
      <c r="A19" s="1490"/>
      <c r="B19" s="3500" t="str">
        <f>结果表!E111</f>
        <v>——</v>
      </c>
      <c r="C19" s="1498" t="s">
        <v>910</v>
      </c>
      <c r="D19" s="851" t="str">
        <f>结果表!H111</f>
        <v>——</v>
      </c>
      <c r="E19" s="1490"/>
    </row>
    <row r="20" spans="1:5" ht="15.75">
      <c r="A20" s="1490"/>
      <c r="B20" s="3501"/>
      <c r="C20" s="1493" t="s">
        <v>923</v>
      </c>
      <c r="D20" s="850" t="e">
        <f>NUMBERSTRING(INT(D19*10000),2)&amp;"元整"</f>
        <v>#VALUE!</v>
      </c>
      <c r="E20" s="1490"/>
    </row>
    <row r="21" spans="1:5" ht="15.75" thickBot="1">
      <c r="A21" s="1490"/>
      <c r="B21" s="350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8" t="s">
        <v>3179</v>
      </c>
      <c r="B1" s="3818"/>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9" t="s">
        <v>3230</v>
      </c>
      <c r="B1" s="3819"/>
      <c r="C1" s="3819"/>
      <c r="D1" s="3819"/>
      <c r="E1" s="3819"/>
      <c r="F1" s="3820"/>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80" zoomScaleNormal="80" workbookViewId="0">
      <selection activeCell="H8" sqref="H8:H21"/>
    </sheetView>
  </sheetViews>
  <sheetFormatPr defaultRowHeight="13.5"/>
  <cols>
    <col min="1" max="1" width="13.875" customWidth="1"/>
    <col min="11" max="17" width="0" hidden="1" customWidth="1"/>
    <col min="25" max="30" width="0" hidden="1" customWidth="1"/>
  </cols>
  <sheetData>
    <row r="1" spans="1:44">
      <c r="A1" s="3220">
        <f>基准地价修正!G23</f>
        <v>45841</v>
      </c>
      <c r="B1" s="3209" t="s">
        <v>3376</v>
      </c>
      <c r="C1" s="3210"/>
      <c r="D1" s="3210"/>
      <c r="E1" s="3210"/>
      <c r="F1" s="3210"/>
      <c r="G1" s="3210"/>
      <c r="H1" s="3210"/>
      <c r="I1" s="3210"/>
      <c r="J1" s="3164"/>
      <c r="K1" s="3210" t="s">
        <v>454</v>
      </c>
      <c r="L1" s="3210"/>
      <c r="M1" s="3210"/>
      <c r="N1" s="3210"/>
      <c r="O1" s="3210"/>
      <c r="P1" s="3210"/>
      <c r="Q1" s="3164"/>
      <c r="R1" s="3821" t="s">
        <v>456</v>
      </c>
      <c r="S1" s="3822"/>
      <c r="T1" s="3822"/>
      <c r="U1" s="3822"/>
      <c r="V1" s="3822"/>
      <c r="W1" s="3822"/>
      <c r="X1" s="3164"/>
      <c r="Y1" s="3821" t="s">
        <v>457</v>
      </c>
      <c r="Z1" s="3822"/>
      <c r="AA1" s="3822"/>
      <c r="AB1" s="3822"/>
      <c r="AC1" s="3822"/>
      <c r="AD1" s="3822"/>
    </row>
    <row r="2" spans="1:44"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c r="AF2" t="s">
        <v>3403</v>
      </c>
      <c r="AG2" t="s">
        <v>673</v>
      </c>
      <c r="AH2" t="s">
        <v>21</v>
      </c>
      <c r="AI2" t="s">
        <v>3404</v>
      </c>
      <c r="AJ2" t="s">
        <v>3</v>
      </c>
      <c r="AK2" t="s">
        <v>3405</v>
      </c>
      <c r="AM2" t="s">
        <v>3403</v>
      </c>
      <c r="AN2" t="s">
        <v>673</v>
      </c>
      <c r="AO2" t="s">
        <v>21</v>
      </c>
      <c r="AP2" t="s">
        <v>3404</v>
      </c>
      <c r="AQ2" t="s">
        <v>3</v>
      </c>
      <c r="AR2" t="s">
        <v>3405</v>
      </c>
    </row>
    <row r="3" spans="1:44" s="3160" customFormat="1" ht="12.75">
      <c r="A3" s="3148" t="s">
        <v>2817</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3402</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3401</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3400</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3408</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3407</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2818</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2819</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2820</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2821</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2822</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3379</v>
      </c>
    </row>
    <row r="27" spans="1:44" s="3008" customFormat="1">
      <c r="I27" s="3207" t="s">
        <v>2823</v>
      </c>
    </row>
    <row r="28" spans="1:44" s="3008" customFormat="1"/>
    <row r="29" spans="1:44" s="3208" customFormat="1" ht="12.75">
      <c r="B29" s="3209" t="s">
        <v>3377</v>
      </c>
      <c r="C29" s="3210"/>
      <c r="D29" s="3210"/>
      <c r="E29" s="3210"/>
      <c r="F29" s="3210"/>
      <c r="G29" s="3210"/>
      <c r="H29" s="3210"/>
      <c r="I29" s="3210"/>
      <c r="J29" s="3164"/>
      <c r="K29" s="3210" t="s">
        <v>2824</v>
      </c>
      <c r="L29" s="3210"/>
      <c r="M29" s="3210"/>
      <c r="N29" s="3210"/>
      <c r="O29" s="3210"/>
      <c r="P29" s="3210"/>
      <c r="Q29" s="3164"/>
      <c r="R29" s="3821" t="s">
        <v>2825</v>
      </c>
      <c r="S29" s="3822"/>
      <c r="T29" s="3822"/>
      <c r="U29" s="3822"/>
      <c r="V29" s="3822"/>
      <c r="W29" s="3822"/>
      <c r="X29" s="3164"/>
      <c r="Y29" s="3821" t="s">
        <v>2826</v>
      </c>
      <c r="Z29" s="3822"/>
      <c r="AA29" s="3822"/>
      <c r="AB29" s="3822"/>
      <c r="AC29" s="3822"/>
      <c r="AD29" s="3822"/>
    </row>
    <row r="30" spans="1:44" s="3142" customFormat="1" ht="14.25" thickBot="1">
      <c r="B30" s="3143"/>
      <c r="C30" s="3144"/>
      <c r="D30" s="3145" t="s">
        <v>2827</v>
      </c>
      <c r="E30" s="3146" t="s">
        <v>2828</v>
      </c>
      <c r="F30" s="3146" t="s">
        <v>2829</v>
      </c>
      <c r="G30" s="3146" t="s">
        <v>2830</v>
      </c>
      <c r="H30" s="3146"/>
      <c r="I30" s="3146" t="s">
        <v>2831</v>
      </c>
      <c r="J30" s="3147"/>
      <c r="K30" s="3145" t="s">
        <v>2827</v>
      </c>
      <c r="L30" s="3146" t="s">
        <v>2828</v>
      </c>
      <c r="M30" s="3146" t="s">
        <v>2829</v>
      </c>
      <c r="N30" s="3146" t="s">
        <v>2830</v>
      </c>
      <c r="O30" s="3146"/>
      <c r="P30" s="3146" t="s">
        <v>2831</v>
      </c>
      <c r="Q30" s="3147"/>
      <c r="R30" s="3145" t="s">
        <v>2827</v>
      </c>
      <c r="S30" s="3146" t="s">
        <v>2828</v>
      </c>
      <c r="T30" s="3146" t="s">
        <v>2829</v>
      </c>
      <c r="U30" s="3146" t="s">
        <v>2830</v>
      </c>
      <c r="V30" s="3146"/>
      <c r="W30" s="3146" t="s">
        <v>2831</v>
      </c>
      <c r="X30" s="3147"/>
      <c r="Y30" s="3145" t="s">
        <v>2827</v>
      </c>
      <c r="Z30" s="3146" t="s">
        <v>2828</v>
      </c>
      <c r="AA30" s="3146" t="s">
        <v>2829</v>
      </c>
      <c r="AB30" s="3146" t="s">
        <v>2830</v>
      </c>
      <c r="AC30" s="3146"/>
      <c r="AD30" s="3146" t="s">
        <v>2831</v>
      </c>
      <c r="AG30" t="s">
        <v>673</v>
      </c>
      <c r="AH30" t="s">
        <v>21</v>
      </c>
      <c r="AI30" t="s">
        <v>3404</v>
      </c>
      <c r="AJ30"/>
      <c r="AK30" t="s">
        <v>3405</v>
      </c>
      <c r="AN30" t="s">
        <v>673</v>
      </c>
      <c r="AO30" t="s">
        <v>21</v>
      </c>
      <c r="AP30" t="s">
        <v>3404</v>
      </c>
      <c r="AQ30"/>
      <c r="AR30" t="s">
        <v>3405</v>
      </c>
    </row>
    <row r="31" spans="1:44" s="3160" customFormat="1" ht="12.75">
      <c r="A31" s="3148" t="s">
        <v>2832</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3402</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3401</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3409</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3406</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3407</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2833</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2834</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2835</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2836</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2822</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8" t="s">
        <v>452</v>
      </c>
      <c r="C1" s="3828"/>
      <c r="D1" s="3828"/>
      <c r="E1" s="3828"/>
      <c r="F1" s="3828"/>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2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6" t="s">
        <v>2837</v>
      </c>
      <c r="B1" s="3836"/>
      <c r="C1" s="3836"/>
      <c r="D1" s="3836"/>
      <c r="E1" s="3836"/>
      <c r="F1" s="3836"/>
      <c r="G1" s="3837"/>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34"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35"/>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45841</v>
      </c>
      <c r="D1" s="1301" t="s">
        <v>603</v>
      </c>
      <c r="E1" s="1296">
        <f>'数据-取费表'!B22</f>
        <v>1</v>
      </c>
      <c r="F1" s="1301" t="s">
        <v>604</v>
      </c>
      <c r="G1" s="1297">
        <f ca="1">INDIRECT("d"&amp;$K$1)/100</f>
        <v>0.03</v>
      </c>
      <c r="H1" s="1301" t="s">
        <v>634</v>
      </c>
      <c r="I1" s="1297">
        <f ca="1">F4/100</f>
        <v>1.4999999999999999E-2</v>
      </c>
      <c r="J1" s="1302">
        <f>IF(C1&gt;C13,0,MATCH(C1,C$13:C$115,-1))+IF(SUMIF(C13:C115,C1,D13:D115)=0,13,12)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2307</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
  <sheetViews>
    <sheetView topLeftCell="D1" workbookViewId="0">
      <selection activeCell="U16" sqref="U16"/>
    </sheetView>
  </sheetViews>
  <sheetFormatPr defaultRowHeight="13.5"/>
  <cols>
    <col min="1" max="1" width="38.875" style="3468" customWidth="1"/>
    <col min="2" max="2" width="10.625" style="3468" customWidth="1"/>
    <col min="3" max="3" width="9" style="3468" customWidth="1"/>
    <col min="4" max="4" width="14.625" style="3468" customWidth="1"/>
    <col min="5" max="5" width="16.875" style="3468" customWidth="1"/>
    <col min="6" max="6" width="11.625" style="3468" customWidth="1"/>
    <col min="7" max="7" width="13.625" style="3468" customWidth="1"/>
    <col min="8" max="8" width="11.5" style="3468" customWidth="1"/>
    <col min="9" max="9" width="8.625" style="3468" customWidth="1"/>
    <col min="10" max="10" width="20" style="3468" customWidth="1"/>
    <col min="11" max="11" width="13.5" style="3468" customWidth="1"/>
    <col min="12" max="12" width="12.875" style="3468" customWidth="1"/>
    <col min="13" max="13" width="14" style="3468" customWidth="1"/>
    <col min="14" max="16384" width="9" style="3468"/>
  </cols>
  <sheetData>
    <row r="1" spans="1:23">
      <c r="A1" s="3468" t="s">
        <v>3435</v>
      </c>
      <c r="B1" s="3468" t="s">
        <v>3436</v>
      </c>
      <c r="C1" s="3468" t="s">
        <v>3437</v>
      </c>
      <c r="D1" s="3468" t="s">
        <v>3438</v>
      </c>
      <c r="E1" s="3468" t="s">
        <v>3439</v>
      </c>
      <c r="F1" s="3468" t="s">
        <v>3440</v>
      </c>
      <c r="G1" s="3468" t="s">
        <v>3441</v>
      </c>
      <c r="H1" s="3468" t="s">
        <v>3442</v>
      </c>
      <c r="I1" s="3468" t="s">
        <v>3443</v>
      </c>
      <c r="J1" s="3468" t="s">
        <v>3444</v>
      </c>
      <c r="K1" s="3468" t="s">
        <v>3445</v>
      </c>
      <c r="L1" s="3468" t="s">
        <v>3446</v>
      </c>
      <c r="O1" s="3488" t="s">
        <v>3521</v>
      </c>
      <c r="P1" s="3488" t="s">
        <v>3522</v>
      </c>
      <c r="U1" s="3488" t="s">
        <v>3541</v>
      </c>
      <c r="V1" s="3488" t="s">
        <v>3542</v>
      </c>
      <c r="W1" s="3488"/>
    </row>
    <row r="2" spans="1:23">
      <c r="A2" s="3468" t="s">
        <v>3447</v>
      </c>
      <c r="B2" s="3468" t="s">
        <v>3448</v>
      </c>
      <c r="C2" s="3468" t="s">
        <v>2477</v>
      </c>
      <c r="D2" s="3468">
        <v>23333.79</v>
      </c>
      <c r="E2" s="3468">
        <v>44334.2</v>
      </c>
      <c r="F2" s="3491">
        <v>1.9</v>
      </c>
      <c r="G2" s="3468" t="s">
        <v>3449</v>
      </c>
      <c r="H2" s="3468" t="s">
        <v>3450</v>
      </c>
      <c r="I2" s="3468" t="s">
        <v>3451</v>
      </c>
      <c r="J2" s="3468" t="s">
        <v>3452</v>
      </c>
      <c r="K2" s="3468">
        <v>3827</v>
      </c>
      <c r="L2" s="3468">
        <v>863</v>
      </c>
      <c r="M2" s="3468">
        <f>ROUND(K2/D2*10000,0)</f>
        <v>1640</v>
      </c>
      <c r="O2" s="3489">
        <f>ROUND(M2/$H$23,0)</f>
        <v>2401</v>
      </c>
      <c r="P2" s="3489">
        <f>ROUND(L2/$H$23,0)</f>
        <v>1264</v>
      </c>
      <c r="Q2" s="3490"/>
      <c r="R2" s="3496">
        <f>K2/(D2/666.67)</f>
        <v>109.34126389240666</v>
      </c>
      <c r="S2" s="3496">
        <f>R2*$H$22*'数据-取费表'!$G$16</f>
        <v>135.50746766462402</v>
      </c>
      <c r="U2" s="3468">
        <v>0.77</v>
      </c>
      <c r="V2" s="3498">
        <f>P2/U2</f>
        <v>1641.5584415584415</v>
      </c>
      <c r="W2" s="3498"/>
    </row>
    <row r="3" spans="1:23" s="3489" customFormat="1">
      <c r="A3" s="3490" t="s">
        <v>3539</v>
      </c>
      <c r="B3" s="3489" t="s">
        <v>3453</v>
      </c>
      <c r="C3" s="3489" t="s">
        <v>2477</v>
      </c>
      <c r="D3" s="3489">
        <v>61152.33</v>
      </c>
      <c r="E3" s="3489">
        <v>91728.5</v>
      </c>
      <c r="F3" s="3489" t="s">
        <v>3454</v>
      </c>
      <c r="G3" s="3489" t="s">
        <v>3455</v>
      </c>
      <c r="H3" s="3489" t="s">
        <v>3456</v>
      </c>
      <c r="I3" s="3489" t="s">
        <v>3451</v>
      </c>
      <c r="J3" s="3489" t="s">
        <v>3457</v>
      </c>
      <c r="K3" s="3489">
        <v>10008</v>
      </c>
      <c r="L3" s="3489">
        <v>1091</v>
      </c>
      <c r="M3" s="3489">
        <f t="shared" ref="M3:M16" si="0">ROUND(K3/D3*10000,0)</f>
        <v>1637</v>
      </c>
      <c r="N3" s="3490" t="s">
        <v>3524</v>
      </c>
      <c r="O3" s="3489">
        <f>M3</f>
        <v>1637</v>
      </c>
      <c r="P3" s="3489">
        <f>L3</f>
        <v>1091</v>
      </c>
      <c r="Q3" s="3490"/>
      <c r="R3" s="3497">
        <f t="shared" ref="R3:R16" si="1">K3/(D3/666.67)</f>
        <v>109.10513728585647</v>
      </c>
      <c r="S3" s="3497">
        <f>R3</f>
        <v>109.10513728585647</v>
      </c>
      <c r="U3" s="3489">
        <v>0.86</v>
      </c>
      <c r="V3" s="3498">
        <f t="shared" ref="V3:V10" si="2">P3/U3</f>
        <v>1268.6046511627908</v>
      </c>
      <c r="W3" s="3498"/>
    </row>
    <row r="4" spans="1:23">
      <c r="A4" s="3468" t="s">
        <v>3458</v>
      </c>
      <c r="B4" s="3468" t="s">
        <v>3459</v>
      </c>
      <c r="C4" s="3468" t="s">
        <v>2477</v>
      </c>
      <c r="D4" s="3468">
        <v>20720.099999999999</v>
      </c>
      <c r="E4" s="3468">
        <v>31080.15</v>
      </c>
      <c r="F4" s="3468" t="s">
        <v>3454</v>
      </c>
      <c r="G4" s="3468" t="s">
        <v>3455</v>
      </c>
      <c r="H4" s="3468" t="s">
        <v>3460</v>
      </c>
      <c r="I4" s="3468" t="s">
        <v>3451</v>
      </c>
      <c r="J4" s="3468" t="s">
        <v>3461</v>
      </c>
      <c r="K4" s="3468">
        <v>4477.83</v>
      </c>
      <c r="L4" s="3468">
        <v>1441</v>
      </c>
      <c r="M4" s="3468">
        <f t="shared" si="0"/>
        <v>2161</v>
      </c>
      <c r="O4" s="3489">
        <f t="shared" ref="O4:O10" si="3">ROUND(M4/$H$23,0)</f>
        <v>3164</v>
      </c>
      <c r="P4" s="3489">
        <f t="shared" ref="P4:P10" si="4">ROUND(L4/$H$23,0)</f>
        <v>2110</v>
      </c>
      <c r="Q4" s="3489"/>
      <c r="R4" s="3496">
        <f t="shared" si="1"/>
        <v>144.07434935642203</v>
      </c>
      <c r="S4" s="3496">
        <f>R4*$H$22*'数据-取费表'!$G$16</f>
        <v>178.55244709744855</v>
      </c>
      <c r="U4" s="3468">
        <v>0.86</v>
      </c>
      <c r="V4" s="3468">
        <f t="shared" si="2"/>
        <v>2453.4883720930234</v>
      </c>
    </row>
    <row r="5" spans="1:23">
      <c r="A5" s="3488" t="s">
        <v>3523</v>
      </c>
      <c r="B5" s="3468" t="s">
        <v>3462</v>
      </c>
      <c r="C5" s="3468" t="s">
        <v>2477</v>
      </c>
      <c r="D5" s="3468">
        <v>94169.78</v>
      </c>
      <c r="E5" s="3468">
        <v>141254.67000000001</v>
      </c>
      <c r="F5" s="3468" t="s">
        <v>3454</v>
      </c>
      <c r="G5" s="3491" t="s">
        <v>3463</v>
      </c>
      <c r="H5" s="3468" t="s">
        <v>3464</v>
      </c>
      <c r="I5" s="3468" t="s">
        <v>3451</v>
      </c>
      <c r="J5" s="3468" t="s">
        <v>3465</v>
      </c>
      <c r="K5" s="3468">
        <v>15396.76</v>
      </c>
      <c r="L5" s="3468">
        <v>1090</v>
      </c>
      <c r="M5" s="3468">
        <f t="shared" si="0"/>
        <v>1635</v>
      </c>
      <c r="O5" s="3489">
        <f t="shared" si="3"/>
        <v>2394</v>
      </c>
      <c r="P5" s="3489">
        <f t="shared" si="4"/>
        <v>1596</v>
      </c>
      <c r="Q5" s="3490"/>
      <c r="R5" s="3496">
        <f t="shared" si="1"/>
        <v>109.00055186706392</v>
      </c>
      <c r="S5" s="3496">
        <f>R5*$H$22*'数据-取费表'!$G$16</f>
        <v>135.08522063625134</v>
      </c>
      <c r="U5" s="3468">
        <v>0.86</v>
      </c>
      <c r="V5" s="3498">
        <f t="shared" si="2"/>
        <v>1855.8139534883721</v>
      </c>
      <c r="W5" s="3498"/>
    </row>
    <row r="6" spans="1:23">
      <c r="A6" s="3468" t="s">
        <v>3466</v>
      </c>
      <c r="B6" s="3468" t="s">
        <v>3467</v>
      </c>
      <c r="C6" s="3468" t="s">
        <v>2477</v>
      </c>
      <c r="D6" s="3468">
        <v>84245.85</v>
      </c>
      <c r="E6" s="3468">
        <v>84245.85</v>
      </c>
      <c r="F6" s="3468" t="s">
        <v>3468</v>
      </c>
      <c r="G6" s="3468" t="s">
        <v>3469</v>
      </c>
      <c r="H6" s="3468" t="s">
        <v>3470</v>
      </c>
      <c r="I6" s="3468" t="s">
        <v>3451</v>
      </c>
      <c r="J6" s="3468" t="s">
        <v>3471</v>
      </c>
      <c r="K6" s="3468">
        <v>23049.66</v>
      </c>
      <c r="L6" s="3468">
        <v>2736</v>
      </c>
      <c r="M6" s="3468">
        <f t="shared" si="0"/>
        <v>2736</v>
      </c>
      <c r="O6" s="3489">
        <f t="shared" si="3"/>
        <v>4006</v>
      </c>
      <c r="P6" s="3489">
        <f t="shared" si="4"/>
        <v>4006</v>
      </c>
      <c r="R6" s="3496">
        <f t="shared" si="1"/>
        <v>182.40087591495603</v>
      </c>
      <c r="S6" s="3496">
        <f>R6*$H$22*'数据-取费表'!$G$16</f>
        <v>226.05080566259559</v>
      </c>
      <c r="U6" s="3468">
        <v>1</v>
      </c>
      <c r="V6" s="3468">
        <f t="shared" si="2"/>
        <v>4006</v>
      </c>
    </row>
    <row r="7" spans="1:23" s="3489" customFormat="1">
      <c r="A7" s="3490" t="s">
        <v>3540</v>
      </c>
      <c r="B7" s="3489" t="s">
        <v>3472</v>
      </c>
      <c r="C7" s="3489" t="s">
        <v>2477</v>
      </c>
      <c r="D7" s="3489">
        <v>40217.370000000003</v>
      </c>
      <c r="E7" s="3489">
        <v>60326.05</v>
      </c>
      <c r="F7" s="3489" t="s">
        <v>3473</v>
      </c>
      <c r="G7" s="3489" t="s">
        <v>3455</v>
      </c>
      <c r="H7" s="3489" t="s">
        <v>3474</v>
      </c>
      <c r="I7" s="3489" t="s">
        <v>3451</v>
      </c>
      <c r="J7" s="3489" t="s">
        <v>3475</v>
      </c>
      <c r="K7" s="3489">
        <v>4964.83</v>
      </c>
      <c r="L7" s="3489">
        <v>823</v>
      </c>
      <c r="M7" s="3489">
        <f t="shared" si="0"/>
        <v>1234</v>
      </c>
      <c r="O7" s="3489">
        <f t="shared" si="3"/>
        <v>1807</v>
      </c>
      <c r="P7" s="3489">
        <f t="shared" si="4"/>
        <v>1205</v>
      </c>
      <c r="R7" s="3497">
        <f t="shared" si="1"/>
        <v>82.300339781044855</v>
      </c>
      <c r="S7" s="3497">
        <f>R7*$H$22*'数据-取费表'!$G$16</f>
        <v>101.9954428425259</v>
      </c>
      <c r="U7" s="3489">
        <v>0.86</v>
      </c>
      <c r="V7" s="3489">
        <f t="shared" si="2"/>
        <v>1401.1627906976744</v>
      </c>
    </row>
    <row r="8" spans="1:23" s="3489" customFormat="1">
      <c r="A8" s="3489" t="s">
        <v>3476</v>
      </c>
      <c r="B8" s="3489" t="s">
        <v>3477</v>
      </c>
      <c r="C8" s="3489" t="s">
        <v>2477</v>
      </c>
      <c r="D8" s="3489">
        <v>26650.41</v>
      </c>
      <c r="E8" s="3489">
        <v>39975.61</v>
      </c>
      <c r="F8" s="3489" t="s">
        <v>3473</v>
      </c>
      <c r="G8" s="3489" t="s">
        <v>3455</v>
      </c>
      <c r="H8" s="3489" t="s">
        <v>3478</v>
      </c>
      <c r="I8" s="3489" t="s">
        <v>3451</v>
      </c>
      <c r="J8" s="3489" t="s">
        <v>3479</v>
      </c>
      <c r="K8" s="3489">
        <v>3258.01</v>
      </c>
      <c r="L8" s="3489">
        <v>815</v>
      </c>
      <c r="M8" s="3489">
        <f t="shared" si="0"/>
        <v>1222</v>
      </c>
      <c r="O8" s="3489">
        <f t="shared" si="3"/>
        <v>1789</v>
      </c>
      <c r="P8" s="3489">
        <f t="shared" si="4"/>
        <v>1193</v>
      </c>
      <c r="R8" s="3497">
        <f t="shared" si="1"/>
        <v>81.500341897179069</v>
      </c>
      <c r="S8" s="3497">
        <f>R8*$H$22*'数据-取费表'!$G$16</f>
        <v>101.00399932412664</v>
      </c>
      <c r="U8" s="3489">
        <v>0.86</v>
      </c>
      <c r="V8" s="3489">
        <f t="shared" si="2"/>
        <v>1387.2093023255813</v>
      </c>
    </row>
    <row r="9" spans="1:23" s="3489" customFormat="1">
      <c r="A9" s="3489" t="s">
        <v>3480</v>
      </c>
      <c r="B9" s="3489" t="s">
        <v>3481</v>
      </c>
      <c r="C9" s="3489" t="s">
        <v>2477</v>
      </c>
      <c r="D9" s="3489">
        <v>77481.740000000005</v>
      </c>
      <c r="E9" s="3489">
        <v>100726.26</v>
      </c>
      <c r="F9" s="3489" t="s">
        <v>3482</v>
      </c>
      <c r="G9" s="3489" t="s">
        <v>3455</v>
      </c>
      <c r="H9" s="3489" t="s">
        <v>3478</v>
      </c>
      <c r="I9" s="3489" t="s">
        <v>3451</v>
      </c>
      <c r="J9" s="3489" t="s">
        <v>3483</v>
      </c>
      <c r="K9" s="3489">
        <v>8098.39</v>
      </c>
      <c r="L9" s="3489">
        <v>804</v>
      </c>
      <c r="M9" s="3489">
        <f t="shared" si="0"/>
        <v>1045</v>
      </c>
      <c r="O9" s="3489">
        <f t="shared" si="3"/>
        <v>1530</v>
      </c>
      <c r="P9" s="3489">
        <f t="shared" si="4"/>
        <v>1177</v>
      </c>
      <c r="R9" s="3497">
        <f t="shared" si="1"/>
        <v>69.680335796537349</v>
      </c>
      <c r="S9" s="3497">
        <f>R9*$H$22*'数据-取费表'!$G$16</f>
        <v>86.355375031156498</v>
      </c>
      <c r="U9" s="3489">
        <v>0.91</v>
      </c>
      <c r="V9" s="3489">
        <f t="shared" si="2"/>
        <v>1293.4065934065934</v>
      </c>
    </row>
    <row r="10" spans="1:23" s="3489" customFormat="1">
      <c r="A10" s="3489" t="s">
        <v>3484</v>
      </c>
      <c r="B10" s="3489" t="s">
        <v>3485</v>
      </c>
      <c r="C10" s="3489" t="s">
        <v>2477</v>
      </c>
      <c r="D10" s="3489">
        <v>65024.44</v>
      </c>
      <c r="E10" s="3489">
        <v>97536.66</v>
      </c>
      <c r="F10" s="3489" t="s">
        <v>3473</v>
      </c>
      <c r="G10" s="3489" t="s">
        <v>3455</v>
      </c>
      <c r="H10" s="3489" t="s">
        <v>3486</v>
      </c>
      <c r="I10" s="3489" t="s">
        <v>3451</v>
      </c>
      <c r="J10" s="3489" t="s">
        <v>3487</v>
      </c>
      <c r="K10" s="3489">
        <v>8017.51</v>
      </c>
      <c r="L10" s="3489">
        <v>822</v>
      </c>
      <c r="M10" s="3489">
        <f t="shared" si="0"/>
        <v>1233</v>
      </c>
      <c r="O10" s="3489">
        <f t="shared" si="3"/>
        <v>1805</v>
      </c>
      <c r="P10" s="3489">
        <f t="shared" si="4"/>
        <v>1204</v>
      </c>
      <c r="R10" s="3497">
        <f t="shared" si="1"/>
        <v>82.200375608002147</v>
      </c>
      <c r="S10" s="3497">
        <f>R10*$H$22*'数据-取费表'!$G$16</f>
        <v>101.87155647553151</v>
      </c>
      <c r="U10" s="3489">
        <v>0.86</v>
      </c>
      <c r="V10" s="3489">
        <f t="shared" si="2"/>
        <v>1400</v>
      </c>
    </row>
    <row r="11" spans="1:23">
      <c r="A11" s="3468" t="s">
        <v>3488</v>
      </c>
      <c r="B11" s="3468" t="s">
        <v>3489</v>
      </c>
      <c r="C11" s="3468" t="s">
        <v>2477</v>
      </c>
      <c r="D11" s="3468">
        <v>48135.07</v>
      </c>
      <c r="E11" s="3468">
        <v>48135.07</v>
      </c>
      <c r="F11" s="3468" t="s">
        <v>3468</v>
      </c>
      <c r="G11" s="3468" t="s">
        <v>3490</v>
      </c>
      <c r="H11" s="3468" t="s">
        <v>3491</v>
      </c>
      <c r="I11" s="3468" t="s">
        <v>3451</v>
      </c>
      <c r="J11" s="3468" t="s">
        <v>3492</v>
      </c>
      <c r="K11" s="3468">
        <v>12487.17</v>
      </c>
      <c r="L11" s="3468">
        <v>2594</v>
      </c>
      <c r="M11" s="3468">
        <f t="shared" si="0"/>
        <v>2594</v>
      </c>
      <c r="R11" s="3496">
        <f t="shared" si="1"/>
        <v>172.94711784775632</v>
      </c>
      <c r="S11" s="3496">
        <f>R11*$H$22*'数据-取费表'!$G$16</f>
        <v>214.33469072120607</v>
      </c>
      <c r="U11" s="3489"/>
    </row>
    <row r="12" spans="1:23">
      <c r="A12" s="3468" t="s">
        <v>3493</v>
      </c>
      <c r="B12" s="3468" t="s">
        <v>3494</v>
      </c>
      <c r="C12" s="3468" t="s">
        <v>2477</v>
      </c>
      <c r="D12" s="3468">
        <v>13991.5</v>
      </c>
      <c r="E12" s="3468">
        <v>22386</v>
      </c>
      <c r="F12" s="3468" t="s">
        <v>3495</v>
      </c>
      <c r="G12" s="3468" t="s">
        <v>3455</v>
      </c>
      <c r="H12" s="3468" t="s">
        <v>3496</v>
      </c>
      <c r="I12" s="3468" t="s">
        <v>3451</v>
      </c>
      <c r="J12" s="3468" t="s">
        <v>3497</v>
      </c>
      <c r="K12" s="3468">
        <v>1811.03</v>
      </c>
      <c r="L12" s="3468">
        <v>809</v>
      </c>
      <c r="M12" s="3468">
        <f t="shared" si="0"/>
        <v>1294</v>
      </c>
      <c r="R12" s="3496">
        <f t="shared" si="1"/>
        <v>86.29234678912195</v>
      </c>
      <c r="S12" s="3496">
        <f>R12*$H$22*'数据-取费表'!$G$16</f>
        <v>106.94276777098345</v>
      </c>
    </row>
    <row r="13" spans="1:23">
      <c r="A13" s="3468" t="s">
        <v>3498</v>
      </c>
      <c r="B13" s="3468" t="s">
        <v>3499</v>
      </c>
      <c r="C13" s="3468" t="s">
        <v>2477</v>
      </c>
      <c r="D13" s="3468">
        <v>16627.21</v>
      </c>
      <c r="E13" s="3468">
        <v>29928.97</v>
      </c>
      <c r="F13" s="3468" t="s">
        <v>3500</v>
      </c>
      <c r="G13" s="3468" t="s">
        <v>3455</v>
      </c>
      <c r="H13" s="3468" t="s">
        <v>3496</v>
      </c>
      <c r="I13" s="3468" t="s">
        <v>3451</v>
      </c>
      <c r="J13" s="3468" t="s">
        <v>3501</v>
      </c>
      <c r="K13" s="3468">
        <v>5111.87</v>
      </c>
      <c r="L13" s="3468">
        <v>1708</v>
      </c>
      <c r="M13" s="3468">
        <f t="shared" si="0"/>
        <v>3074</v>
      </c>
      <c r="R13" s="3496">
        <f t="shared" si="1"/>
        <v>204.96104715703956</v>
      </c>
      <c r="S13" s="3496">
        <f>R13*$H$22*'数据-取费表'!$G$16</f>
        <v>254.00979905875036</v>
      </c>
    </row>
    <row r="14" spans="1:23">
      <c r="A14" s="3468" t="s">
        <v>3502</v>
      </c>
      <c r="B14" s="3468" t="s">
        <v>3503</v>
      </c>
      <c r="C14" s="3468" t="s">
        <v>2477</v>
      </c>
      <c r="D14" s="3468">
        <v>100000</v>
      </c>
      <c r="E14" s="3468">
        <v>200000</v>
      </c>
      <c r="F14" s="3468" t="s">
        <v>3504</v>
      </c>
      <c r="G14" s="3468" t="s">
        <v>3449</v>
      </c>
      <c r="H14" s="3468" t="s">
        <v>3505</v>
      </c>
      <c r="I14" s="3468" t="s">
        <v>3451</v>
      </c>
      <c r="J14" s="3468" t="s">
        <v>3506</v>
      </c>
      <c r="K14" s="3468">
        <v>13020</v>
      </c>
      <c r="L14" s="3468">
        <v>651</v>
      </c>
      <c r="M14" s="3468">
        <f t="shared" si="0"/>
        <v>1302</v>
      </c>
      <c r="R14" s="3496">
        <f t="shared" si="1"/>
        <v>86.800433999999996</v>
      </c>
      <c r="S14" s="3496">
        <f>R14*$H$22*'数据-取费表'!$G$16</f>
        <v>107.57244415159137</v>
      </c>
    </row>
    <row r="15" spans="1:23">
      <c r="A15" s="3468" t="s">
        <v>3507</v>
      </c>
      <c r="B15" s="3468" t="s">
        <v>3508</v>
      </c>
      <c r="C15" s="3468" t="s">
        <v>2477</v>
      </c>
      <c r="D15" s="3468">
        <v>19340</v>
      </c>
      <c r="E15" s="3468">
        <v>34812</v>
      </c>
      <c r="F15" s="3468" t="s">
        <v>3509</v>
      </c>
      <c r="G15" s="3468" t="s">
        <v>3510</v>
      </c>
      <c r="H15" s="3468" t="s">
        <v>3511</v>
      </c>
      <c r="I15" s="3468" t="s">
        <v>3451</v>
      </c>
      <c r="J15" s="3468" t="s">
        <v>3512</v>
      </c>
      <c r="K15" s="3468">
        <v>5764.87</v>
      </c>
      <c r="L15" s="3468">
        <v>1656</v>
      </c>
      <c r="M15" s="3468">
        <f t="shared" si="0"/>
        <v>2981</v>
      </c>
      <c r="R15" s="3496">
        <f t="shared" si="1"/>
        <v>198.72109011892448</v>
      </c>
      <c r="S15" s="3496">
        <f>R15*$H$22*'数据-取费表'!$G$16</f>
        <v>246.27657240240714</v>
      </c>
    </row>
    <row r="16" spans="1:23">
      <c r="A16" s="3468" t="s">
        <v>3513</v>
      </c>
      <c r="B16" s="3468" t="s">
        <v>3514</v>
      </c>
      <c r="C16" s="3468" t="s">
        <v>2477</v>
      </c>
      <c r="D16" s="3468">
        <v>16697.47</v>
      </c>
      <c r="E16" s="3468">
        <v>30055</v>
      </c>
      <c r="F16" s="3468" t="s">
        <v>3515</v>
      </c>
      <c r="G16" s="3468" t="s">
        <v>3516</v>
      </c>
      <c r="H16" s="3468" t="s">
        <v>3517</v>
      </c>
      <c r="I16" s="3468" t="s">
        <v>3451</v>
      </c>
      <c r="J16" s="3468" t="s">
        <v>3518</v>
      </c>
      <c r="K16" s="3468">
        <v>4977.1099999999997</v>
      </c>
      <c r="L16" s="3468">
        <v>1656</v>
      </c>
      <c r="M16" s="3468">
        <f t="shared" si="0"/>
        <v>2981</v>
      </c>
      <c r="R16" s="3496">
        <f t="shared" si="1"/>
        <v>198.71812458414354</v>
      </c>
      <c r="S16" s="3496">
        <f>R16*$H$22*'数据-取费表'!$G$16</f>
        <v>246.27289719238914</v>
      </c>
    </row>
    <row r="19" spans="2:10" ht="14.25" thickBot="1"/>
    <row r="20" spans="2:10" ht="14.25" thickBot="1">
      <c r="B20" s="3469" t="s">
        <v>2505</v>
      </c>
      <c r="C20" s="3470"/>
      <c r="D20" s="3471"/>
      <c r="E20" s="3471"/>
      <c r="F20" s="3471"/>
      <c r="G20" s="3471"/>
      <c r="H20" s="3471"/>
    </row>
    <row r="21" spans="2:10" ht="14.25" thickBot="1">
      <c r="B21" s="3838" t="s">
        <v>2506</v>
      </c>
      <c r="C21" s="3839"/>
      <c r="D21" s="3472"/>
      <c r="E21" s="3473" t="s">
        <v>2504</v>
      </c>
      <c r="F21" s="3472"/>
      <c r="G21" s="3474" t="s">
        <v>2503</v>
      </c>
      <c r="H21" s="3475"/>
    </row>
    <row r="22" spans="2:10" ht="14.25">
      <c r="B22" s="3476" t="s">
        <v>2507</v>
      </c>
      <c r="C22" s="3477">
        <v>50</v>
      </c>
      <c r="D22" s="3478" t="s">
        <v>3519</v>
      </c>
      <c r="E22" s="3479">
        <v>0.05</v>
      </c>
      <c r="F22" s="3478" t="s">
        <v>2509</v>
      </c>
      <c r="G22" s="3480">
        <f>1-(1/(POWER(1+E22,C22)))</f>
        <v>0.91279627302761945</v>
      </c>
      <c r="H22" s="3475">
        <f>G22/G23</f>
        <v>1.4649026905151366</v>
      </c>
    </row>
    <row r="23" spans="2:10" ht="15" thickBot="1">
      <c r="B23" s="3481" t="s">
        <v>2510</v>
      </c>
      <c r="C23" s="3482">
        <v>20</v>
      </c>
      <c r="D23" s="3483" t="s">
        <v>3520</v>
      </c>
      <c r="E23" s="3484">
        <f>E22</f>
        <v>0.05</v>
      </c>
      <c r="F23" s="3483" t="s">
        <v>2512</v>
      </c>
      <c r="G23" s="3485">
        <f>1-(1/(POWER(1+E23,C23)))</f>
        <v>0.62311051712699939</v>
      </c>
      <c r="H23" s="3475">
        <f>ROUND(G23/G22,3)</f>
        <v>0.68300000000000005</v>
      </c>
      <c r="J23" s="3475"/>
    </row>
    <row r="24" spans="2:10" ht="14.25">
      <c r="B24" s="3486"/>
      <c r="C24" s="3487"/>
      <c r="D24" s="3487"/>
      <c r="E24" s="3487"/>
      <c r="F24" s="3487"/>
      <c r="G24" s="3487"/>
      <c r="H24" s="3475"/>
    </row>
  </sheetData>
  <mergeCells count="1">
    <mergeCell ref="B21:C2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4247</v>
      </c>
      <c r="E4" s="854">
        <f ca="1">结果表!E118</f>
        <v>3192</v>
      </c>
      <c r="F4" s="854">
        <f ca="1">结果表!F118</f>
        <v>3984</v>
      </c>
      <c r="G4" s="854">
        <f ca="1">结果表!G118</f>
        <v>2994</v>
      </c>
      <c r="H4" s="854">
        <f ca="1">结果表!H118</f>
        <v>8231</v>
      </c>
      <c r="I4" s="854">
        <f ca="1">结果表!I118</f>
        <v>6186</v>
      </c>
    </row>
    <row r="5" spans="1:9" ht="30" customHeight="1">
      <c r="A5" s="3512" t="s">
        <v>927</v>
      </c>
      <c r="B5" s="3512"/>
      <c r="C5" s="3512"/>
      <c r="D5" s="3512" t="str">
        <f ca="1">结果表!D119</f>
        <v>肆仟贰佰肆拾柒万元整</v>
      </c>
      <c r="E5" s="3512"/>
      <c r="F5" s="3512" t="str">
        <f ca="1">结果表!F119</f>
        <v>叁仟玖佰捌拾肆万元整</v>
      </c>
      <c r="G5" s="3512"/>
      <c r="H5" s="3512" t="str">
        <f ca="1">结果表!H119</f>
        <v>捌仟贰佰叁拾壹万元整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75">
      <c r="A8" s="3513" t="str">
        <f>结果表!A122</f>
        <v>房地产抵押价值</v>
      </c>
      <c r="B8" s="3513"/>
      <c r="C8" s="3513"/>
      <c r="D8" s="3513">
        <f ca="1">结果表!D122</f>
        <v>8231</v>
      </c>
      <c r="E8" s="3513"/>
      <c r="F8" s="3513"/>
      <c r="G8" s="3513"/>
      <c r="H8" s="3513"/>
      <c r="I8" s="3513"/>
    </row>
    <row r="9" spans="1:9" ht="15">
      <c r="A9" s="3512" t="s">
        <v>927</v>
      </c>
      <c r="B9" s="3512"/>
      <c r="C9" s="3512"/>
      <c r="D9" s="3512" t="str">
        <f ca="1">结果表!D123</f>
        <v>捌仟贰佰叁拾壹万元整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9" t="s">
        <v>949</v>
      </c>
      <c r="B1" s="3519"/>
      <c r="C1" s="3519"/>
      <c r="D1" s="3519"/>
    </row>
    <row r="2" spans="1:4" ht="18">
      <c r="A2" s="3520" t="s">
        <v>933</v>
      </c>
      <c r="B2" s="3520"/>
      <c r="C2" s="3520"/>
      <c r="D2" s="352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0" t="s">
        <v>939</v>
      </c>
      <c r="B6" s="3520"/>
      <c r="C6" s="3520"/>
      <c r="D6" s="352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1"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3" t="s">
        <v>956</v>
      </c>
      <c r="B15" s="3528" t="s">
        <v>109</v>
      </c>
      <c r="C15" s="3529"/>
    </row>
    <row r="16" spans="1:7" ht="13.5">
      <c r="A16" s="3534"/>
      <c r="B16" s="3528" t="s">
        <v>42</v>
      </c>
      <c r="C16" s="3529"/>
    </row>
    <row r="17" spans="1:3" ht="13.5">
      <c r="A17" s="3534"/>
      <c r="B17" s="3531" t="s">
        <v>957</v>
      </c>
      <c r="C17" s="1531" t="s">
        <v>956</v>
      </c>
    </row>
    <row r="18" spans="1:3" ht="13.5">
      <c r="A18" s="3534"/>
      <c r="B18" s="3531"/>
      <c r="C18" s="1531" t="s">
        <v>958</v>
      </c>
    </row>
    <row r="19" spans="1:3" ht="13.5">
      <c r="A19" s="3534"/>
      <c r="B19" s="3531"/>
      <c r="C19" s="1531" t="s">
        <v>959</v>
      </c>
    </row>
    <row r="20" spans="1:3" ht="13.5">
      <c r="A20" s="3535"/>
      <c r="B20" s="3530" t="s">
        <v>960</v>
      </c>
      <c r="C20" s="3529"/>
    </row>
    <row r="21" spans="1:3" ht="13.5">
      <c r="A21" s="1532" t="s">
        <v>961</v>
      </c>
      <c r="B21" s="1533"/>
      <c r="C21" s="1534"/>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31" t="s">
        <v>967</v>
      </c>
    </row>
    <row r="26" spans="1:3" ht="13.5">
      <c r="A26" s="3532"/>
      <c r="B26" s="3531"/>
      <c r="C26" s="1531" t="s">
        <v>968</v>
      </c>
    </row>
    <row r="27" spans="1:3" ht="13.5">
      <c r="A27" s="3532"/>
      <c r="B27" s="3531"/>
      <c r="C27" s="1531" t="s">
        <v>969</v>
      </c>
    </row>
    <row r="28" spans="1:3" ht="13.5">
      <c r="A28" s="3532"/>
      <c r="B28" s="3531"/>
      <c r="C28" s="1531" t="s">
        <v>970</v>
      </c>
    </row>
    <row r="29" spans="1:3" ht="13.5">
      <c r="A29" s="3532"/>
      <c r="B29" s="3531"/>
      <c r="C29" s="1531" t="s">
        <v>971</v>
      </c>
    </row>
    <row r="30" spans="1:3" ht="13.5">
      <c r="A30" s="3532"/>
      <c r="B30" s="3531"/>
      <c r="C30" s="1531" t="s">
        <v>972</v>
      </c>
    </row>
    <row r="31" spans="1:3" ht="13.5">
      <c r="A31" s="3532"/>
      <c r="B31" s="3531"/>
      <c r="C31" s="1531" t="s">
        <v>973</v>
      </c>
    </row>
    <row r="32" spans="1:3" ht="13.5">
      <c r="A32" s="3532"/>
      <c r="B32" s="3531"/>
      <c r="C32" s="1531" t="s">
        <v>974</v>
      </c>
    </row>
    <row r="33" spans="1:3" ht="13.5">
      <c r="A33" s="3532"/>
      <c r="B33" s="353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45842</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t="str">
        <f ca="1">IF(C10&lt;B2,"已过期",1120100036)</f>
        <v>已过期</v>
      </c>
      <c r="C10" s="2349">
        <v>45752</v>
      </c>
      <c r="D10" s="2345" t="str">
        <f t="shared" ca="1" si="0"/>
        <v>崔锴（注册号：已过期）</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6" t="s">
        <v>2158</v>
      </c>
      <c r="B17" s="3536"/>
      <c r="C17" s="3536"/>
      <c r="D17" s="3536"/>
      <c r="E17" s="3536"/>
      <c r="F17" s="3536"/>
      <c r="G17" s="3536"/>
      <c r="H17" s="3536"/>
    </row>
    <row r="18" spans="1:8" ht="24" customHeight="1">
      <c r="A18" s="3537" t="s">
        <v>2159</v>
      </c>
      <c r="B18" s="3537"/>
      <c r="C18" s="3537"/>
      <c r="D18" s="2342"/>
      <c r="E18" s="3538" t="s">
        <v>2160</v>
      </c>
      <c r="F18" s="3537"/>
      <c r="G18" s="353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2025-07-04T05:14:23Z</dcterms:modified>
</cp:coreProperties>
</file>