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S22" i="31"/>
  <c r="B20" i="31"/>
  <c r="D47" i="78"/>
  <c r="C57" i="68"/>
  <c r="C56" i="68"/>
  <c r="D34" i="9"/>
  <c r="B27" i="78"/>
  <c r="F27" i="78"/>
  <c r="H27" i="78"/>
  <c r="F28" i="78"/>
  <c r="H28" i="78"/>
  <c r="F29" i="78"/>
  <c r="H29" i="78"/>
  <c r="F30" i="78"/>
  <c r="H30" i="78"/>
  <c r="F31" i="78"/>
  <c r="H31" i="78"/>
  <c r="F32" i="78"/>
  <c r="H32" i="78"/>
  <c r="F33" i="78"/>
  <c r="H33" i="78"/>
  <c r="F34" i="78"/>
  <c r="H34" i="78"/>
  <c r="F35" i="78"/>
  <c r="H35" i="78"/>
  <c r="F36" i="78"/>
  <c r="H36" i="78"/>
  <c r="F37" i="78"/>
  <c r="H37" i="78"/>
  <c r="F38" i="78"/>
  <c r="H38" i="78"/>
  <c r="F39" i="78"/>
  <c r="H39" i="78"/>
  <c r="F40" i="78"/>
  <c r="H40" i="78"/>
  <c r="F41" i="78"/>
  <c r="H41" i="78"/>
  <c r="F42" i="78"/>
  <c r="H42" i="78"/>
  <c r="F43" i="78"/>
  <c r="H43" i="78"/>
  <c r="F44" i="78"/>
  <c r="H44" i="78"/>
  <c r="F45" i="78"/>
  <c r="H45" i="78"/>
  <c r="H46" i="78"/>
  <c r="H49" i="78"/>
  <c r="D46" i="78"/>
  <c r="G28" i="78"/>
  <c r="I28" i="78"/>
  <c r="G29" i="78"/>
  <c r="I29" i="78"/>
  <c r="G30" i="78"/>
  <c r="I30" i="78"/>
  <c r="G31" i="78"/>
  <c r="I31" i="78"/>
  <c r="G32" i="78"/>
  <c r="I32" i="78"/>
  <c r="G33" i="78"/>
  <c r="I33" i="78"/>
  <c r="G34" i="78"/>
  <c r="I34" i="78"/>
  <c r="G35" i="78"/>
  <c r="I35" i="78"/>
  <c r="G36" i="78"/>
  <c r="I36" i="78"/>
  <c r="G37" i="78"/>
  <c r="I37" i="78"/>
  <c r="G38" i="78"/>
  <c r="I38" i="78"/>
  <c r="G39" i="78"/>
  <c r="I39" i="78"/>
  <c r="G40" i="78"/>
  <c r="I40" i="78"/>
  <c r="G41" i="78"/>
  <c r="I41" i="78"/>
  <c r="G42" i="78"/>
  <c r="I42" i="78"/>
  <c r="G43" i="78"/>
  <c r="I43" i="78"/>
  <c r="G44" i="78"/>
  <c r="I44" i="78"/>
  <c r="G45" i="78"/>
  <c r="I45" i="78"/>
  <c r="G27" i="78"/>
  <c r="I27" i="78"/>
  <c r="E28" i="78"/>
  <c r="E29" i="78"/>
  <c r="E30" i="78"/>
  <c r="E31" i="78"/>
  <c r="E32" i="78"/>
  <c r="E33" i="78"/>
  <c r="E34" i="78"/>
  <c r="E35" i="78"/>
  <c r="E36" i="78"/>
  <c r="E37" i="78"/>
  <c r="E38" i="78"/>
  <c r="E39" i="78"/>
  <c r="E40" i="78"/>
  <c r="E41" i="78"/>
  <c r="E42" i="78"/>
  <c r="E43" i="78"/>
  <c r="E44" i="78"/>
  <c r="E45" i="78"/>
  <c r="E27" i="78"/>
  <c r="L4" i="78"/>
  <c r="L5" i="78"/>
  <c r="L6" i="78"/>
  <c r="L7" i="78"/>
  <c r="L8" i="78"/>
  <c r="L9" i="78"/>
  <c r="L10" i="78"/>
  <c r="L11" i="78"/>
  <c r="L12" i="78"/>
  <c r="L13" i="78"/>
  <c r="L14" i="78"/>
  <c r="L15" i="78"/>
  <c r="L16" i="78"/>
  <c r="L17" i="78"/>
  <c r="L18" i="78"/>
  <c r="L19" i="78"/>
  <c r="L20" i="78"/>
  <c r="L21" i="78"/>
  <c r="L22" i="78"/>
  <c r="L3" i="78"/>
  <c r="B2" i="49"/>
  <c r="B13" i="49"/>
  <c r="E4" i="4"/>
  <c r="B5" i="62"/>
  <c r="B9" i="49"/>
  <c r="C4" i="4"/>
  <c r="B4" i="62"/>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10" i="68"/>
  <c r="C1" i="73"/>
  <c r="J1" i="73"/>
  <c r="B22" i="1"/>
  <c r="E1" i="73"/>
  <c r="K1" i="73"/>
  <c r="D4" i="73"/>
  <c r="C19" i="68"/>
  <c r="B23" i="1"/>
  <c r="F21" i="68"/>
  <c r="C21" i="68"/>
  <c r="B24" i="1"/>
  <c r="A6" i="1"/>
  <c r="F19" i="6"/>
  <c r="E19" i="6"/>
  <c r="K6" i="1"/>
  <c r="M6" i="1"/>
  <c r="A7" i="1"/>
  <c r="K7" i="1"/>
  <c r="M7" i="1"/>
  <c r="A8" i="1"/>
  <c r="K8" i="1"/>
  <c r="M8" i="1"/>
  <c r="A9" i="1"/>
  <c r="K9" i="1"/>
  <c r="M9" i="1"/>
  <c r="A10" i="1"/>
  <c r="K10" i="1"/>
  <c r="M10" i="1"/>
  <c r="A11" i="1"/>
  <c r="K11" i="1"/>
  <c r="M11" i="1"/>
  <c r="A12" i="1"/>
  <c r="K12" i="1"/>
  <c r="M12" i="1"/>
  <c r="A13" i="1"/>
  <c r="K13" i="1"/>
  <c r="M13" i="1"/>
  <c r="F28" i="6"/>
  <c r="G28" i="6"/>
  <c r="E28" i="6"/>
  <c r="K14" i="1"/>
  <c r="M14" i="1"/>
  <c r="M16" i="1"/>
  <c r="F35" i="68"/>
  <c r="B2" i="1"/>
  <c r="C42" i="1"/>
  <c r="F36" i="68"/>
  <c r="E37" i="68"/>
  <c r="F38" i="68"/>
  <c r="F20" i="68"/>
  <c r="C40" i="68"/>
  <c r="N16" i="1"/>
  <c r="F50" i="68"/>
  <c r="G1" i="15"/>
  <c r="L1" i="73"/>
  <c r="B43" i="1"/>
  <c r="B41" i="1"/>
  <c r="F32" i="15"/>
  <c r="F33" i="15"/>
  <c r="B3" i="3"/>
  <c r="AY6" i="3"/>
  <c r="D3" i="6"/>
  <c r="D19" i="6"/>
  <c r="E20" i="6"/>
  <c r="E21" i="6"/>
  <c r="E22" i="6"/>
  <c r="E23" i="6"/>
  <c r="E24" i="6"/>
  <c r="E25" i="6"/>
  <c r="E26" i="6"/>
  <c r="E27" i="6"/>
  <c r="K19" i="6"/>
  <c r="L19" i="6"/>
  <c r="M19" i="6"/>
  <c r="I19" i="6"/>
  <c r="H19" i="6"/>
  <c r="R19" i="6"/>
  <c r="B52" i="1"/>
  <c r="F34" i="15"/>
  <c r="S6" i="1"/>
  <c r="T6" i="1"/>
  <c r="F15" i="15"/>
  <c r="F17" i="15"/>
  <c r="F18" i="15"/>
  <c r="F20" i="15"/>
  <c r="F23" i="15"/>
  <c r="F21" i="15"/>
  <c r="F28" i="15"/>
  <c r="C28" i="15"/>
  <c r="Y6" i="1"/>
  <c r="F15" i="4"/>
  <c r="F6" i="1"/>
  <c r="M47" i="15"/>
  <c r="J50" i="15"/>
  <c r="J51" i="15"/>
  <c r="D19" i="9"/>
  <c r="K4" i="4"/>
  <c r="B46" i="48"/>
  <c r="E4" i="78"/>
  <c r="E5" i="78"/>
  <c r="E6" i="78"/>
  <c r="E7" i="78"/>
  <c r="E8" i="78"/>
  <c r="E9" i="78"/>
  <c r="E10" i="78"/>
  <c r="E11" i="78"/>
  <c r="E12" i="78"/>
  <c r="E13" i="78"/>
  <c r="E14" i="78"/>
  <c r="E15" i="78"/>
  <c r="E16" i="78"/>
  <c r="E17" i="78"/>
  <c r="E18" i="78"/>
  <c r="E19" i="78"/>
  <c r="E20" i="78"/>
  <c r="E3" i="78"/>
  <c r="D3" i="78"/>
  <c r="D4" i="78"/>
  <c r="D5" i="78"/>
  <c r="D6" i="78"/>
  <c r="D7" i="78"/>
  <c r="D8" i="78"/>
  <c r="D9" i="78"/>
  <c r="D10" i="78"/>
  <c r="D11" i="78"/>
  <c r="D12" i="78"/>
  <c r="D13" i="78"/>
  <c r="D14" i="78"/>
  <c r="D15" i="78"/>
  <c r="D16" i="78"/>
  <c r="D17" i="78"/>
  <c r="D18" i="78"/>
  <c r="D19" i="78"/>
  <c r="D20" i="78"/>
  <c r="D2" i="78"/>
  <c r="A38" i="77"/>
  <c r="B35" i="77"/>
  <c r="B36" i="77"/>
  <c r="B31" i="77"/>
  <c r="B30" i="77"/>
  <c r="B26" i="77"/>
  <c r="B25" i="77"/>
  <c r="B21" i="77"/>
  <c r="B20" i="77"/>
  <c r="B19" i="77"/>
  <c r="B24" i="31"/>
  <c r="I38" i="39"/>
  <c r="G38" i="39"/>
  <c r="E38" i="39"/>
  <c r="C38" i="39"/>
  <c r="F29" i="6"/>
  <c r="G29" i="6"/>
  <c r="E29" i="6"/>
  <c r="E30" i="6"/>
  <c r="E31" i="6"/>
  <c r="D20" i="6"/>
  <c r="D21" i="6"/>
  <c r="D22" i="6"/>
  <c r="D23" i="6"/>
  <c r="D24" i="6"/>
  <c r="D25" i="6"/>
  <c r="D26" i="6"/>
  <c r="D27" i="6"/>
  <c r="D28" i="6"/>
  <c r="D29" i="6"/>
  <c r="D30" i="6"/>
  <c r="D31" i="6"/>
  <c r="I5" i="6"/>
  <c r="C11" i="39"/>
  <c r="I7" i="39"/>
  <c r="G7" i="39"/>
  <c r="E7" i="39"/>
  <c r="I5" i="39"/>
  <c r="G5" i="39"/>
  <c r="E5" i="39"/>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G2" i="43"/>
  <c r="C6" i="43"/>
  <c r="G17" i="43"/>
  <c r="H17" i="43"/>
  <c r="I17" i="43"/>
  <c r="J17" i="43"/>
  <c r="C17" i="43"/>
  <c r="C16" i="43"/>
  <c r="C5" i="43"/>
  <c r="C24"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M26" i="31"/>
  <c r="O26" i="31"/>
  <c r="C27" i="31"/>
  <c r="E27" i="31"/>
  <c r="G27" i="31"/>
  <c r="I27" i="31"/>
  <c r="M27" i="31"/>
  <c r="O27" i="31"/>
  <c r="C28" i="31"/>
  <c r="E28" i="31"/>
  <c r="G28" i="31"/>
  <c r="I28" i="31"/>
  <c r="M28" i="31"/>
  <c r="O28" i="31"/>
  <c r="C29" i="31"/>
  <c r="E29" i="31"/>
  <c r="G29" i="31"/>
  <c r="I29" i="31"/>
  <c r="M29" i="31"/>
  <c r="O29" i="31"/>
  <c r="C30" i="31"/>
  <c r="E30" i="31"/>
  <c r="G30" i="31"/>
  <c r="I30" i="31"/>
  <c r="M30" i="31"/>
  <c r="O30" i="31"/>
  <c r="C31" i="31"/>
  <c r="E31" i="31"/>
  <c r="G31" i="31"/>
  <c r="I31" i="31"/>
  <c r="M31" i="31"/>
  <c r="O31" i="31"/>
  <c r="C32" i="31"/>
  <c r="E32" i="31"/>
  <c r="G32" i="31"/>
  <c r="I32" i="31"/>
  <c r="M32" i="31"/>
  <c r="O32" i="31"/>
  <c r="C33" i="31"/>
  <c r="E33" i="31"/>
  <c r="G33" i="31"/>
  <c r="I33" i="31"/>
  <c r="M33" i="31"/>
  <c r="O33" i="31"/>
  <c r="C34" i="31"/>
  <c r="E34" i="31"/>
  <c r="G34" i="31"/>
  <c r="I34" i="31"/>
  <c r="M34" i="31"/>
  <c r="O34" i="31"/>
  <c r="C35" i="31"/>
  <c r="E35" i="31"/>
  <c r="G35" i="31"/>
  <c r="I35" i="31"/>
  <c r="M35" i="31"/>
  <c r="O35" i="31"/>
  <c r="C36" i="31"/>
  <c r="E36" i="31"/>
  <c r="G36" i="31"/>
  <c r="I36" i="31"/>
  <c r="M36" i="31"/>
  <c r="O36" i="31"/>
  <c r="C37" i="31"/>
  <c r="E37" i="31"/>
  <c r="G37" i="31"/>
  <c r="I37" i="31"/>
  <c r="M37" i="31"/>
  <c r="O37" i="31"/>
  <c r="C38" i="31"/>
  <c r="E38" i="31"/>
  <c r="G38" i="31"/>
  <c r="I38" i="31"/>
  <c r="M38" i="31"/>
  <c r="O38" i="31"/>
  <c r="C39" i="31"/>
  <c r="E39" i="31"/>
  <c r="G39" i="31"/>
  <c r="I39" i="31"/>
  <c r="M39" i="31"/>
  <c r="O39" i="31"/>
  <c r="C40" i="31"/>
  <c r="E40" i="31"/>
  <c r="G40" i="31"/>
  <c r="I40" i="31"/>
  <c r="M40" i="31"/>
  <c r="O40" i="31"/>
  <c r="C41" i="31"/>
  <c r="E41" i="31"/>
  <c r="G41" i="31"/>
  <c r="I41" i="31"/>
  <c r="M41" i="31"/>
  <c r="O41" i="31"/>
  <c r="C42" i="31"/>
  <c r="E42" i="31"/>
  <c r="G42" i="31"/>
  <c r="I42" i="31"/>
  <c r="M42" i="31"/>
  <c r="O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M25" i="31"/>
  <c r="O25"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 i="36"/>
  <c r="B3" i="36"/>
  <c r="B2" i="35"/>
  <c r="B3" i="35"/>
  <c r="B2" i="37"/>
  <c r="B3" i="37"/>
  <c r="B2" i="34"/>
  <c r="B3" i="34"/>
  <c r="B2" i="21"/>
  <c r="B3" i="21"/>
  <c r="B2" i="70"/>
  <c r="B3" i="70"/>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Q16" i="1"/>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G21" i="9"/>
  <c r="C103" i="9"/>
  <c r="D22" i="9"/>
  <c r="C21" i="9"/>
  <c r="C102" i="9"/>
  <c r="R22" i="31"/>
  <c r="B21" i="31"/>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<sst xmlns="http://schemas.openxmlformats.org/spreadsheetml/2006/main" count="7692" uniqueCount="3244">
  <si>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</si>
  <si>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</si>
  <si>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</si>
  <si>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</si>
  <si>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</si>
  <si>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</si>
  <si>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</si>
  <si>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</si>
  <si>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</si>
  <si>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</si>
  <si>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</si>
  <si>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</si>
  <si>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</si>
  <si>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</si>
  <si>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</si>
  <si>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</si>
  <si>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</si>
  <si>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</si>
  <si>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</si>
  <si>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</si>
  <si>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</si>
  <si>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</si>
  <si>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</si>
  <si>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</si>
  <si>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</si>
  <si>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</si>
  <si>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</si>
  <si>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</si>
  <si>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</si>
  <si>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</si>
  <si>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</si>
  <si>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</si>
  <si>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</si>
  <si>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</si>
  <si>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</si>
  <si>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</si>
  <si>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</si>
  <si>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</si>
  <si>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</si>
  <si>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</si>
  <si>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</si>
  <si>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</si>
  <si>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</si>
  <si>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</si>
  <si>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</si>
  <si>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</si>
  <si>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</si>
  <si>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</si>
  <si>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</si>
  <si>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</si>
  <si>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</si>
  <si>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</si>
  <si>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</si>
  <si>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</si>
  <si>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</si>
  <si>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</si>
  <si>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</si>
  <si>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</si>
  <si>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</si>
  <si>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</si>
  <si>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</si>
  <si>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</si>
  <si>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</si>
  <si>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</si>
  <si>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</si>
  <si>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</si>
  <si>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</si>
  <si>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</si>
  <si>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</si>
  <si>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</si>
  <si>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</si>
  <si>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</si>
  <si>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</si>
  <si>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</si>
  <si>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</si>
  <si>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</si>
  <si>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</si>
  <si>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</si>
  <si>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</si>
  <si>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</si>
  <si>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</si>
  <si>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</si>
  <si>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</si>
  <si>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</si>
  <si>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</si>
  <si>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</si>
  <si>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</si>
  <si>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</si>
  <si>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</si>
  <si>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</si>
  <si>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</si>
  <si>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</si>
  <si>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</si>
  <si>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</si>
  <si>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</si>
  <si>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</si>
  <si>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</si>
  <si>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</si>
  <si>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</si>
  <si>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</si>
  <si>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</si>
  <si>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</si>
  <si>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</si>
  <si>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</si>
  <si>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</si>
  <si>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</si>
  <si>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</si>
  <si>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</si>
  <si>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</si>
  <si>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</si>
  <si>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</si>
  <si>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</si>
  <si>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</si>
  <si>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</si>
  <si>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</si>
  <si>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</si>
  <si>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</si>
  <si>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</si>
  <si>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</si>
  <si>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</si>
  <si>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</si>
  <si>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</si>
  <si>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</si>
  <si>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</si>
  <si>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</si>
  <si>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</si>
  <si>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</si>
  <si>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</si>
  <si>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</si>
  <si>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</si>
  <si>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</si>
  <si>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</si>
  <si>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</si>
  <si>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</si>
  <si>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</si>
  <si>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</si>
  <si>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</si>
  <si>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</si>
  <si>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</si>
  <si>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</si>
  <si>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</si>
  <si>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</si>
  <si>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</si>
  <si>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</si>
  <si>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</si>
  <si>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</si>
  <si>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</si>
  <si>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</si>
  <si>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</si>
  <si>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</si>
  <si>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</si>
  <si>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</si>
  <si>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</si>
  <si>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</si>
  <si>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</si>
  <si>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</si>
  <si>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</si>
  <si>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</si>
  <si>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</si>
  <si>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</si>
  <si>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</si>
  <si>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</si>
  <si>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</si>
  <si>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</si>
  <si>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</si>
  <si>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</si>
  <si>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</si>
  <si>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</si>
  <si>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</si>
  <si>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</si>
  <si>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</si>
  <si>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</si>
  <si>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</si>
  <si>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</si>
  <si>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</si>
  <si>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</si>
  <si>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</si>
  <si>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</si>
  <si>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</si>
  <si>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</si>
  <si>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</si>
  <si>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</si>
  <si>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</si>
  <si>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</si>
  <si>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</si>
  <si>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</si>
  <si>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</si>
  <si>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</si>
  <si>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</si>
  <si>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</si>
  <si>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</si>
  <si>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</si>
  <si>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</si>
  <si>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</si>
  <si>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</si>
  <si>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</si>
  <si>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</si>
  <si>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</si>
  <si>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</si>
  <si>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</si>
  <si>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</si>
  <si>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</si>
  <si>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</si>
  <si>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</si>
  <si>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</si>
  <si>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</si>
  <si>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</si>
  <si>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</si>
  <si>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</si>
  <si>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</si>
  <si>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</si>
  <si>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</si>
  <si>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</si>
  <si>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</si>
  <si>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</si>
  <si>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</si>
  <si>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</si>
  <si>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</si>
  <si>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</si>
  <si>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</si>
  <si>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</si>
  <si>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</si>
  <si>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</si>
  <si>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</si>
  <si>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</si>
  <si>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</si>
  <si>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</si>
  <si>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</si>
  <si>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</si>
  <si>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</si>
  <si>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</si>
  <si>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</si>
  <si>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</si>
  <si>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</si>
  <si>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</si>
  <si>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</si>
  <si>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</si>
  <si>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</si>
  <si>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</si>
  <si>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</si>
  <si>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</si>
  <si>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</si>
  <si>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</si>
  <si>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</si>
  <si>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</si>
  <si>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</si>
  <si>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</si>
  <si>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</si>
  <si>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</si>
  <si>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</si>
  <si>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</si>
  <si>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</si>
  <si>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</si>
  <si>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</si>
  <si>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</si>
  <si>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</si>
  <si>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</si>
  <si>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</si>
  <si>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</si>
  <si>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</si>
  <si>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</si>
  <si>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</si>
  <si>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</si>
  <si>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</si>
  <si>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</si>
  <si>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</si>
  <si>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</si>
  <si>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</si>
  <si>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</si>
  <si>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</si>
  <si>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</si>
  <si>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</si>
  <si>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</si>
  <si>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</si>
  <si>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</si>
  <si>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</si>
  <si>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</si>
  <si>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</si>
  <si>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</si>
  <si>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</si>
  <si>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</si>
  <si>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</si>
  <si>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</si>
  <si>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</si>
  <si>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</si>
  <si>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</si>
  <si>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</si>
  <si>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</si>
  <si>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</si>
  <si>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</si>
  <si>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</si>
  <si>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</si>
  <si>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</si>
  <si>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</si>
  <si>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</si>
  <si>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</si>
  <si>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</si>
  <si>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</si>
  <si>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</si>
  <si>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</si>
  <si>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</si>
  <si>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</si>
  <si>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</si>
  <si>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</si>
  <si>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</si>
  <si>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</si>
  <si>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</si>
  <si>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</si>
  <si>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</si>
  <si>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</si>
  <si>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</si>
  <si>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</si>
  <si>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</si>
  <si>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</si>
  <si>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</si>
  <si>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</si>
  <si>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</si>
  <si>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</si>
  <si>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</si>
  <si>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</si>
  <si>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</si>
  <si>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</si>
  <si>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</si>
  <si>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</si>
  <si>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</si>
  <si>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</si>
  <si>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</si>
  <si>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</si>
  <si>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</si>
  <si>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</si>
  <si>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</si>
  <si>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</si>
  <si>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</si>
  <si>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</si>
  <si>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</si>
  <si>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</si>
  <si>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</si>
  <si>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</si>
  <si>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</si>
  <si>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</si>
  <si>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</si>
  <si>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</si>
  <si>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</si>
  <si>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</si>
  <si>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</si>
  <si>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</si>
  <si>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</si>
  <si>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</si>
  <si>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</si>
  <si>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</si>
  <si>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</si>
  <si>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</si>
  <si>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</si>
  <si>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</si>
  <si>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</si>
  <si>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</si>
  <si>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</si>
  <si>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</si>
  <si>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</si>
  <si>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</si>
  <si>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</si>
  <si>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</si>
  <si>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</si>
  <si>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</si>
  <si>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</si>
  <si>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</si>
  <si>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</si>
  <si>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</si>
  <si>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</si>
  <si>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</si>
  <si>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</si>
  <si>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</si>
  <si>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</si>
  <si>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</si>
  <si>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</si>
  <si>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</si>
  <si>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</si>
  <si>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</si>
  <si>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</si>
  <si>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</si>
  <si>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</si>
  <si>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</si>
  <si>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</si>
  <si>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</si>
  <si>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</si>
  <si>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</si>
  <si>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</si>
  <si>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</si>
  <si>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</si>
  <si>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</si>
  <si>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</si>
  <si>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</si>
  <si>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</si>
  <si>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</si>
  <si>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</si>
  <si>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</si>
  <si>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</si>
  <si>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</si>
  <si>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</si>
  <si>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</si>
  <si>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</si>
  <si>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</si>
  <si>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</si>
  <si>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</si>
  <si>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</si>
  <si>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</si>
  <si>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</si>
  <si>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</si>
  <si>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</si>
  <si>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</si>
  <si>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</si>
  <si>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</si>
  <si>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</si>
  <si>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</si>
  <si>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</si>
  <si>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</si>
  <si>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</si>
  <si>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</si>
  <si>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</si>
  <si>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</si>
  <si>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</si>
  <si>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</si>
  <si>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</si>
  <si>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</si>
  <si>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</si>
  <si>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</si>
  <si>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</si>
  <si>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</si>
  <si>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</si>
  <si>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</si>
  <si>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</si>
  <si>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</si>
  <si>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</si>
  <si>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</si>
  <si>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</si>
  <si>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</si>
  <si>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</si>
  <si>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</si>
  <si>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</si>
  <si>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</si>
  <si>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</si>
  <si>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</si>
  <si>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</si>
  <si>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</si>
  <si>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</si>
  <si>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</si>
  <si>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</si>
  <si>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</si>
  <si>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</si>
  <si>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</si>
  <si>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</si>
  <si>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</si>
  <si>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</si>
  <si>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</si>
  <si>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</si>
  <si>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</si>
  <si>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</si>
  <si>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</si>
  <si>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</si>
  <si>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</si>
  <si>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</si>
  <si>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</si>
  <si>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</si>
  <si>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</si>
  <si>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</si>
  <si>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</si>
  <si>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</si>
  <si>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</si>
  <si>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</si>
  <si>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</si>
  <si>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</si>
  <si>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</si>
  <si>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</si>
  <si>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</si>
  <si>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</si>
  <si>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</si>
  <si>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</si>
  <si>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</si>
  <si>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</si>
  <si>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</si>
  <si>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</si>
  <si>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</si>
  <si>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</si>
  <si>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</si>
  <si>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</si>
  <si>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</si>
  <si>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</si>
  <si>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</si>
  <si>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</si>
  <si>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</si>
  <si>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</si>
  <si>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</si>
  <si>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</si>
  <si>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</si>
  <si>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</si>
  <si>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</si>
  <si>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</si>
  <si>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</si>
  <si>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</si>
  <si>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</si>
  <si>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</si>
  <si>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</si>
  <si>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</si>
  <si>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</si>
  <si>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</si>
  <si>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</si>
  <si>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</si>
  <si>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</si>
  <si>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</si>
  <si>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</si>
  <si>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</si>
  <si>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</si>
  <si>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</si>
  <si>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</si>
  <si>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</si>
  <si>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</si>
  <si>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</si>
  <si>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</si>
  <si>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</si>
  <si>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</si>
  <si>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</si>
  <si>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</si>
  <si>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</si>
  <si>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</si>
  <si>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</si>
  <si>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</si>
  <si>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</si>
  <si>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</si>
  <si>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</si>
  <si>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</si>
  <si>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</si>
  <si>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</si>
  <si>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</si>
  <si>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</si>
  <si>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</si>
  <si>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</si>
  <si>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</si>
  <si>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</si>
  <si>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</si>
  <si>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</si>
  <si>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</si>
  <si>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</si>
  <si>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</si>
  <si>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</si>
  <si>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</si>
  <si>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</si>
  <si>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</si>
  <si>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</si>
  <si>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</si>
  <si>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</si>
  <si>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</si>
  <si>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</si>
  <si>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</si>
  <si>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</si>
  <si>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</si>
  <si>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</si>
  <si>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</si>
  <si>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</si>
  <si>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</si>
  <si>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</si>
  <si>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</si>
  <si>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</si>
  <si>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</si>
  <si>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</si>
  <si>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</si>
  <si>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</si>
  <si>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</si>
  <si>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</si>
  <si>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</si>
  <si>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</si>
  <si>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</si>
  <si>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</si>
  <si>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</si>
  <si>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</si>
  <si>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</si>
  <si>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</si>
  <si>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</si>
  <si>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</si>
  <si>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</si>
  <si>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</si>
  <si>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</si>
  <si>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</si>
  <si>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</si>
  <si>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</si>
  <si>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</si>
  <si>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</si>
  <si>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</si>
  <si>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</si>
  <si>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</si>
  <si>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</si>
  <si>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</si>
  <si>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</si>
  <si>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</si>
  <si>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</si>
  <si>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</si>
  <si>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</si>
  <si>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</si>
  <si>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</si>
  <si>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</si>
  <si>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</si>
  <si>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</si>
  <si>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</si>
  <si>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</si>
  <si>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</si>
  <si>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</si>
  <si>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</si>
  <si>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</si>
  <si>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</si>
  <si>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</si>
  <si>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</si>
  <si>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</si>
  <si>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</si>
  <si>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</si>
  <si>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</si>
  <si>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</si>
  <si>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</si>
  <si>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</si>
  <si>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</si>
  <si>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</si>
  <si>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</si>
  <si>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</si>
  <si>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</si>
  <si>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</si>
  <si>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</si>
  <si>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</si>
  <si>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</si>
  <si>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</si>
  <si>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</si>
  <si>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</si>
  <si>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</si>
  <si>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</si>
  <si>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</si>
  <si>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</si>
  <si>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</si>
  <si>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</si>
  <si>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</si>
  <si>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</si>
  <si>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</si>
  <si>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</si>
  <si>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</si>
  <si>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</si>
  <si>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</si>
  <si>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</si>
  <si>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</si>
  <si>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</si>
  <si>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</si>
  <si>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</si>
  <si>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</si>
  <si>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</si>
  <si>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</si>
  <si>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</si>
  <si>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</si>
  <si>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</si>
  <si>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</si>
  <si>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</si>
  <si>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</si>
  <si>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</si>
  <si>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</si>
  <si>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</si>
  <si>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</si>
  <si>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</si>
  <si>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</si>
  <si>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</si>
  <si>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</si>
  <si>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</si>
  <si>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</si>
  <si>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</si>
  <si>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</si>
  <si>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</si>
  <si>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</si>
  <si>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</si>
  <si>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</si>
  <si>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</si>
  <si>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</si>
  <si>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</si>
  <si>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</si>
  <si>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</si>
  <si>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</si>
  <si>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</si>
  <si>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</si>
  <si>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</si>
  <si>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</si>
  <si>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</si>
  <si>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</si>
  <si>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</si>
  <si>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</si>
  <si>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</si>
  <si>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</si>
  <si>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</si>
  <si>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</si>
  <si>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</si>
  <si>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</si>
  <si>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</si>
  <si>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</si>
  <si>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</si>
  <si>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</si>
  <si>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</si>
  <si>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</si>
  <si>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</si>
  <si>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</si>
  <si>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</si>
  <si>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</si>
  <si>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</si>
  <si>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</si>
  <si>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</si>
  <si>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</si>
  <si>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</si>
  <si>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</si>
  <si>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</si>
  <si>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</si>
  <si>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</si>
  <si>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</si>
  <si>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</si>
  <si>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</si>
  <si>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</si>
  <si>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</si>
  <si>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</si>
  <si>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</si>
  <si>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</si>
  <si>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</si>
  <si>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</si>
  <si>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</si>
  <si>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</si>
  <si>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</si>
  <si>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</si>
  <si>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</si>
  <si>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</si>
  <si>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</si>
  <si>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</si>
  <si>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</si>
  <si>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</si>
  <si>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</si>
  <si>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</si>
  <si>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</si>
  <si>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</si>
  <si>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</si>
  <si>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</si>
  <si>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</si>
  <si>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</si>
  <si>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</si>
  <si>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</si>
  <si>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</si>
  <si>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</si>
  <si>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</si>
  <si>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</si>
  <si>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</si>
  <si>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</si>
  <si>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</si>
  <si>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</si>
  <si>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</si>
  <si>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</si>
  <si>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</si>
  <si>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</si>
  <si>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</si>
  <si>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</si>
  <si>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</si>
  <si>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</si>
  <si>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</si>
  <si>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</si>
  <si>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</si>
  <si>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</si>
  <si>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</si>
  <si>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</si>
  <si>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</si>
  <si>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</si>
  <si>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</si>
  <si>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</si>
  <si>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</si>
  <si>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</si>
  <si>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</si>
  <si>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</si>
  <si>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</si>
  <si>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</si>
  <si>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</si>
  <si>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</si>
  <si>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</si>
  <si>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</si>
  <si>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</si>
  <si>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</si>
  <si>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</si>
  <si>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</si>
  <si>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</si>
  <si>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</si>
  <si>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</si>
  <si>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</si>
  <si>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</si>
  <si>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</si>
  <si>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</si>
  <si>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</si>
  <si>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</si>
  <si>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</si>
  <si>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</si>
  <si>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</si>
  <si>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</si>
  <si>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</si>
  <si>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</si>
  <si>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</si>
  <si>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</si>
  <si>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</si>
  <si>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</si>
  <si>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</si>
  <si>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</si>
  <si>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</si>
  <si>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</si>
  <si>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</si>
  <si>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</si>
  <si>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</si>
  <si>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</si>
  <si>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</si>
  <si>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</si>
  <si>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</si>
  <si>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</si>
  <si>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</si>
  <si>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</si>
  <si>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</si>
  <si>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</si>
  <si>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</si>
  <si>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</si>
  <si>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</si>
  <si>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</si>
  <si>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</si>
  <si>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</si>
  <si>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</si>
  <si>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</si>
  <si>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</si>
  <si>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</si>
  <si>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</si>
  <si>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</si>
  <si>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</si>
  <si>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</si>
  <si>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</si>
  <si>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</si>
  <si>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</si>
  <si>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</si>
  <si>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</si>
  <si>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</si>
  <si>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</si>
  <si>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</si>
  <si>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</si>
  <si>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</si>
  <si>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</si>
  <si>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</si>
  <si>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</si>
  <si>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</si>
  <si>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</si>
  <si>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</si>
  <si>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</si>
  <si>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</si>
  <si>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</si>
  <si>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</si>
  <si>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</si>
  <si>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</si>
  <si>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</si>
  <si>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</si>
  <si>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</si>
  <si>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</si>
  <si>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</si>
  <si>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</si>
  <si>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</si>
  <si>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</si>
  <si>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</si>
  <si>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</si>
  <si>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</si>
  <si>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</si>
  <si>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</si>
  <si>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</si>
  <si>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</si>
  <si>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</si>
  <si>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</si>
  <si>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</si>
  <si>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</si>
  <si>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</si>
  <si>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</si>
  <si>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</si>
  <si>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</si>
  <si>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</si>
  <si>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</si>
  <si>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</si>
  <si>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</si>
  <si>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</si>
  <si>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</si>
  <si>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</si>
  <si>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</si>
  <si>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</si>
  <si>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</si>
  <si>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</si>
  <si>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</si>
  <si>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</si>
  <si>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</si>
  <si>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</si>
  <si>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</si>
  <si>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</si>
  <si>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</si>
  <si>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</si>
  <si>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</si>
  <si>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</si>
  <si>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</si>
  <si>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</si>
  <si>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</si>
  <si>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</si>
  <si>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</si>
  <si>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</si>
  <si>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</si>
  <si>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</si>
  <si>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</si>
  <si>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</si>
  <si>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</si>
  <si>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</si>
  <si>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</si>
  <si>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</si>
  <si>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</si>
  <si>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</si>
  <si>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</si>
  <si>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</si>
  <si>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</si>
  <si>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</si>
  <si>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</si>
  <si>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</si>
  <si>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</si>
  <si>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</si>
  <si>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</si>
  <si>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</si>
  <si>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</si>
  <si>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</si>
  <si>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</si>
  <si>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</si>
  <si>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</si>
  <si>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</si>
  <si>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</si>
  <si>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</si>
  <si>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</si>
  <si>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</si>
  <si>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</si>
  <si>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</si>
  <si>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</si>
  <si>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</si>
  <si>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</si>
  <si>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</si>
  <si>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</si>
  <si>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</si>
  <si>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</si>
  <si>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</si>
  <si>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</si>
  <si>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</si>
  <si>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</si>
  <si>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</si>
  <si>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</si>
  <si>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</si>
  <si>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</si>
  <si>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</si>
  <si>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</si>
  <si>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</si>
  <si>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</si>
  <si>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</si>
  <si>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</si>
  <si>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</si>
  <si>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</si>
  <si>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</si>
  <si>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</si>
  <si>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</si>
  <si>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</si>
  <si>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</si>
  <si>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</si>
  <si>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</si>
  <si>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</si>
  <si>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</si>
  <si>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</si>
  <si>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</si>
  <si>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</si>
  <si>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</si>
  <si>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</si>
  <si>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</si>
  <si>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</si>
  <si>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</si>
  <si>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</si>
  <si>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</si>
  <si>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</si>
  <si>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</si>
  <si>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</si>
  <si>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</si>
  <si>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</si>
  <si>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</si>
  <si>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</si>
  <si>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</si>
  <si>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</si>
  <si>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</si>
  <si>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</si>
  <si>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</si>
  <si>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</si>
  <si>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</si>
  <si>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</si>
  <si>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</si>
  <si>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</si>
  <si>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</si>
  <si>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</si>
  <si>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</si>
  <si>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</si>
  <si>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</si>
  <si>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</si>
  <si>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</si>
  <si>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</si>
  <si>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</si>
  <si>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</si>
  <si>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</si>
  <si>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</si>
  <si>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</si>
  <si>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</si>
  <si>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</si>
  <si>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</si>
  <si>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</si>
  <si>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</si>
  <si>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</si>
  <si>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</si>
  <si>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</si>
  <si>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</si>
  <si>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</si>
  <si>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</si>
  <si>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</si>
  <si>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</si>
  <si>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</si>
  <si>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</si>
  <si>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</si>
  <si>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</si>
  <si>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</si>
  <si>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</si>
  <si>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</si>
  <si>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</si>
  <si>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</si>
  <si>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</si>
  <si>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</si>
  <si>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</si>
  <si>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</si>
  <si>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</si>
  <si>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</si>
  <si>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</si>
  <si>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</si>
  <si>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</si>
  <si>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</si>
  <si>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</si>
  <si>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</si>
  <si>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</si>
  <si>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</si>
  <si>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</si>
  <si>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</si>
  <si>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</si>
  <si>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</si>
  <si>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</si>
  <si>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</si>
  <si>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</si>
  <si>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</si>
  <si>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</si>
  <si>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</si>
  <si>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</si>
  <si>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</si>
  <si>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</si>
  <si>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</si>
  <si>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</si>
  <si>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</si>
  <si>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</si>
  <si>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</si>
  <si>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</si>
  <si>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</si>
  <si>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</si>
  <si>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</si>
  <si>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</si>
  <si>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</si>
  <si>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</si>
  <si>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</si>
  <si>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</si>
  <si>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</si>
  <si>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</si>
  <si>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</si>
  <si>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</si>
  <si>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</si>
  <si>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</si>
  <si>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</si>
  <si>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</si>
  <si>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</si>
  <si>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</si>
  <si>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</si>
  <si>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</si>
  <si>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</si>
  <si>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</si>
  <si>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</si>
  <si>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</si>
  <si>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</si>
  <si>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</si>
  <si>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</si>
  <si>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</si>
  <si>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</si>
  <si>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</si>
  <si>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</si>
  <si>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</si>
  <si>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</si>
  <si>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</si>
  <si>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</si>
  <si>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</si>
  <si>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</si>
  <si>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</si>
  <si>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</si>
  <si>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</si>
  <si>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</si>
  <si>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</si>
  <si>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</si>
  <si>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</si>
  <si>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</si>
  <si>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</si>
  <si>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</si>
  <si>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</si>
  <si>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</si>
  <si>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</si>
  <si>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</si>
  <si>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</si>
  <si>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</si>
  <si>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</si>
  <si>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</si>
  <si>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</si>
  <si>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</si>
  <si>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</si>
  <si>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</si>
  <si>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</si>
  <si>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</si>
  <si>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</si>
  <si>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</si>
  <si>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</si>
  <si>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</si>
  <si>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</si>
  <si>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</si>
  <si>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</si>
  <si>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</si>
  <si>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</si>
  <si>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</si>
  <si>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</si>
  <si>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</si>
  <si>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</si>
  <si>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</si>
  <si>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</si>
  <si>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</si>
  <si>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</si>
  <si>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</si>
  <si>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</si>
  <si>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</si>
  <si>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</si>
  <si>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</si>
  <si>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</si>
  <si>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</si>
  <si>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</si>
  <si>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</si>
  <si>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</si>
  <si>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</si>
  <si>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</si>
  <si>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</si>
  <si>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</si>
  <si>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</si>
  <si>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</si>
  <si>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</si>
  <si>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</si>
  <si>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</si>
  <si>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</si>
  <si>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</si>
  <si>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</si>
  <si>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</si>
  <si>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</si>
  <si>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</si>
  <si>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</si>
  <si>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</si>
  <si>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</si>
  <si>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</si>
  <si>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</si>
  <si>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</si>
  <si>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</si>
  <si>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</si>
  <si>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</si>
  <si>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</si>
  <si>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</si>
  <si>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</si>
  <si>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</si>
  <si>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</si>
  <si>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</si>
  <si>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</si>
  <si>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</si>
  <si>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</si>
  <si>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</si>
  <si>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</si>
  <si>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</si>
  <si>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</si>
  <si>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</si>
  <si>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</si>
  <si>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</si>
  <si>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</si>
  <si>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</si>
  <si>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</si>
  <si>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</si>
  <si>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</si>
  <si>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</si>
  <si>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</si>
  <si>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</si>
  <si>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</si>
  <si>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</si>
  <si>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</si>
  <si>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</si>
  <si>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</si>
  <si>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</si>
  <si>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</si>
  <si>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</si>
  <si>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</si>
  <si>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</si>
  <si>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</si>
  <si>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</si>
  <si>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</si>
  <si>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</si>
  <si>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</si>
  <si>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</si>
  <si>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</si>
  <si>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</si>
  <si>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</si>
  <si>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</si>
  <si>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</si>
  <si>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</si>
  <si>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</si>
  <si>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</si>
  <si>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</si>
  <si>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</si>
  <si>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</si>
  <si>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</si>
  <si>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</si>
  <si>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</si>
  <si>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</si>
  <si>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</si>
  <si>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</si>
  <si>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</si>
  <si>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</si>
  <si>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</si>
  <si>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</si>
  <si>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</si>
  <si>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</si>
  <si>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</si>
  <si>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</si>
  <si>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</si>
  <si>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</si>
  <si>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</si>
  <si>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</si>
  <si>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</si>
  <si>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</si>
  <si>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</si>
  <si>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</si>
  <si>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</si>
  <si>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</si>
  <si>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</si>
  <si>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</si>
  <si>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</si>
  <si>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</si>
  <si>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</si>
  <si>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</si>
  <si>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</si>
  <si>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</si>
  <si>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</si>
  <si>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</si>
  <si>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</si>
  <si>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</si>
  <si>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</si>
  <si>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</si>
  <si>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</si>
  <si>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</si>
  <si>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</si>
  <si>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</si>
  <si>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</si>
  <si>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</si>
  <si>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</si>
  <si>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</si>
  <si>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</si>
  <si>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</si>
  <si>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</si>
  <si>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</si>
  <si>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</si>
  <si>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</si>
  <si>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</si>
  <si>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</si>
  <si>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</si>
  <si>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</si>
  <si>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</si>
  <si>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</si>
  <si>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</si>
  <si>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</si>
  <si>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</si>
  <si>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</si>
  <si>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</si>
  <si>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</si>
  <si>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</si>
  <si>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</si>
  <si>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</si>
  <si>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</si>
  <si>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</si>
  <si>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</si>
  <si>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</si>
  <si>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</si>
  <si>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</si>
  <si>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</si>
  <si>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</si>
  <si>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</si>
  <si>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</si>
  <si>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</si>
  <si>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</si>
  <si>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</si>
  <si>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</si>
  <si>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</si>
  <si>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</si>
  <si>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</si>
  <si>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</si>
  <si>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</si>
  <si>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</si>
  <si>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</si>
  <si>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</si>
  <si>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</si>
  <si>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</si>
  <si>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</si>
  <si>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</si>
  <si>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</si>
  <si>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</si>
  <si>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</si>
  <si>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</si>
  <si>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</si>
  <si>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</si>
  <si>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</si>
  <si>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</si>
  <si>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</si>
  <si>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</si>
  <si>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</si>
  <si>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</si>
  <si>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</si>
  <si>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</si>
  <si>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</si>
  <si>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</si>
  <si>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</si>
  <si>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</si>
  <si>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</si>
  <si>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</si>
  <si>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</si>
  <si>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</si>
  <si>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</si>
  <si>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</si>
  <si>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</si>
  <si>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</si>
  <si>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</si>
  <si>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</si>
  <si>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</si>
  <si>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</si>
  <si>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</si>
  <si>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</si>
  <si>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</si>
  <si>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</si>
  <si>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</si>
  <si>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</si>
  <si>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</si>
  <si>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</si>
  <si>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</si>
  <si>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</si>
  <si>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</si>
  <si>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</si>
  <si>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</si>
  <si>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</si>
  <si>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</si>
  <si>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</si>
  <si>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</si>
  <si>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</si>
  <si>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</si>
  <si>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</si>
  <si>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</si>
  <si>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</si>
  <si>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</si>
  <si>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</si>
  <si>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</si>
  <si>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</si>
  <si>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</si>
  <si>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</si>
  <si>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</si>
  <si>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</si>
  <si>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</si>
  <si>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</si>
  <si>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</si>
  <si>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</si>
  <si>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</si>
  <si>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</si>
  <si>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</si>
  <si>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</si>
  <si>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</si>
  <si>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</si>
  <si>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</si>
  <si>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</si>
  <si>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</si>
  <si>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</si>
  <si>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</si>
  <si>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</si>
  <si>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</si>
  <si>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</si>
  <si>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</si>
  <si>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</si>
  <si>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</si>
  <si>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</si>
  <si>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</si>
  <si>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</si>
  <si>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</si>
  <si>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</si>
  <si>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</si>
  <si>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</si>
  <si>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</si>
  <si>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</si>
  <si>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</si>
  <si>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</si>
  <si>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</si>
  <si>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</si>
  <si>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</si>
  <si>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</si>
  <si>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</si>
  <si>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</si>
  <si>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</si>
  <si>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</si>
  <si>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</si>
  <si>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</si>
  <si>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</si>
  <si>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</si>
  <si>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</si>
  <si>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</si>
  <si>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</si>
  <si>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</si>
  <si>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</si>
  <si>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</si>
  <si>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</si>
  <si>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</si>
  <si>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</si>
  <si>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</si>
  <si>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</si>
  <si>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</si>
  <si>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</si>
  <si>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</si>
  <si>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</si>
  <si>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</si>
  <si>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</si>
  <si>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</si>
  <si>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</si>
  <si>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</si>
  <si>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</si>
  <si>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</si>
  <si>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</si>
  <si>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</si>
  <si>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</si>
  <si>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</si>
  <si>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</si>
  <si>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</si>
  <si>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</si>
  <si>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</si>
  <si>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</si>
  <si>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</si>
  <si>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</si>
  <si>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</si>
  <si>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</si>
  <si>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</si>
  <si>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</si>
  <si>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</si>
  <si>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</si>
  <si>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</si>
  <si>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</si>
  <si>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</si>
  <si>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</si>
  <si>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</si>
  <si>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</si>
  <si>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</si>
  <si>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</si>
  <si>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</si>
  <si>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</si>
  <si>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</si>
  <si>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</si>
  <si>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</si>
  <si>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</si>
  <si>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</si>
  <si>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</si>
  <si>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</si>
  <si>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</si>
  <si>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</si>
  <si>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</si>
  <si>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</si>
  <si>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</si>
  <si>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</si>
  <si>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</si>
  <si>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</si>
  <si>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</si>
  <si>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</si>
  <si>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</si>
  <si>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</si>
  <si>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</si>
  <si>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</si>
  <si>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</si>
  <si>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</si>
  <si>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</si>
  <si>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</si>
  <si>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</si>
  <si>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</si>
  <si>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</si>
  <si>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</si>
  <si>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</si>
  <si>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</si>
  <si>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</si>
  <si>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</si>
  <si>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</si>
  <si>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</si>
  <si>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</si>
  <si>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</si>
  <si>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</si>
  <si>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</si>
  <si>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</si>
  <si>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</si>
  <si>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</si>
  <si>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</si>
  <si>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</si>
  <si>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</si>
  <si>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</si>
  <si>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</si>
  <si>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</si>
  <si>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</si>
  <si>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</si>
  <si>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</si>
  <si>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</si>
  <si>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</si>
  <si>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</si>
  <si>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</si>
  <si>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</si>
  <si>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</si>
  <si>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</si>
  <si>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</si>
  <si>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</si>
  <si>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</si>
  <si>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</si>
  <si>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</si>
  <si>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</si>
  <si>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</si>
  <si>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</si>
  <si>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</si>
  <si>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</si>
  <si>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</si>
  <si>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</si>
  <si>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</si>
  <si>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</si>
  <si>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</si>
  <si>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</si>
  <si>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</si>
  <si>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</si>
  <si>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</si>
  <si>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</si>
  <si>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</si>
  <si>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</si>
  <si>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</si>
  <si>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</si>
  <si>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</si>
  <si>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</si>
  <si>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</si>
  <si>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</si>
  <si>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</si>
  <si>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</si>
  <si>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</si>
  <si>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</si>
  <si>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</si>
  <si>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</si>
  <si>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</si>
  <si>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</si>
  <si>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</si>
  <si>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</si>
  <si>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</si>
  <si>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</si>
  <si>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</si>
  <si>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</si>
  <si>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</si>
  <si>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</si>
  <si>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</si>
  <si>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</si>
  <si>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</si>
  <si>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</si>
  <si>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</si>
  <si>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</si>
  <si>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</si>
  <si>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</si>
  <si>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</si>
  <si>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</si>
  <si>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</si>
  <si>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</si>
  <si>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</si>
  <si>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</si>
  <si>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</si>
  <si>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</si>
  <si>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</si>
  <si>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</si>
  <si>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</si>
  <si>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</si>
  <si>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</si>
  <si>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</si>
  <si>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</si>
  <si>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</si>
  <si>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</si>
  <si>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</si>
  <si>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</si>
  <si>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</si>
  <si>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</si>
  <si>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</si>
  <si>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</si>
  <si>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</si>
  <si>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</si>
  <si>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</si>
  <si>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</si>
  <si>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</si>
  <si>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</si>
  <si>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</si>
  <si>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</si>
  <si>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</si>
  <si>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</si>
  <si>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</si>
  <si>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</si>
  <si>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</si>
  <si>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</si>
  <si>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</si>
  <si>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</si>
  <si>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</si>
  <si>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</si>
  <si>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</si>
  <si>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</si>
  <si>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</si>
  <si>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</si>
  <si>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</si>
  <si>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</si>
  <si>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</si>
  <si>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</si>
  <si>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</si>
  <si>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</si>
  <si>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</si>
  <si>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</si>
  <si>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</si>
  <si>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</si>
  <si>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</si>
  <si>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</si>
  <si>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</si>
  <si>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</si>
  <si>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</si>
  <si>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</si>
  <si>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</si>
  <si>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</si>
  <si>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</si>
  <si>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</si>
  <si>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</si>
  <si>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</si>
  <si>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</si>
  <si>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</si>
  <si>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</si>
  <si>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</si>
  <si>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</si>
  <si>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</si>
  <si>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</si>
  <si>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</si>
  <si>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</si>
  <si>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</si>
  <si>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</si>
  <si>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</si>
  <si>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</si>
  <si>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</si>
  <si>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</si>
  <si>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</si>
  <si>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</si>
  <si>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</si>
  <si>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</si>
  <si>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</si>
  <si>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</si>
  <si>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</si>
  <si>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</si>
  <si>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</si>
  <si>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</si>
  <si>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</si>
  <si>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</si>
  <si>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</si>
  <si>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</si>
  <si>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</si>
  <si>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</si>
  <si>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</si>
  <si>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</si>
  <si>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</si>
  <si>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</si>
  <si>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</si>
  <si>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</si>
  <si>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</si>
  <si>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</si>
  <si>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</si>
  <si>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</si>
  <si>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</si>
  <si>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</si>
  <si>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</si>
  <si>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</si>
  <si>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</si>
  <si>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</si>
  <si>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</si>
  <si>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</si>
  <si>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</si>
  <si>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</si>
  <si>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</si>
  <si>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</si>
  <si>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</si>
  <si>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</si>
  <si>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</si>
  <si>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</si>
  <si>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</si>
  <si>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</si>
  <si>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</si>
  <si>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</si>
  <si>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</si>
  <si>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</si>
  <si>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</si>
  <si>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</si>
  <si>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</si>
  <si>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</si>
  <si>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</si>
  <si>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</si>
  <si>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</si>
  <si>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</si>
  <si>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</si>
  <si>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</si>
  <si>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</si>
  <si>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</si>
  <si>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</si>
  <si>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</si>
  <si>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</si>
  <si>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</si>
  <si>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</si>
  <si>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</si>
  <si>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</si>
  <si>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</si>
  <si>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</si>
  <si>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</si>
  <si>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</si>
  <si>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</si>
  <si>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</si>
  <si>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</si>
  <si>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</si>
  <si>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</si>
  <si>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</si>
  <si>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</si>
  <si>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</si>
  <si>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</si>
  <si>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</si>
  <si>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</si>
  <si>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</si>
  <si>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</si>
  <si>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</si>
  <si>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</si>
  <si>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</si>
  <si>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</si>
  <si>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</si>
  <si>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</si>
  <si>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</si>
  <si>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</si>
  <si>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</si>
  <si>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</si>
  <si>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</si>
  <si>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</si>
  <si>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</si>
  <si>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</si>
  <si>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</si>
  <si>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</si>
  <si>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</si>
  <si>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</si>
  <si>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</si>
  <si>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</si>
  <si>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</si>
  <si>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</si>
  <si>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</si>
  <si>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</si>
  <si>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</si>
  <si>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</si>
  <si>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</si>
  <si>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</si>
  <si>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</si>
  <si>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</si>
  <si>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</si>
  <si>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</si>
  <si>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</si>
  <si>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</si>
  <si>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</si>
  <si>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</si>
  <si>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</si>
  <si>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</si>
  <si>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</si>
  <si>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</si>
  <si>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</si>
  <si>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</si>
  <si>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</si>
  <si>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</si>
  <si>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</si>
  <si>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</si>
  <si>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</si>
  <si>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</si>
  <si>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</si>
  <si>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</si>
  <si>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</si>
  <si>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</si>
  <si>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</si>
  <si>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</si>
  <si>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</si>
  <si>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</si>
  <si>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</si>
  <si>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</si>
  <si>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</si>
  <si>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</si>
  <si>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</si>
  <si>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</si>
  <si>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</si>
  <si>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</si>
  <si>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</si>
  <si>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</si>
  <si>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</si>
  <si>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</si>
  <si>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</si>
  <si>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</si>
  <si>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</si>
  <si>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</si>
  <si>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</si>
  <si>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</si>
  <si>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</si>
  <si>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</si>
  <si>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</si>
  <si>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</si>
  <si>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</si>
  <si>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</si>
  <si>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</si>
  <si>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</si>
  <si>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</si>
  <si>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</si>
  <si>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</si>
  <si>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</si>
  <si>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</si>
  <si>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</si>
  <si>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</si>
  <si>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</si>
  <si>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</si>
  <si>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</si>
  <si>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</si>
  <si>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</si>
  <si>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</si>
  <si>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</si>
  <si>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</si>
  <si>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</si>
  <si>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</si>
  <si>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</si>
  <si>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</si>
  <si>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</si>
  <si>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</si>
  <si>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</si>
  <si>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</si>
  <si>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</si>
  <si>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</si>
  <si>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</si>
  <si>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</si>
  <si>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</si>
  <si>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</si>
  <si>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</si>
  <si>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</si>
  <si>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</si>
  <si>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</si>
  <si>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</si>
  <si>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</si>
  <si>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</si>
  <si>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</si>
  <si>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</si>
  <si>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</si>
  <si>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</si>
  <si>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</si>
  <si>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</si>
  <si>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</si>
  <si>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</si>
  <si>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</si>
  <si>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</si>
  <si>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</si>
  <si>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</si>
  <si>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</si>
  <si>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</si>
  <si>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</si>
  <si>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</si>
  <si>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</si>
  <si>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</si>
  <si>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</si>
  <si>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</si>
  <si>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</si>
  <si>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</si>
  <si>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</si>
  <si>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</si>
  <si>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</si>
  <si>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</si>
  <si>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</si>
  <si>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</si>
  <si>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</si>
  <si>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</si>
  <si>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</si>
  <si>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</si>
  <si>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</si>
  <si>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</si>
  <si>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</si>
  <si>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</si>
  <si>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</si>
  <si>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</si>
  <si>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</si>
  <si>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</si>
  <si>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</si>
  <si>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</si>
  <si>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</si>
  <si>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</si>
  <si>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</si>
  <si>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</si>
  <si>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</si>
  <si>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</si>
  <si>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</si>
  <si>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</si>
  <si>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</si>
  <si>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</si>
  <si>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</si>
  <si>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</si>
  <si>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</si>
  <si>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</si>
  <si>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</si>
  <si>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</si>
  <si>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</si>
  <si>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</si>
  <si>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</si>
  <si>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</si>
  <si>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</si>
  <si>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</si>
  <si>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</si>
  <si>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</si>
  <si>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</si>
  <si>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</si>
  <si>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</si>
  <si>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</si>
  <si>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</si>
  <si>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</si>
  <si>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</si>
  <si>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</si>
  <si>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</si>
  <si>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</si>
  <si>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</si>
  <si>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</si>
  <si>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</si>
  <si>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</si>
  <si>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</si>
  <si>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</si>
  <si>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</si>
  <si>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</si>
  <si>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</si>
  <si>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</si>
  <si>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</si>
  <si>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</si>
  <si>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</si>
  <si>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</si>
  <si>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</si>
  <si>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</si>
  <si>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</si>
  <si>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</si>
  <si>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</si>
  <si>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</si>
  <si>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</si>
  <si>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</si>
  <si>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</si>
  <si>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</si>
  <si>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</si>
  <si>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</si>
  <si>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</si>
  <si>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</si>
  <si>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</si>
  <si>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</si>
  <si>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</si>
  <si>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</si>
  <si>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</si>
  <si>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</si>
  <si>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</si>
  <si>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</si>
  <si>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</si>
  <si>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</si>
  <si>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</si>
  <si>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</si>
  <si>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</si>
  <si>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</si>
  <si>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</si>
  <si>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</si>
  <si>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</si>
  <si>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</si>
  <si>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</si>
  <si>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</si>
  <si>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</si>
  <si>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</si>
  <si>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</si>
  <si>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</si>
  <si>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</si>
  <si>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</si>
  <si>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</si>
  <si>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</si>
  <si>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</si>
  <si>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</si>
  <si>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</si>
  <si>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</si>
  <si>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</si>
  <si>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</si>
  <si>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</si>
  <si>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</si>
  <si>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</si>
  <si>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</si>
  <si>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</si>
  <si>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</si>
  <si>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</si>
  <si>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</si>
  <si>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</si>
  <si>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</si>
  <si>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</si>
  <si>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</si>
  <si>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</si>
  <si>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</si>
  <si>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</si>
  <si>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</si>
  <si>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</si>
  <si>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</si>
  <si>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</si>
  <si>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</si>
  <si>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</si>
  <si>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</si>
  <si>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</si>
  <si>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</si>
  <si>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</si>
  <si>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</si>
  <si>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</si>
  <si>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</si>
  <si>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</si>
  <si>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</si>
  <si>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</si>
  <si>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</si>
  <si>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</si>
  <si>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</si>
  <si>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</si>
  <si>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</si>
  <si>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</si>
  <si>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</si>
  <si>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</si>
  <si>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</si>
  <si>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</si>
  <si>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</si>
  <si>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</si>
  <si>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</si>
  <si>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</si>
  <si>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</si>
  <si>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</si>
  <si>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</si>
  <si>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</si>
  <si>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</si>
  <si>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</si>
  <si>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</si>
  <si>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</si>
  <si>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</si>
  <si>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</si>
  <si>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</si>
  <si>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</si>
  <si>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</si>
  <si>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</si>
  <si>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</si>
  <si>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</si>
  <si>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</si>
  <si>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</si>
  <si>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</si>
  <si>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</si>
  <si>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</si>
  <si>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</si>
  <si>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</si>
  <si>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</si>
  <si>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</si>
  <si>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</si>
  <si>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</si>
  <si>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</si>
  <si>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</si>
  <si>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</si>
  <si>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</si>
  <si>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</si>
  <si>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</si>
  <si>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</si>
  <si>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</si>
  <si>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</si>
  <si>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</si>
  <si>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</si>
  <si>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</si>
  <si>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</si>
  <si>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</si>
  <si>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</si>
  <si>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</si>
  <si>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</si>
  <si>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</si>
  <si>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</si>
  <si>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</si>
  <si>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</si>
  <si>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</si>
  <si>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</si>
  <si>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</si>
  <si>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</si>
  <si>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</si>
  <si>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</si>
  <si>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</si>
  <si>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</si>
  <si>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</si>
  <si>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</si>
  <si>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</si>
  <si>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</si>
  <si>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</si>
  <si>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</si>
  <si>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</si>
  <si>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</si>
  <si>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</si>
  <si>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</si>
  <si>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</si>
  <si>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</si>
  <si>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</si>
  <si>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</si>
  <si>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</si>
  <si>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</si>
  <si>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</si>
  <si>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</si>
  <si>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</si>
  <si>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</si>
  <si>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</si>
  <si>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</si>
  <si>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</si>
  <si>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</si>
  <si>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</si>
  <si>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</si>
  <si>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</si>
  <si>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</si>
  <si>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</si>
  <si>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</si>
  <si>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</si>
  <si>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</si>
  <si>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</si>
  <si>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</si>
  <si>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</si>
  <si>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</si>
  <si>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</si>
  <si>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</si>
  <si>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</si>
  <si>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</si>
  <si>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</si>
  <si>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</si>
  <si>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</si>
  <si>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</si>
  <si>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</si>
  <si>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</si>
  <si>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</si>
  <si>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</si>
  <si>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</si>
  <si>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</si>
  <si>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</si>
  <si>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</si>
  <si>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</si>
  <si>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</si>
  <si>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</si>
  <si>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</si>
  <si>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</si>
  <si>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</si>
  <si>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</si>
  <si>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</si>
  <si>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</si>
  <si>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</si>
  <si>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</si>
  <si>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</si>
  <si>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</si>
  <si>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</si>
  <si>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</si>
  <si>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</si>
  <si>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</si>
  <si>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</si>
  <si>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</si>
  <si>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</si>
  <si>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</si>
  <si>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</si>
  <si>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</si>
  <si>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</si>
  <si>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</si>
  <si>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</si>
  <si>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</si>
  <si>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</si>
  <si>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</si>
  <si>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</si>
  <si>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</si>
  <si>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</si>
  <si>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</si>
  <si>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</si>
  <si>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</si>
  <si>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</si>
  <si>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</si>
  <si>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</si>
  <si>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</si>
  <si>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</si>
  <si>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</si>
  <si>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</si>
  <si>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</si>
  <si>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</si>
  <si>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</si>
  <si>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</si>
  <si>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</si>
  <si>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</si>
  <si>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</si>
  <si>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</si>
  <si>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</si>
  <si>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</si>
  <si>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</si>
  <si>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</si>
  <si>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</si>
  <si>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</si>
  <si>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</si>
  <si>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</si>
  <si>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</si>
  <si>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</si>
  <si>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</si>
  <si>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</si>
  <si>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</si>
  <si>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</si>
  <si>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</si>
  <si>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</si>
  <si>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</si>
  <si>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</si>
  <si>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</si>
  <si>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</si>
  <si>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</si>
  <si>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</si>
  <si>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</si>
  <si>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</si>
  <si>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</si>
  <si>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</si>
  <si>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</si>
  <si>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</si>
  <si>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</si>
  <si>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</si>
  <si>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</si>
  <si>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</si>
  <si>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</si>
  <si>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</si>
  <si>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</si>
  <si>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</si>
  <si>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</si>
  <si>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</si>
  <si>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</si>
  <si>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</si>
  <si>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</si>
  <si>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</si>
  <si>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</si>
  <si>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</si>
  <si>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</si>
  <si>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</si>
  <si>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</si>
  <si>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</si>
  <si>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</si>
  <si>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</si>
  <si>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</si>
  <si>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</si>
  <si>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</si>
  <si>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</si>
  <si>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</si>
  <si>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</si>
  <si>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</si>
  <si>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</si>
  <si>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</si>
  <si>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</si>
  <si>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</si>
  <si>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</si>
  <si>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</si>
  <si>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</si>
  <si>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</si>
  <si>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</si>
  <si>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</si>
  <si>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</si>
  <si>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</si>
  <si>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</si>
  <si>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</si>
  <si>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</si>
  <si>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</si>
  <si>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</si>
  <si>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</si>
  <si>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</si>
  <si>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</si>
  <si>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</si>
  <si>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</si>
  <si>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</si>
  <si>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</si>
  <si>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</si>
  <si>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</si>
  <si>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</si>
  <si>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</si>
  <si>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</si>
  <si>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</si>
  <si>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</si>
  <si>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</si>
  <si>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</si>
  <si>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</si>
  <si>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</si>
  <si>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</si>
  <si>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</si>
  <si>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</si>
  <si>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</si>
  <si>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</si>
  <si>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</si>
  <si>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</si>
  <si>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</si>
  <si>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</si>
  <si>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</si>
  <si>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</si>
  <si>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</si>
  <si>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</si>
  <si>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</si>
  <si>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</si>
  <si>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</si>
  <si>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</si>
  <si>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</si>
  <si>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</si>
  <si>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</si>
  <si>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</si>
  <si>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</si>
  <si>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</si>
  <si>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</si>
  <si>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</si>
  <si>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</si>
  <si>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</si>
  <si>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</si>
  <si>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</si>
  <si>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</si>
  <si>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</si>
  <si>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</si>
  <si>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</si>
  <si>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</si>
  <si>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</si>
  <si>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</si>
  <si>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</si>
  <si>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</si>
  <si>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</si>
  <si>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</si>
  <si>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</si>
  <si>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</si>
  <si>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</si>
  <si>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</si>
  <si>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</si>
  <si>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</si>
  <si>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</si>
  <si>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</si>
  <si>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</si>
  <si>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</si>
  <si>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</si>
  <si>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</si>
  <si>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</si>
  <si>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</si>
  <si>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</si>
  <si>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</si>
  <si>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</si>
  <si>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</si>
  <si>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</si>
  <si>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</si>
  <si>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</si>
  <si>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</si>
  <si>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</si>
  <si>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</si>
  <si>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</si>
  <si>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</si>
  <si>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</si>
  <si>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</si>
  <si>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</si>
  <si>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</si>
  <si>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</si>
  <si>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</si>
  <si>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</si>
  <si>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</si>
  <si>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</si>
  <si>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</si>
  <si>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</si>
  <si>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</si>
  <si>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</si>
  <si>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</si>
  <si>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</si>
  <si>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</si>
  <si>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</si>
  <si>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</si>
  <si>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</si>
  <si>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</si>
  <si>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</si>
  <si>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</si>
  <si>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</si>
  <si>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</si>
  <si>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</si>
  <si>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</si>
  <si>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</si>
  <si>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</si>
  <si>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</si>
  <si>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</si>
  <si>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</si>
  <si>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</si>
  <si>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</si>
  <si>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</si>
  <si>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</si>
  <si>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</si>
  <si>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</si>
  <si>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</si>
  <si>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</si>
  <si>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</si>
  <si>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</si>
  <si>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</si>
  <si>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</si>
  <si>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</si>
  <si>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</si>
  <si>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</si>
  <si>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</si>
  <si>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</si>
  <si>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</si>
  <si>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</si>
  <si>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</si>
  <si>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</si>
  <si>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</si>
  <si>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</si>
  <si>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</si>
  <si>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</si>
  <si>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</si>
  <si>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</si>
  <si>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</si>
  <si>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</si>
  <si>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</si>
  <si>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</si>
  <si>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</si>
  <si>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</si>
  <si>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</si>
  <si>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</si>
  <si>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</si>
  <si>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</si>
  <si>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</si>
  <si>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</si>
  <si>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</si>
  <si>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</si>
  <si>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</si>
  <si>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</si>
  <si>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</si>
  <si>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</si>
  <si>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</si>
  <si>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</si>
  <si>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</si>
  <si>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</si>
  <si>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</si>
  <si>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</si>
  <si>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</si>
  <si>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</si>
  <si>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</si>
  <si>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</si>
  <si>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</si>
  <si>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</si>
  <si>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</si>
  <si>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</si>
  <si>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</si>
  <si>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</si>
  <si>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</si>
  <si>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</si>
  <si>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</si>
  <si>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</si>
  <si>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</si>
  <si>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</si>
  <si>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</si>
  <si>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</si>
  <si>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</si>
  <si>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</si>
  <si>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</si>
  <si>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</si>
  <si>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</si>
  <si>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</si>
  <si>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</si>
  <si>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</si>
  <si>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</si>
  <si>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</si>
  <si>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</si>
  <si>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</si>
  <si>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</si>
  <si>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</si>
  <si>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</si>
  <si>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</si>
  <si>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</si>
  <si>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</si>
  <si>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</si>
  <si>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</si>
  <si>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</si>
  <si>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</si>
  <si>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</si>
  <si>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</si>
  <si>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</si>
  <si>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</si>
  <si>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</si>
  <si>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</si>
  <si>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</si>
  <si>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</si>
  <si>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</si>
  <si>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</si>
  <si>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</si>
  <si>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</si>
  <si>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</si>
  <si>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</si>
  <si>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</si>
  <si>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</si>
  <si>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</si>
  <si>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</si>
  <si>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</si>
  <si>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</si>
  <si>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</si>
  <si>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</si>
  <si>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</si>
  <si>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</si>
  <si>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</si>
  <si>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</si>
  <si>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</si>
  <si>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</si>
  <si>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</si>
  <si>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</si>
  <si>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</si>
  <si>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</si>
  <si>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</si>
  <si>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</si>
  <si>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</si>
  <si>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</si>
  <si>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</si>
  <si>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</si>
  <si>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</si>
  <si>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</si>
  <si>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</si>
  <si>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</si>
  <si>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</si>
  <si>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</si>
  <si>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</si>
  <si>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</si>
  <si>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</si>
  <si>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</si>
  <si>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</si>
  <si>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</si>
  <si>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</si>
  <si>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</si>
  <si>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</si>
  <si>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</si>
  <si>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</si>
  <si>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</si>
  <si>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</si>
  <si>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</si>
  <si>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</si>
  <si>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</si>
  <si>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</si>
  <si>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</si>
  <si>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</si>
  <si>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</si>
  <si>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</si>
  <si>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</si>
  <si>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</si>
  <si>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</si>
  <si>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</si>
  <si>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</si>
  <si>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</si>
  <si>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</si>
  <si>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</si>
  <si>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</si>
  <si>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</si>
  <si>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</si>
  <si>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</si>
  <si>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</si>
  <si>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</si>
  <si>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</si>
  <si>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</si>
  <si>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</si>
  <si>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</si>
  <si>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</si>
  <si>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</si>
  <si>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</si>
  <si>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</si>
  <si>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</si>
  <si>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</si>
  <si>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</si>
  <si>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</si>
  <si>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</si>
  <si>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</si>
  <si>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</si>
  <si>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</si>
  <si>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</si>
  <si>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</si>
  <si>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</si>
  <si>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</si>
  <si>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</si>
  <si>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</si>
  <si>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</si>
  <si>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</si>
  <si>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</si>
  <si>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</si>
  <si>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</si>
  <si>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</si>
  <si>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</si>
  <si>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</si>
  <si>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</si>
  <si>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</si>
  <si>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</si>
  <si>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</si>
  <si>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</si>
  <si>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</si>
  <si>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</si>
  <si>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</si>
  <si>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</si>
  <si>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</si>
  <si>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</si>
  <si>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</si>
  <si>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</si>
  <si>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</si>
  <si>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</si>
  <si>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</si>
  <si>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</si>
  <si>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</si>
  <si>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</si>
  <si>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</si>
  <si>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</si>
  <si>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</si>
  <si>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</si>
  <si>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</si>
  <si>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</si>
  <si>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</si>
  <si>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</si>
  <si>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</si>
  <si>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</si>
  <si>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</si>
  <si>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</si>
  <si>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</si>
  <si>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</si>
  <si>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</si>
  <si>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</si>
  <si>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</si>
  <si>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</si>
  <si>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</si>
  <si>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</si>
  <si>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</si>
  <si>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</si>
  <si>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</si>
  <si>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</si>
  <si>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</si>
  <si>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</si>
  <si>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</si>
  <si>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</si>
  <si>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</si>
  <si>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</si>
  <si>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</si>
  <si>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</si>
  <si>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</si>
  <si>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</si>
  <si>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</si>
  <si>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</si>
  <si>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</si>
  <si>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</si>
  <si>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</si>
  <si>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</si>
  <si>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</si>
  <si>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</si>
  <si>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</si>
  <si>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</si>
  <si>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</si>
  <si>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</si>
  <si>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</si>
  <si>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</si>
  <si>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</si>
  <si>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</si>
  <si>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</si>
  <si>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</si>
  <si>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</si>
  <si>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</si>
  <si>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</si>
  <si>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</si>
  <si>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</si>
  <si>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</si>
  <si>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</si>
  <si>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</si>
  <si>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</si>
  <si>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</si>
  <si>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</si>
  <si>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</si>
  <si>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</si>
  <si>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</si>
  <si>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</si>
  <si>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</si>
  <si>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</si>
  <si>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</si>
  <si>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</si>
  <si>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</si>
  <si>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</si>
  <si>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</si>
  <si>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</si>
  <si>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</si>
  <si>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</si>
  <si>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</si>
  <si>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</si>
  <si>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</si>
  <si>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</si>
  <si>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</si>
  <si>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</si>
  <si>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</si>
  <si>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</si>
  <si>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</si>
  <si>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</si>
  <si>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</si>
  <si>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</si>
  <si>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</si>
  <si>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</si>
  <si>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</si>
  <si>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</si>
  <si>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</si>
  <si>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</si>
  <si>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</si>
  <si>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</si>
  <si>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</si>
  <si>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</si>
  <si>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</si>
  <si>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</si>
  <si>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</si>
  <si>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</si>
  <si>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</si>
  <si>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</si>
  <si>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</si>
  <si>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</si>
  <si>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</si>
  <si>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</si>
  <si>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</si>
  <si>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</si>
  <si>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</si>
  <si>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</si>
  <si>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</si>
  <si>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</si>
  <si>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</si>
  <si>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</si>
  <si>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</si>
  <si>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</si>
  <si>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</si>
  <si>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</si>
  <si>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</si>
  <si>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</si>
  <si>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</si>
  <si>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</si>
  <si>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</si>
  <si>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</si>
  <si>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</si>
  <si>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</si>
  <si>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</si>
  <si>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</si>
  <si>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</si>
  <si>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</si>
  <si>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</si>
  <si>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</si>
  <si>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</si>
  <si>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</si>
  <si>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</si>
  <si>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</si>
  <si>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</si>
  <si>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</si>
  <si>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</si>
  <si>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</si>
  <si>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</si>
  <si>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</si>
  <si>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</si>
  <si>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</si>
  <si>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</si>
  <si>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</si>
  <si>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</si>
  <si>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</si>
  <si>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</si>
  <si>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</si>
  <si>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</si>
  <si>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</si>
  <si>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</si>
  <si>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</si>
  <si>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</si>
  <si>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</si>
  <si>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</si>
  <si>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</si>
  <si>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</si>
  <si>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</si>
  <si>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</si>
  <si>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</si>
  <si>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</si>
  <si>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</si>
  <si>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</si>
  <si>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</si>
  <si>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</si>
  <si>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</si>
  <si>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</si>
  <si>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</si>
  <si>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</si>
  <si>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</si>
  <si>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</si>
  <si>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</si>
  <si>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</si>
  <si>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</si>
  <si>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</si>
  <si>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</si>
  <si>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</si>
  <si>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</si>
  <si>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</si>
  <si>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</si>
  <si>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</si>
  <si>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</si>
  <si>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</si>
  <si>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</si>
  <si>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</si>
  <si>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</si>
  <si>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</si>
  <si>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</si>
  <si>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</si>
  <si>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</si>
  <si>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</si>
  <si>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</si>
  <si>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</si>
  <si>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</si>
  <si>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</si>
  <si>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</si>
  <si>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</si>
  <si>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</si>
  <si>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</si>
  <si>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</si>
  <si>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</si>
  <si>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</si>
  <si>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</si>
  <si>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</si>
  <si>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</si>
  <si>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</si>
  <si>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</si>
  <si>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</si>
  <si>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</si>
  <si>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</si>
  <si>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</si>
  <si>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</si>
  <si>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</si>
  <si>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</si>
  <si>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</si>
  <si>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</si>
  <si>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</si>
  <si>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</si>
  <si>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</si>
  <si>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</si>
  <si>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</si>
  <si>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</si>
  <si>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</si>
  <si>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</si>
  <si>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</si>
  <si>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</si>
  <si>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</si>
  <si>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</si>
  <si>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</si>
  <si>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</si>
  <si>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</si>
  <si>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</si>
  <si>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</si>
  <si>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</si>
  <si>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</si>
  <si>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</si>
  <si>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</si>
  <si>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</si>
  <si>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</si>
  <si>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</si>
  <si>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</si>
  <si>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</si>
  <si>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</si>
  <si>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</si>
  <si>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</si>
  <si>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</si>
  <si>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</si>
  <si>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</si>
  <si>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</si>
  <si>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</si>
  <si>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</si>
  <si>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</si>
  <si>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</si>
  <si>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</si>
  <si>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</si>
  <si>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</si>
  <si>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</si>
  <si>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</si>
  <si>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</si>
  <si>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</si>
  <si>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</si>
  <si>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</si>
  <si>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</si>
  <si>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</si>
  <si>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</si>
  <si>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</si>
  <si>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</si>
  <si>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</si>
  <si>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</si>
  <si>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</si>
  <si>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</si>
  <si>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</si>
  <si>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</si>
  <si>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</si>
  <si>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</si>
  <si>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</si>
  <si>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</si>
  <si>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</si>
  <si>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</si>
  <si>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</si>
  <si>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</si>
  <si>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</si>
  <si>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</si>
  <si>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</si>
  <si>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</si>
  <si>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</si>
  <si>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</si>
  <si>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</si>
  <si>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</si>
  <si>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</si>
  <si>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</si>
  <si>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</si>
  <si>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</si>
  <si>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</si>
  <si>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</si>
  <si>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</si>
  <si>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</si>
  <si>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</si>
  <si>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</si>
  <si>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</si>
  <si>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</si>
  <si>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</si>
  <si>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</si>
  <si>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</si>
  <si>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</si>
  <si>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</si>
  <si>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</si>
  <si>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</si>
  <si>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</si>
  <si>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</si>
  <si>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</si>
  <si>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</si>
  <si>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</si>
  <si>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</si>
  <si>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</si>
  <si>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</si>
  <si>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</si>
  <si>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</si>
  <si>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</si>
  <si>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</si>
  <si>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</si>
  <si>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</si>
  <si>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</si>
  <si>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</si>
  <si>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</si>
  <si>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</si>
  <si>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</si>
  <si>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</si>
  <si>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</si>
  <si>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</si>
  <si>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</si>
  <si>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</si>
  <si>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</si>
  <si>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</si>
  <si>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</si>
  <si>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</si>
  <si>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</si>
  <si>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</si>
  <si>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</si>
  <si>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</si>
  <si>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</si>
  <si>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</si>
  <si>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</si>
  <si>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</si>
  <si>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</si>
  <si>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</si>
  <si>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</si>
  <si>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</si>
  <si>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</si>
  <si>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</si>
  <si>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</si>
  <si>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</si>
  <si>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</si>
  <si>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</si>
  <si>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</si>
  <si>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</si>
  <si>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</si>
  <si>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</si>
  <si>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</si>
  <si>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</si>
  <si>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</si>
  <si>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</si>
  <si>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</si>
  <si>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</si>
  <si>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</si>
  <si>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</si>
  <si>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</si>
  <si>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</si>
  <si>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</si>
  <si>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</si>
  <si>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</si>
  <si>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</si>
  <si>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</si>
  <si>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</si>
  <si>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</si>
  <si>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</si>
  <si>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</si>
  <si>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</si>
  <si>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</si>
  <si>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</si>
  <si>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</si>
  <si>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</si>
  <si>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</si>
  <si>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</si>
  <si>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</si>
  <si>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</si>
  <si>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</si>
  <si>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</si>
  <si>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</si>
  <si>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</si>
  <si>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</si>
  <si>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</si>
  <si>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</si>
  <si>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</si>
  <si>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</si>
  <si>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</si>
  <si>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</si>
  <si>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</si>
  <si>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</si>
  <si>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</si>
  <si>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</si>
  <si>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</si>
  <si>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</si>
  <si>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</si>
  <si>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</si>
  <si>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</si>
  <si>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</si>
  <si>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</si>
  <si>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</si>
  <si>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</si>
  <si>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</si>
  <si>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</si>
  <si>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</si>
  <si>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</si>
  <si>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</si>
  <si>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</si>
  <si>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</si>
  <si>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</si>
  <si>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</si>
  <si>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</si>
  <si>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</si>
  <si>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</si>
  <si>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</si>
  <si>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</si>
  <si>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</si>
  <si>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</si>
  <si>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</si>
  <si>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</si>
  <si>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</si>
  <si>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</si>
  <si>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出让</t>
  </si>
  <si>
    <t>抵押</t>
  </si>
  <si>
    <t>房地产抵押价值</t>
  </si>
  <si>
    <t>是</t>
  </si>
  <si>
    <t>地上</t>
  </si>
  <si>
    <t>办公</t>
    <phoneticPr fontId="8" type="noConversion"/>
  </si>
  <si>
    <t>成新度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</si>
  <si>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</si>
  <si>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</si>
  <si>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</si>
  <si>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</si>
  <si>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</si>
  <si>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</si>
  <si>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</si>
  <si>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</si>
  <si>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</si>
  <si>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</si>
  <si>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</si>
  <si>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</si>
  <si>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</si>
  <si>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寿光市化龙镇潍高路以北、王钦河以东</t>
  </si>
  <si>
    <t>潍坊市</t>
  </si>
  <si>
    <t>商业/办公用地</t>
  </si>
  <si>
    <t>小于或等于1.8</t>
  </si>
  <si>
    <t>挂牌</t>
  </si>
  <si>
    <t>2018-09-15</t>
  </si>
  <si>
    <t>寿光市渤海工贸有限公司</t>
  </si>
  <si>
    <t>寿光市刘旺街以南、永安路以西</t>
  </si>
  <si>
    <t>小于或等于2.5</t>
  </si>
  <si>
    <t>2018-05-27</t>
  </si>
  <si>
    <t>寿光市圣北机动车检测有限公司</t>
  </si>
  <si>
    <t>寿光市黄海路以西、李二庄村以南</t>
  </si>
  <si>
    <t>小于或等于1</t>
  </si>
  <si>
    <t>2018-04-12</t>
  </si>
  <si>
    <t>寿光晨鸣工业物流有限公司</t>
  </si>
  <si>
    <t>寿光市营里镇新海路以北、羊临路以西</t>
  </si>
  <si>
    <t>2018-03-08</t>
  </si>
  <si>
    <t>潍坊西能宝泉天然气有限公司</t>
  </si>
  <si>
    <t>寿光市银海路以东、广场街以南</t>
  </si>
  <si>
    <t>2018-02-07</t>
  </si>
  <si>
    <t>山东东宇工贸集团股份有限公司</t>
  </si>
  <si>
    <t>寿光市洛兴街以北、豪源路以西</t>
  </si>
  <si>
    <t>小于或等于1.1</t>
  </si>
  <si>
    <t>2018-01-29</t>
  </si>
  <si>
    <t>寿光中南房地产开发有限公司</t>
  </si>
  <si>
    <t>寿光市元丰街以南、规划路以西</t>
  </si>
  <si>
    <t>2017-10-18</t>
  </si>
  <si>
    <t>寿光燎东置业有限公司</t>
  </si>
  <si>
    <t>寿光市新兴街以北、北海路以东</t>
  </si>
  <si>
    <t>小于或等于3.5</t>
  </si>
  <si>
    <t>2017-08-13</t>
  </si>
  <si>
    <t>山东现代实业集团置业有限公司</t>
  </si>
  <si>
    <t>寿光市营里镇新海路以南、羊临路以西</t>
  </si>
  <si>
    <t>2017-07-20</t>
  </si>
  <si>
    <t>潍坊胜利天然气有限公司</t>
  </si>
  <si>
    <t>寿光市德寿街以南、菜都路以西</t>
  </si>
  <si>
    <t>2017-06-26</t>
  </si>
  <si>
    <t>寿光市顺达机动车检测有限公司</t>
  </si>
  <si>
    <t>寿光市侯镇新海路以北、大九路以东</t>
  </si>
  <si>
    <t>寿光市东方加油站</t>
  </si>
  <si>
    <t>寿光市广场街以南、银海路以东</t>
  </si>
  <si>
    <t>小于或等于2</t>
  </si>
  <si>
    <t>2017-02-24</t>
  </si>
  <si>
    <t>寿光市羊口镇羊田路以西、宅科五村采矿用地以北</t>
  </si>
  <si>
    <t>大于或等于1并且小于或等于2</t>
  </si>
  <si>
    <t>2017-01-23</t>
  </si>
  <si>
    <t>山东寿光鲁清石化物流有限公司</t>
  </si>
  <si>
    <t>寿光市古城街道北环路以南、幸福路以东</t>
  </si>
  <si>
    <t>山东寿光鲁清石化物流服务有限公司</t>
  </si>
  <si>
    <t>寿光市羊口镇安全街以东、建设路以北、健康街以西</t>
  </si>
  <si>
    <t>2016-12-29</t>
  </si>
  <si>
    <t>寿光市宏景城镇建设投资有限公司</t>
  </si>
  <si>
    <t>办公</t>
    <phoneticPr fontId="32" type="noConversion"/>
  </si>
  <si>
    <t>正常</t>
  </si>
  <si>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</si>
  <si>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</si>
  <si>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</si>
  <si>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</si>
  <si>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</si>
  <si>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</si>
  <si>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</si>
  <si>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</si>
  <si>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</si>
  <si>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</si>
  <si>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</si>
  <si>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</si>
  <si>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</si>
  <si>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</si>
  <si>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</si>
  <si>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</si>
  <si>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</si>
  <si>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</si>
  <si>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五通一平</t>
  </si>
  <si>
    <t>三通一平</t>
  </si>
  <si>
    <t>一般</t>
  </si>
  <si>
    <t>较好</t>
  </si>
  <si>
    <t>七通</t>
  </si>
  <si>
    <t>多面临街</t>
  </si>
  <si>
    <t>未包含在土地购买价格中</t>
  </si>
  <si>
    <t>已包含在土地取得成本中</t>
  </si>
  <si>
    <t>收益法</t>
  </si>
  <si>
    <t>按租金收入计税</t>
  </si>
  <si>
    <t>押一</t>
  </si>
  <si>
    <t>钢混</t>
  </si>
  <si>
    <t>非生产用房</t>
  </si>
  <si>
    <t>成本法</t>
  </si>
  <si>
    <t>成本比率</t>
  </si>
  <si>
    <t>交通便捷度</t>
    <phoneticPr fontId="4" type="noConversion"/>
  </si>
  <si>
    <t>土地使用年限</t>
    <phoneticPr fontId="4" type="noConversion"/>
  </si>
  <si>
    <t>土地面积</t>
    <phoneticPr fontId="4" type="noConversion"/>
  </si>
  <si>
    <t>估价对象2-1</t>
    <phoneticPr fontId="26" type="noConversion"/>
  </si>
  <si>
    <t>估价对象2-2</t>
  </si>
  <si>
    <t>估价对象2-3</t>
  </si>
  <si>
    <t>估价对象2-4</t>
  </si>
  <si>
    <t>估价对象2-5</t>
  </si>
  <si>
    <r>
      <rPr>
        <sz val="10"/>
        <color indexed="8"/>
        <rFont val="宋体"/>
        <family val="3"/>
        <charset val="134"/>
      </rPr>
      <t>估价对象</t>
    </r>
    <r>
      <rPr>
        <sz val="10"/>
        <color indexed="8"/>
        <rFont val="Arial"/>
        <family val="2"/>
      </rPr>
      <t>3-2</t>
    </r>
    <phoneticPr fontId="26" type="noConversion"/>
  </si>
  <si>
    <r>
      <rPr>
        <sz val="10"/>
        <color indexed="8"/>
        <rFont val="宋体"/>
        <family val="3"/>
        <charset val="134"/>
      </rPr>
      <t>估价对象</t>
    </r>
    <r>
      <rPr>
        <sz val="10"/>
        <color indexed="8"/>
        <rFont val="Arial"/>
        <family val="2"/>
      </rPr>
      <t>3-3</t>
    </r>
    <r>
      <rPr>
        <sz val="11"/>
        <color theme="1"/>
        <rFont val="宋体"/>
        <family val="2"/>
        <charset val="134"/>
        <scheme val="minor"/>
      </rPr>
      <t/>
    </r>
  </si>
  <si>
    <r>
      <rPr>
        <sz val="10"/>
        <color indexed="8"/>
        <rFont val="宋体"/>
        <family val="3"/>
        <charset val="134"/>
      </rPr>
      <t>估价对象</t>
    </r>
    <r>
      <rPr>
        <sz val="10"/>
        <color indexed="8"/>
        <rFont val="Arial"/>
        <family val="2"/>
      </rPr>
      <t>3-4</t>
    </r>
    <r>
      <rPr>
        <sz val="11"/>
        <color theme="1"/>
        <rFont val="宋体"/>
        <family val="2"/>
        <charset val="134"/>
        <scheme val="minor"/>
      </rPr>
      <t/>
    </r>
  </si>
  <si>
    <r>
      <rPr>
        <sz val="10"/>
        <color indexed="8"/>
        <rFont val="宋体"/>
        <family val="3"/>
        <charset val="134"/>
      </rPr>
      <t>估价对象</t>
    </r>
    <r>
      <rPr>
        <sz val="10"/>
        <color indexed="8"/>
        <rFont val="Arial"/>
        <family val="2"/>
      </rPr>
      <t>3-5</t>
    </r>
    <r>
      <rPr>
        <sz val="11"/>
        <color theme="1"/>
        <rFont val="宋体"/>
        <family val="2"/>
        <charset val="134"/>
        <scheme val="minor"/>
      </rPr>
      <t/>
    </r>
  </si>
  <si>
    <r>
      <rPr>
        <sz val="10"/>
        <color indexed="8"/>
        <rFont val="宋体"/>
        <family val="3"/>
        <charset val="134"/>
      </rPr>
      <t>估价对象</t>
    </r>
    <r>
      <rPr>
        <sz val="10"/>
        <color indexed="8"/>
        <rFont val="Arial"/>
        <family val="2"/>
      </rPr>
      <t>3-6</t>
    </r>
    <r>
      <rPr>
        <sz val="11"/>
        <color theme="1"/>
        <rFont val="宋体"/>
        <family val="2"/>
        <charset val="134"/>
        <scheme val="minor"/>
      </rPr>
      <t/>
    </r>
  </si>
  <si>
    <r>
      <rPr>
        <sz val="10"/>
        <color indexed="8"/>
        <rFont val="宋体"/>
        <family val="3"/>
        <charset val="134"/>
      </rPr>
      <t>估价对象</t>
    </r>
    <r>
      <rPr>
        <sz val="10"/>
        <color indexed="8"/>
        <rFont val="Arial"/>
        <family val="2"/>
      </rPr>
      <t>3-7</t>
    </r>
    <r>
      <rPr>
        <sz val="11"/>
        <color theme="1"/>
        <rFont val="宋体"/>
        <family val="2"/>
        <charset val="134"/>
        <scheme val="minor"/>
      </rPr>
      <t/>
    </r>
  </si>
  <si>
    <r>
      <rPr>
        <sz val="10"/>
        <color indexed="8"/>
        <rFont val="宋体"/>
        <family val="3"/>
        <charset val="134"/>
      </rPr>
      <t>估价对象</t>
    </r>
    <r>
      <rPr>
        <sz val="10"/>
        <color indexed="8"/>
        <rFont val="Arial"/>
        <family val="2"/>
      </rPr>
      <t>3-8</t>
    </r>
    <r>
      <rPr>
        <sz val="11"/>
        <color theme="1"/>
        <rFont val="宋体"/>
        <family val="2"/>
        <charset val="134"/>
        <scheme val="minor"/>
      </rPr>
      <t/>
    </r>
  </si>
  <si>
    <r>
      <rPr>
        <sz val="10"/>
        <color indexed="8"/>
        <rFont val="宋体"/>
        <family val="3"/>
        <charset val="134"/>
      </rPr>
      <t>估价对象</t>
    </r>
    <r>
      <rPr>
        <sz val="10"/>
        <color indexed="8"/>
        <rFont val="Arial"/>
        <family val="2"/>
      </rPr>
      <t>3-9</t>
    </r>
    <r>
      <rPr>
        <sz val="11"/>
        <color theme="1"/>
        <rFont val="宋体"/>
        <family val="2"/>
        <charset val="134"/>
        <scheme val="minor"/>
      </rPr>
      <t/>
    </r>
  </si>
  <si>
    <r>
      <rPr>
        <sz val="10"/>
        <color indexed="8"/>
        <rFont val="宋体"/>
        <family val="3"/>
        <charset val="134"/>
      </rPr>
      <t>估价对象</t>
    </r>
    <r>
      <rPr>
        <sz val="10"/>
        <color indexed="8"/>
        <rFont val="Arial"/>
        <family val="2"/>
      </rPr>
      <t>3-10</t>
    </r>
    <r>
      <rPr>
        <sz val="11"/>
        <color theme="1"/>
        <rFont val="宋体"/>
        <family val="2"/>
        <charset val="134"/>
        <scheme val="minor"/>
      </rPr>
      <t/>
    </r>
  </si>
  <si>
    <r>
      <rPr>
        <sz val="10"/>
        <color indexed="8"/>
        <rFont val="宋体"/>
        <family val="3"/>
        <charset val="134"/>
      </rPr>
      <t>估价对象</t>
    </r>
    <r>
      <rPr>
        <sz val="10"/>
        <color indexed="8"/>
        <rFont val="Arial"/>
        <family val="2"/>
      </rPr>
      <t>3-11</t>
    </r>
    <r>
      <rPr>
        <sz val="11"/>
        <color theme="1"/>
        <rFont val="宋体"/>
        <family val="2"/>
        <charset val="134"/>
        <scheme val="minor"/>
      </rPr>
      <t/>
    </r>
  </si>
  <si>
    <r>
      <rPr>
        <sz val="10"/>
        <color indexed="8"/>
        <rFont val="宋体"/>
        <family val="3"/>
        <charset val="134"/>
      </rPr>
      <t>估价对象</t>
    </r>
    <r>
      <rPr>
        <sz val="10"/>
        <color indexed="8"/>
        <rFont val="Arial"/>
        <family val="2"/>
      </rPr>
      <t>3-12</t>
    </r>
    <r>
      <rPr>
        <sz val="11"/>
        <color theme="1"/>
        <rFont val="宋体"/>
        <family val="2"/>
        <charset val="134"/>
        <scheme val="minor"/>
      </rPr>
      <t/>
    </r>
  </si>
  <si>
    <r>
      <rPr>
        <sz val="10"/>
        <color indexed="8"/>
        <rFont val="宋体"/>
        <family val="3"/>
        <charset val="134"/>
      </rPr>
      <t>估价对象</t>
    </r>
    <r>
      <rPr>
        <sz val="10"/>
        <color indexed="8"/>
        <rFont val="Arial"/>
        <family val="2"/>
      </rPr>
      <t>3-13</t>
    </r>
    <r>
      <rPr>
        <sz val="11"/>
        <color theme="1"/>
        <rFont val="宋体"/>
        <family val="2"/>
        <charset val="134"/>
        <scheme val="minor"/>
      </rPr>
      <t/>
    </r>
  </si>
  <si>
    <r>
      <rPr>
        <sz val="10"/>
        <color indexed="8"/>
        <rFont val="宋体"/>
        <family val="3"/>
        <charset val="134"/>
      </rPr>
      <t>估价对象</t>
    </r>
    <r>
      <rPr>
        <sz val="10"/>
        <color indexed="8"/>
        <rFont val="Arial"/>
        <family val="2"/>
      </rPr>
      <t>3-14</t>
    </r>
    <r>
      <rPr>
        <sz val="11"/>
        <color theme="1"/>
        <rFont val="宋体"/>
        <family val="2"/>
        <charset val="134"/>
        <scheme val="minor"/>
      </rPr>
      <t/>
    </r>
  </si>
  <si>
    <r>
      <rPr>
        <sz val="10"/>
        <color indexed="8"/>
        <rFont val="宋体"/>
        <family val="3"/>
        <charset val="134"/>
      </rPr>
      <t>估价对象</t>
    </r>
    <r>
      <rPr>
        <sz val="10"/>
        <color indexed="8"/>
        <rFont val="Arial"/>
        <family val="2"/>
      </rPr>
      <t>3-15</t>
    </r>
    <r>
      <rPr>
        <sz val="11"/>
        <color theme="1"/>
        <rFont val="宋体"/>
        <family val="2"/>
        <charset val="134"/>
        <scheme val="minor"/>
      </rPr>
      <t/>
    </r>
  </si>
  <si>
    <t>办公集聚程度</t>
    <phoneticPr fontId="4" type="noConversion"/>
  </si>
  <si>
    <t>10000（含）以上</t>
  </si>
  <si>
    <t>4000（含）-5000</t>
  </si>
  <si>
    <t>1000（含）-2000</t>
  </si>
  <si>
    <t>0（含）-1000</t>
  </si>
  <si>
    <t>2000（含）-3000</t>
  </si>
  <si>
    <t>3000（含）-4000</t>
  </si>
  <si>
    <r>
      <t>K</t>
    </r>
    <r>
      <rPr>
        <sz val="11"/>
        <color theme="1"/>
        <rFont val="宋体"/>
        <family val="3"/>
        <charset val="134"/>
        <scheme val="minor"/>
      </rPr>
      <t>1</t>
    </r>
    <phoneticPr fontId="144" type="noConversion"/>
  </si>
  <si>
    <r>
      <t>K</t>
    </r>
    <r>
      <rPr>
        <sz val="11"/>
        <color theme="1"/>
        <rFont val="宋体"/>
        <family val="3"/>
        <charset val="134"/>
        <scheme val="minor"/>
      </rPr>
      <t>2</t>
    </r>
    <r>
      <rPr>
        <sz val="11"/>
        <color theme="1"/>
        <rFont val="宋体"/>
        <family val="2"/>
        <charset val="134"/>
        <scheme val="minor"/>
      </rPr>
      <t/>
    </r>
  </si>
  <si>
    <r>
      <t>K</t>
    </r>
    <r>
      <rPr>
        <sz val="11"/>
        <color theme="1"/>
        <rFont val="宋体"/>
        <family val="3"/>
        <charset val="134"/>
        <scheme val="minor"/>
      </rPr>
      <t>3</t>
    </r>
    <r>
      <rPr>
        <sz val="11"/>
        <color theme="1"/>
        <rFont val="宋体"/>
        <family val="2"/>
        <charset val="134"/>
        <scheme val="minor"/>
      </rPr>
      <t/>
    </r>
  </si>
  <si>
    <r>
      <t>K</t>
    </r>
    <r>
      <rPr>
        <sz val="11"/>
        <color theme="1"/>
        <rFont val="宋体"/>
        <family val="3"/>
        <charset val="134"/>
        <scheme val="minor"/>
      </rPr>
      <t>4</t>
    </r>
    <r>
      <rPr>
        <sz val="11"/>
        <color theme="1"/>
        <rFont val="宋体"/>
        <family val="2"/>
        <charset val="134"/>
        <scheme val="minor"/>
      </rPr>
      <t/>
    </r>
  </si>
  <si>
    <r>
      <t>K</t>
    </r>
    <r>
      <rPr>
        <sz val="11"/>
        <color theme="1"/>
        <rFont val="宋体"/>
        <family val="3"/>
        <charset val="134"/>
        <scheme val="minor"/>
      </rPr>
      <t>5</t>
    </r>
    <r>
      <rPr>
        <sz val="11"/>
        <color theme="1"/>
        <rFont val="宋体"/>
        <family val="2"/>
        <charset val="134"/>
        <scheme val="minor"/>
      </rPr>
      <t/>
    </r>
  </si>
  <si>
    <r>
      <t>K</t>
    </r>
    <r>
      <rPr>
        <sz val="11"/>
        <color theme="1"/>
        <rFont val="宋体"/>
        <family val="3"/>
        <charset val="134"/>
        <scheme val="minor"/>
      </rPr>
      <t>6</t>
    </r>
    <r>
      <rPr>
        <sz val="11"/>
        <color theme="1"/>
        <rFont val="宋体"/>
        <family val="2"/>
        <charset val="134"/>
        <scheme val="minor"/>
      </rPr>
      <t/>
    </r>
  </si>
  <si>
    <r>
      <t>K</t>
    </r>
    <r>
      <rPr>
        <sz val="11"/>
        <color theme="1"/>
        <rFont val="宋体"/>
        <family val="3"/>
        <charset val="134"/>
        <scheme val="minor"/>
      </rPr>
      <t>7</t>
    </r>
    <r>
      <rPr>
        <sz val="11"/>
        <color theme="1"/>
        <rFont val="宋体"/>
        <family val="2"/>
        <charset val="134"/>
        <scheme val="minor"/>
      </rPr>
      <t/>
    </r>
  </si>
  <si>
    <r>
      <t>K</t>
    </r>
    <r>
      <rPr>
        <sz val="11"/>
        <color theme="1"/>
        <rFont val="宋体"/>
        <family val="3"/>
        <charset val="134"/>
        <scheme val="minor"/>
      </rPr>
      <t>8</t>
    </r>
    <r>
      <rPr>
        <sz val="11"/>
        <color theme="1"/>
        <rFont val="宋体"/>
        <family val="2"/>
        <charset val="134"/>
        <scheme val="minor"/>
      </rPr>
      <t/>
    </r>
  </si>
  <si>
    <r>
      <t>K</t>
    </r>
    <r>
      <rPr>
        <sz val="11"/>
        <color theme="1"/>
        <rFont val="宋体"/>
        <family val="3"/>
        <charset val="134"/>
        <scheme val="minor"/>
      </rPr>
      <t>9</t>
    </r>
    <r>
      <rPr>
        <sz val="11"/>
        <color theme="1"/>
        <rFont val="宋体"/>
        <family val="2"/>
        <charset val="134"/>
        <scheme val="minor"/>
      </rPr>
      <t/>
    </r>
  </si>
  <si>
    <r>
      <t>K</t>
    </r>
    <r>
      <rPr>
        <sz val="11"/>
        <color theme="1"/>
        <rFont val="宋体"/>
        <family val="3"/>
        <charset val="134"/>
        <scheme val="minor"/>
      </rPr>
      <t>10</t>
    </r>
    <r>
      <rPr>
        <sz val="11"/>
        <color theme="1"/>
        <rFont val="宋体"/>
        <family val="2"/>
        <charset val="134"/>
        <scheme val="minor"/>
      </rPr>
      <t/>
    </r>
  </si>
  <si>
    <r>
      <t>K</t>
    </r>
    <r>
      <rPr>
        <sz val="11"/>
        <color theme="1"/>
        <rFont val="宋体"/>
        <family val="3"/>
        <charset val="134"/>
        <scheme val="minor"/>
      </rPr>
      <t>11</t>
    </r>
    <r>
      <rPr>
        <sz val="11"/>
        <color theme="1"/>
        <rFont val="宋体"/>
        <family val="2"/>
        <charset val="134"/>
        <scheme val="minor"/>
      </rPr>
      <t/>
    </r>
  </si>
  <si>
    <r>
      <t>K</t>
    </r>
    <r>
      <rPr>
        <sz val="11"/>
        <color theme="1"/>
        <rFont val="宋体"/>
        <family val="3"/>
        <charset val="134"/>
        <scheme val="minor"/>
      </rPr>
      <t>12</t>
    </r>
    <r>
      <rPr>
        <sz val="11"/>
        <color theme="1"/>
        <rFont val="宋体"/>
        <family val="2"/>
        <charset val="134"/>
        <scheme val="minor"/>
      </rPr>
      <t/>
    </r>
  </si>
  <si>
    <r>
      <t>K</t>
    </r>
    <r>
      <rPr>
        <sz val="11"/>
        <color theme="1"/>
        <rFont val="宋体"/>
        <family val="3"/>
        <charset val="134"/>
        <scheme val="minor"/>
      </rPr>
      <t>13</t>
    </r>
    <r>
      <rPr>
        <sz val="11"/>
        <color theme="1"/>
        <rFont val="宋体"/>
        <family val="2"/>
        <charset val="134"/>
        <scheme val="minor"/>
      </rPr>
      <t/>
    </r>
  </si>
  <si>
    <r>
      <t>K</t>
    </r>
    <r>
      <rPr>
        <sz val="11"/>
        <color theme="1"/>
        <rFont val="宋体"/>
        <family val="3"/>
        <charset val="134"/>
        <scheme val="minor"/>
      </rPr>
      <t>14</t>
    </r>
    <r>
      <rPr>
        <sz val="11"/>
        <color theme="1"/>
        <rFont val="宋体"/>
        <family val="2"/>
        <charset val="134"/>
        <scheme val="minor"/>
      </rPr>
      <t/>
    </r>
  </si>
  <si>
    <r>
      <t>K</t>
    </r>
    <r>
      <rPr>
        <sz val="11"/>
        <color theme="1"/>
        <rFont val="宋体"/>
        <family val="3"/>
        <charset val="134"/>
        <scheme val="minor"/>
      </rPr>
      <t>15</t>
    </r>
    <r>
      <rPr>
        <sz val="11"/>
        <color theme="1"/>
        <rFont val="宋体"/>
        <family val="2"/>
        <charset val="134"/>
        <scheme val="minor"/>
      </rPr>
      <t/>
    </r>
  </si>
  <si>
    <r>
      <t>K</t>
    </r>
    <r>
      <rPr>
        <sz val="11"/>
        <color theme="1"/>
        <rFont val="宋体"/>
        <family val="3"/>
        <charset val="134"/>
        <scheme val="minor"/>
      </rPr>
      <t>16</t>
    </r>
    <r>
      <rPr>
        <sz val="11"/>
        <color theme="1"/>
        <rFont val="宋体"/>
        <family val="2"/>
        <charset val="134"/>
        <scheme val="minor"/>
      </rPr>
      <t/>
    </r>
  </si>
  <si>
    <r>
      <t>K</t>
    </r>
    <r>
      <rPr>
        <sz val="11"/>
        <color theme="1"/>
        <rFont val="宋体"/>
        <family val="3"/>
        <charset val="134"/>
        <scheme val="minor"/>
      </rPr>
      <t>17</t>
    </r>
    <r>
      <rPr>
        <sz val="11"/>
        <color theme="1"/>
        <rFont val="宋体"/>
        <family val="2"/>
        <charset val="134"/>
        <scheme val="minor"/>
      </rPr>
      <t/>
    </r>
  </si>
  <si>
    <r>
      <t>K</t>
    </r>
    <r>
      <rPr>
        <sz val="11"/>
        <color theme="1"/>
        <rFont val="宋体"/>
        <family val="3"/>
        <charset val="134"/>
        <scheme val="minor"/>
      </rPr>
      <t>18</t>
    </r>
    <r>
      <rPr>
        <sz val="11"/>
        <color theme="1"/>
        <rFont val="宋体"/>
        <family val="2"/>
        <charset val="134"/>
        <scheme val="minor"/>
      </rPr>
      <t/>
    </r>
  </si>
  <si>
    <r>
      <t>K</t>
    </r>
    <r>
      <rPr>
        <sz val="11"/>
        <color theme="1"/>
        <rFont val="宋体"/>
        <family val="3"/>
        <charset val="134"/>
        <scheme val="minor"/>
      </rPr>
      <t>19</t>
    </r>
    <r>
      <rPr>
        <sz val="11"/>
        <color theme="1"/>
        <rFont val="宋体"/>
        <family val="2"/>
        <charset val="134"/>
        <scheme val="minor"/>
      </rPr>
      <t/>
    </r>
  </si>
  <si>
    <t>30（含）-40</t>
  </si>
  <si>
    <t>30（含）-40</t>
    <phoneticPr fontId="4" type="noConversion"/>
  </si>
  <si>
    <t>20（含）-30</t>
  </si>
  <si>
    <t>20（含）-30</t>
    <phoneticPr fontId="4" type="noConversion"/>
  </si>
  <si>
    <t>吴薇</t>
  </si>
  <si>
    <t>郑燚</t>
  </si>
  <si>
    <t>华澳国际信托有限公司</t>
    <phoneticPr fontId="7" type="noConversion"/>
  </si>
  <si>
    <t>寿光市生态湿地旅游开发有限公司</t>
    <phoneticPr fontId="7" type="noConversion"/>
  </si>
  <si>
    <t>其他：</t>
  </si>
  <si>
    <t>山东省</t>
    <phoneticPr fontId="7" type="noConversion"/>
  </si>
  <si>
    <r>
      <rPr>
        <sz val="12"/>
        <color theme="9" tint="-0.249977111117893"/>
        <rFont val="宋体"/>
        <family val="3"/>
        <charset val="134"/>
      </rPr>
      <t>寿光市圣城街（益阳铁路改线后停用线路）</t>
    </r>
    <r>
      <rPr>
        <sz val="12"/>
        <color theme="9" tint="-0.249977111117893"/>
        <rFont val="Arial"/>
        <family val="2"/>
      </rPr>
      <t>370783001204GB11736W00000000</t>
    </r>
    <r>
      <rPr>
        <sz val="12"/>
        <color theme="9" tint="-0.249977111117893"/>
        <rFont val="宋体"/>
        <family val="3"/>
        <charset val="134"/>
      </rPr>
      <t>号等</t>
    </r>
    <r>
      <rPr>
        <sz val="12"/>
        <color theme="9" tint="-0.249977111117893"/>
        <rFont val="Arial"/>
        <family val="2"/>
      </rPr>
      <t>7</t>
    </r>
    <r>
      <rPr>
        <sz val="12"/>
        <color theme="9" tint="-0.249977111117893"/>
        <rFont val="宋体"/>
        <family val="3"/>
        <charset val="134"/>
      </rPr>
      <t>宗商业用地出让国有建设用地使用权及金海路西，农圣街南（文化中心）等</t>
    </r>
    <r>
      <rPr>
        <sz val="12"/>
        <color theme="9" tint="-0.249977111117893"/>
        <rFont val="Arial"/>
        <family val="2"/>
      </rPr>
      <t>28</t>
    </r>
    <r>
      <rPr>
        <sz val="12"/>
        <color theme="9" tint="-0.249977111117893"/>
        <rFont val="宋体"/>
        <family val="3"/>
        <charset val="134"/>
      </rPr>
      <t>处办公用房房地产</t>
    </r>
    <phoneticPr fontId="7" type="noConversion"/>
  </si>
  <si>
    <t>企业</t>
  </si>
  <si>
    <t>山东寿光农村商业银行股份有限公司、潍坊银行股份有限公司寿光支行、寿光市金财公有资产经营有限公司</t>
    <phoneticPr fontId="7" type="noConversion"/>
  </si>
  <si>
    <t>商业、办公</t>
    <phoneticPr fontId="7" type="noConversion"/>
  </si>
  <si>
    <t>通路</t>
  </si>
  <si>
    <t>通电</t>
  </si>
  <si>
    <t>通讯</t>
  </si>
  <si>
    <t>通上水</t>
  </si>
  <si>
    <t>通下水</t>
  </si>
  <si>
    <t>建筑品质</t>
    <phoneticPr fontId="26" type="noConversion"/>
  </si>
  <si>
    <t>高档</t>
  </si>
  <si>
    <t>高档</t>
    <phoneticPr fontId="26" type="noConversion"/>
  </si>
  <si>
    <t>中档</t>
  </si>
  <si>
    <t>中档</t>
    <phoneticPr fontId="26" type="noConversion"/>
  </si>
  <si>
    <t>容积率</t>
    <phoneticPr fontId="4" type="noConversion"/>
  </si>
  <si>
    <t>0（含）-1</t>
  </si>
  <si>
    <t>0（含）-1</t>
    <phoneticPr fontId="4" type="noConversion"/>
  </si>
  <si>
    <t>1（含）-2</t>
  </si>
  <si>
    <t>1（含）-2</t>
    <phoneticPr fontId="4" type="noConversion"/>
  </si>
  <si>
    <t>2（含）-3</t>
    <phoneticPr fontId="4" type="noConversion"/>
  </si>
  <si>
    <t>3（含）-4</t>
  </si>
  <si>
    <t>3（含）-4</t>
    <phoneticPr fontId="4" type="noConversion"/>
  </si>
  <si>
    <t>4（含）及以上</t>
  </si>
  <si>
    <t>4（含）及以上</t>
    <phoneticPr fontId="26" type="noConversion"/>
  </si>
  <si>
    <t>成本比率</t>
    <phoneticPr fontId="144" type="noConversion"/>
  </si>
  <si>
    <t>土地</t>
    <phoneticPr fontId="144" type="noConversion"/>
  </si>
  <si>
    <t>结果</t>
    <phoneticPr fontId="144" type="noConversion"/>
  </si>
  <si>
    <t>土地价值</t>
    <phoneticPr fontId="144" type="noConversion"/>
  </si>
  <si>
    <t>建筑物价值</t>
    <phoneticPr fontId="144" type="noConversion"/>
  </si>
  <si>
    <t>建筑面积</t>
    <phoneticPr fontId="144" type="noConversion"/>
  </si>
  <si>
    <t>单价</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</si>
</sst>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0"/>
      <color theme="9" tint="-0.249977111117893"/>
      <name val="楷体_GB2312"/>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cellStyleXfs>
  <cellXfs count="32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49" fontId="231" fillId="0" borderId="4" xfId="0" applyNumberFormat="1" applyFont="1" applyFill="1" applyBorder="1" applyAlignment="1" applyProtection="1">
      <alignment horizontal="left" vertical="center"/>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0" borderId="0" xfId="17" applyFill="1"/>
    <xf numFmtId="0" fontId="0" fillId="0" borderId="0" xfId="0" applyFill="1">
      <alignment vertical="center"/>
    </xf>
    <xf numFmtId="0" fontId="57" fillId="5" borderId="0" xfId="17" applyFill="1"/>
    <xf numFmtId="0" fontId="0" fillId="5" borderId="0" xfId="0" applyFill="1">
      <alignment vertical="center"/>
    </xf>
    <xf numFmtId="0" fontId="99" fillId="0" borderId="9"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2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protection locked="0"/>
    </xf>
    <xf numFmtId="179" fontId="0" fillId="0" borderId="0" xfId="0" applyNumberFormat="1">
      <alignment vertical="center"/>
    </xf>
    <xf numFmtId="0" fontId="257" fillId="0" borderId="156" xfId="0" applyFont="1" applyBorder="1" applyAlignment="1">
      <alignment horizontal="justify" vertical="center" wrapText="1"/>
    </xf>
    <xf numFmtId="0" fontId="257" fillId="0" borderId="157" xfId="0" applyFont="1" applyBorder="1" applyAlignment="1">
      <alignment horizontal="justify" vertical="center" wrapText="1"/>
    </xf>
    <xf numFmtId="0" fontId="257" fillId="0" borderId="158" xfId="0" applyFont="1" applyBorder="1" applyAlignment="1">
      <alignment horizontal="justify" vertical="center" wrapText="1"/>
    </xf>
    <xf numFmtId="0" fontId="257" fillId="0" borderId="159" xfId="0" applyFont="1" applyBorder="1" applyAlignment="1">
      <alignment horizontal="justify" vertical="center" wrapText="1"/>
    </xf>
    <xf numFmtId="0" fontId="257" fillId="0" borderId="159" xfId="0" applyFont="1" applyBorder="1" applyAlignment="1">
      <alignment vertical="center" wrapText="1"/>
    </xf>
    <xf numFmtId="0" fontId="257" fillId="0" borderId="160" xfId="0" applyFont="1" applyBorder="1" applyAlignment="1">
      <alignment vertical="center" wrapText="1"/>
    </xf>
    <xf numFmtId="0" fontId="257" fillId="0" borderId="161" xfId="0" applyFont="1" applyBorder="1" applyAlignment="1">
      <alignmen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51;&#20809;&#19971;&#22359;&#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0">
          <cell r="B20">
            <v>23804</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山东省寿光市圣城街（益阳铁路改线后停用线路）370783001204GB11736W00000000号等7宗商业用地出让国有建设用地使用权及金海路西，农圣街南（文化中心）等28处办公用房房地产出让国有建设用地使用权及在建建筑物房地产抵押价值预评估</v>
      </c>
    </row>
    <row r="3" spans="1:2" s="1592" customFormat="1">
      <c r="A3" s="1590" t="s">
        <v>1221</v>
      </c>
      <c r="B3" s="1591" t="str">
        <f>'预评函-封皮'!B40</f>
        <v>华澳国际信托有限公司</v>
      </c>
    </row>
    <row r="4" spans="1:2" s="1592" customFormat="1">
      <c r="A4" s="1590" t="s">
        <v>1222</v>
      </c>
      <c r="B4" s="1591" t="str">
        <f ca="1">'预评函-封皮'!B46</f>
        <v>吴薇（注册号：1419970001)、郑燚（注册号：1120070131)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山东省寿光市圣城街（益阳铁路改线后停用线路）370783001204GB11736W00000000号等7宗商业用地出让国有建设用地使用权及金海路西，农圣街南（文化中心）等28处办公用房房地产出让国有建设用地使用权及在建建筑物房地产抵押价值进行了预评估。</v>
      </c>
    </row>
    <row r="7" spans="1:2" s="1592" customFormat="1">
      <c r="A7" s="1590" t="s">
        <v>1264</v>
      </c>
      <c r="B7" s="1591" t="str">
        <f>'预评函-1'!A7</f>
        <v>估价对象为山东省寿光市圣城街（益阳铁路改线后停用线路）370783001204GB11736W00000000号等7宗商业用地出让国有建设用地使用权及金海路西，农圣街南（文化中心）等28处办公用房房地产出让国有建设用地使用权及在建建筑物房地产，为山东寿光农村商业银行股份有限公司、潍坊银行股份有限公司寿光支行、寿光市金财公有资产经营有限公司所有。根据《国有土地使用证》[]，估价对象（分摊）出让国有建设用地使用权面积为49727平方米，建筑面积为38865.6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山东省寿光市圣城街（益阳铁路改线后停用线路）370783001204GB11736W00000000号等7宗商业用地出让国有建设用地使用权及金海路西，农圣街南（文化中心）等28处办公用房房地产出让国有建设用地使用权及在建建筑物房地产,属山东寿光农村商业银行股份有限公司、潍坊银行股份有限公司寿光支行、寿光市金财公有资产经营有限公司开发建设的，该项目尚在开发建设中。根据《国有土地使用证》[]，估价对象（分摊）出让国有建设用地使用权面积为49727平方米，规划建筑面积为38865.6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寿光市生态湿地旅游开发有限公司拟使用山东省寿光市圣城街（益阳铁路改线后停用线路）370783001204GB11736W00000000号等7宗商业用地出让国有建设用地使用权及金海路西，农圣街南（文化中心）等28处办公用房房地产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2018年11月13日（评估专业人员实地查勘之日）</v>
      </c>
    </row>
    <row r="13" spans="1:2" s="1592" customFormat="1">
      <c r="A13" s="1590" t="s">
        <v>1227</v>
      </c>
      <c r="B13" s="1591" t="str">
        <f>'预评函-1'!A18</f>
        <v>本次估价的“房地产价值”是指在正常市场情况下，在价值时点2018年11月13日，估价对象规划用途为商业、办公，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商业、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18745</v>
      </c>
    </row>
    <row r="21" spans="1:2" s="1592" customFormat="1">
      <c r="A21" s="1590" t="s">
        <v>1235</v>
      </c>
      <c r="B21" s="1591">
        <f ca="1">'预评函-2'!D7</f>
        <v>4823</v>
      </c>
    </row>
    <row r="22" spans="1:2" s="1592" customFormat="1">
      <c r="A22" s="1590" t="s">
        <v>1236</v>
      </c>
      <c r="B22" s="1591" t="str">
        <f ca="1">'预评函-2'!D6</f>
        <v>壹亿捌仟柒佰肆拾伍万元整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18745</v>
      </c>
    </row>
    <row r="31" spans="1:2" s="1592" customFormat="1">
      <c r="A31" s="1590" t="s">
        <v>1274</v>
      </c>
      <c r="B31" s="1591">
        <f ca="1">'预评函-2'!D15</f>
        <v>4823</v>
      </c>
    </row>
    <row r="32" spans="1:2" s="1592" customFormat="1">
      <c r="A32" s="1590" t="s">
        <v>1241</v>
      </c>
      <c r="B32" s="1591" t="str">
        <f ca="1">'预评函-2'!D14</f>
        <v>壹亿捌仟柒佰肆拾伍万元整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山东省寿光市圣城街（益阳铁路改线后停用线路）370783001204GB11736W00000000号等7宗商业用地出让国有建设用地使用权及金海路西，农圣街南（文化中心）等28处办公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38865.599999999999</v>
      </c>
    </row>
    <row r="44" spans="1:2" s="1592" customFormat="1">
      <c r="A44" s="1590" t="s">
        <v>1273</v>
      </c>
      <c r="B44" s="1591" t="str">
        <f>'预评函-3'!C2</f>
        <v>(分摊)土地面积</v>
      </c>
    </row>
    <row r="45" spans="1:2" s="1592" customFormat="1">
      <c r="A45" s="1590" t="s">
        <v>1245</v>
      </c>
      <c r="B45" s="1591">
        <f>'预评函-3'!C4</f>
        <v>49727</v>
      </c>
    </row>
    <row r="46" spans="1:2" s="1592" customFormat="1">
      <c r="A46" s="1590" t="s">
        <v>1271</v>
      </c>
      <c r="B46" s="1591" t="str">
        <f>'预评函-3'!D2</f>
        <v>出让国有建设用地使用权价值</v>
      </c>
    </row>
    <row r="47" spans="1:2" s="1592" customFormat="1">
      <c r="A47" s="1590" t="s">
        <v>1246</v>
      </c>
      <c r="B47" s="1591">
        <f ca="1">'预评函-3'!D4</f>
        <v>7386</v>
      </c>
    </row>
    <row r="48" spans="1:2" s="1592" customFormat="1">
      <c r="A48" s="1590" t="s">
        <v>1247</v>
      </c>
      <c r="B48" s="1591">
        <f ca="1">'预评函-3'!E4</f>
        <v>1900</v>
      </c>
    </row>
    <row r="49" spans="1:2" s="1592" customFormat="1">
      <c r="A49" s="1590" t="s">
        <v>1248</v>
      </c>
      <c r="B49" s="1591" t="str">
        <f ca="1">'预评函-3'!D5</f>
        <v>柒仟叁佰捌拾陆万元整</v>
      </c>
    </row>
    <row r="50" spans="1:2" s="1592" customFormat="1">
      <c r="A50" s="1590" t="s">
        <v>1272</v>
      </c>
      <c r="B50" s="1591" t="str">
        <f>'预评函-3'!F2</f>
        <v>在建建筑物价值</v>
      </c>
    </row>
    <row r="51" spans="1:2" s="1592" customFormat="1">
      <c r="A51" s="1590" t="s">
        <v>1249</v>
      </c>
      <c r="B51" s="1591">
        <f ca="1">'预评函-3'!F4</f>
        <v>11359</v>
      </c>
    </row>
    <row r="52" spans="1:2" s="1592" customFormat="1">
      <c r="A52" s="1590" t="s">
        <v>1250</v>
      </c>
      <c r="B52" s="1591">
        <f ca="1">'预评函-3'!G4</f>
        <v>2923</v>
      </c>
    </row>
    <row r="53" spans="1:2" s="1592" customFormat="1">
      <c r="A53" s="1590" t="s">
        <v>1278</v>
      </c>
      <c r="B53" s="1591" t="str">
        <f ca="1">'预评函-3'!F5</f>
        <v>壹亿壹仟叁佰伍拾玖万元整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吴薇</v>
      </c>
    </row>
    <row r="71" spans="1:2">
      <c r="A71" s="1590" t="s">
        <v>1261</v>
      </c>
      <c r="B71" s="1591">
        <f ca="1">'预评函-4'!B4</f>
        <v>1419970001</v>
      </c>
    </row>
    <row r="72" spans="1:2">
      <c r="A72" s="1590" t="s">
        <v>1262</v>
      </c>
      <c r="B72" s="1599" t="str">
        <f>'预评函-4'!A5</f>
        <v>郑燚</v>
      </c>
    </row>
    <row r="73" spans="1:2" s="1586" customFormat="1" ht="15" thickBot="1">
      <c r="A73" s="1593" t="s">
        <v>1263</v>
      </c>
      <c r="B73" s="1594">
        <f ca="1">'预评函-4'!B5</f>
        <v>1120070131</v>
      </c>
    </row>
    <row r="74" spans="1:2" ht="15" thickTop="1">
      <c r="A74" s="1583" t="s">
        <v>1299</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寿光市生态湿地旅游开发有限公司拟使用山东省寿光市圣城街（益阳铁路改线后停用线路）370783001204GB11736W00000000号等7宗商业用地出让国有建设用地使用权及金海路西，农圣街南（文化中心）等28处办公用房房地产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12"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12"/>
      <c r="B54" s="2018" t="s">
        <v>864</v>
      </c>
      <c r="C54" s="2015" t="s">
        <v>1281</v>
      </c>
    </row>
    <row r="55" spans="1:4">
      <c r="A55" s="3012"/>
      <c r="B55" s="2018" t="s">
        <v>865</v>
      </c>
      <c r="C55" s="2015" t="s">
        <v>1282</v>
      </c>
    </row>
    <row r="56" spans="1:4">
      <c r="A56" s="3012"/>
      <c r="B56" s="2018" t="s">
        <v>866</v>
      </c>
      <c r="C56" s="2015" t="s">
        <v>1286</v>
      </c>
    </row>
    <row r="57" spans="1:4">
      <c r="A57" s="3012"/>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F13" sqref="F13"/>
    </sheetView>
  </sheetViews>
  <sheetFormatPr defaultColWidth="10" defaultRowHeight="18" customHeight="1"/>
  <cols>
    <col min="1" max="1" width="14.875" style="2028" customWidth="1"/>
    <col min="2" max="2" width="11.125" style="2028" customWidth="1"/>
    <col min="3" max="4" width="11.5" style="2028" customWidth="1"/>
    <col min="5"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021" t="str">
        <f>IF(B10="北京市","北京市",C10)&amp;F10&amp;IF(结果表!G1="在建","出让国有建设用地使用权及在建建筑物",IF(结果表!G1="土地","出让国有建设用地使用权",))&amp;B9&amp;"预评估"</f>
        <v>山东省寿光市圣城街（益阳铁路改线后停用线路）370783001204GB11736W00000000号等7宗商业用地出让国有建设用地使用权及金海路西，农圣街南（文化中心）等28处办公用房房地产出让国有建设用地使用权及在建建筑物房地产抵押价值预评估</v>
      </c>
      <c r="C1" s="3022"/>
      <c r="D1" s="3022"/>
      <c r="E1" s="3022"/>
      <c r="F1" s="3022"/>
      <c r="G1" s="3022"/>
      <c r="H1" s="3022"/>
      <c r="I1" s="302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山东省寿光市圣城街（益阳铁路改线后停用线路）370783001204GB11736W00000000号等7宗商业用地出让国有建设用地使用权及金海路西，农圣街南（文化中心）等28处办公用房房地产出让国有建设用地使用权及在建建筑物房地产抵押价值</v>
      </c>
    </row>
    <row r="2" spans="1:19" ht="18" customHeight="1">
      <c r="A2" s="2022" t="s">
        <v>1777</v>
      </c>
      <c r="B2" s="1042"/>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山东省寿光市圣城街（益阳铁路改线后停用线路）370783001204GB11736W00000000号等7宗商业用地出让国有建设用地使用权及金海路西，农圣街南（文化中心）等28处办公用房房地产出让国有建设用地使用权及在建建筑物房地产</v>
      </c>
    </row>
    <row r="3" spans="1:19" ht="18" customHeight="1">
      <c r="A3" s="2031" t="s">
        <v>1778</v>
      </c>
      <c r="B3" s="2032">
        <v>43417</v>
      </c>
      <c r="C3" s="2033" t="s">
        <v>1779</v>
      </c>
      <c r="D3" s="2032">
        <v>43417</v>
      </c>
      <c r="E3" s="2022"/>
      <c r="F3" s="2022"/>
      <c r="G3" s="2022"/>
      <c r="H3" s="2022"/>
      <c r="I3" s="2022"/>
      <c r="J3" s="2022"/>
      <c r="K3" s="2023"/>
      <c r="L3" s="2024"/>
      <c r="M3" s="2024"/>
      <c r="N3" s="2025"/>
      <c r="O3" s="2026"/>
      <c r="P3" s="2025"/>
      <c r="Q3" s="2025"/>
      <c r="R3" s="2025"/>
      <c r="S3" s="2027"/>
    </row>
    <row r="4" spans="1:19" ht="18" customHeight="1" thickBot="1">
      <c r="A4" s="2034" t="s">
        <v>1780</v>
      </c>
      <c r="B4" s="2035" t="s">
        <v>3207</v>
      </c>
      <c r="C4" s="1040">
        <f ca="1">SUMIF(注册房地产估价师,B4,估价师及机构信息!B3:B24)</f>
        <v>1419970001</v>
      </c>
      <c r="D4" s="2035" t="s">
        <v>3208</v>
      </c>
      <c r="E4" s="1041">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1781</v>
      </c>
      <c r="B5" s="2957" t="s">
        <v>3209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58" t="s">
        <v>3209</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58" t="s">
        <v>3210</v>
      </c>
      <c r="C7" s="2044"/>
      <c r="D7" s="2045"/>
      <c r="E7" s="2030"/>
      <c r="F7" s="2038"/>
      <c r="G7" s="2038"/>
      <c r="H7" s="2038"/>
      <c r="I7" s="2038"/>
      <c r="J7" s="2038"/>
      <c r="K7" s="2047"/>
      <c r="L7" s="2024"/>
      <c r="M7" s="2024"/>
      <c r="N7" s="2025"/>
      <c r="O7" s="2026"/>
      <c r="P7" s="2025"/>
      <c r="Q7" s="2025"/>
      <c r="R7" s="2025"/>
    </row>
    <row r="8" spans="1:19" ht="18" customHeight="1">
      <c r="A8" s="2043" t="s">
        <v>1784</v>
      </c>
      <c r="B8" s="2048" t="s">
        <v>3049</v>
      </c>
      <c r="C8" s="2049"/>
      <c r="D8" s="3024" t="s">
        <v>1785</v>
      </c>
      <c r="E8" s="2050" t="s">
        <v>3050</v>
      </c>
      <c r="F8" s="2051"/>
      <c r="G8" s="2022"/>
      <c r="H8" s="2022"/>
      <c r="I8" s="2022"/>
      <c r="J8" s="2038"/>
      <c r="K8" s="2039"/>
      <c r="L8" s="2024"/>
      <c r="M8" s="2024"/>
      <c r="N8" s="2025"/>
      <c r="O8" s="2026"/>
      <c r="P8" s="2025"/>
      <c r="Q8" s="2025"/>
      <c r="R8" s="2025"/>
    </row>
    <row r="9" spans="1:19" ht="18" customHeight="1" thickBot="1">
      <c r="A9" s="2036" t="s">
        <v>1786</v>
      </c>
      <c r="B9" s="2052" t="s">
        <v>3050</v>
      </c>
      <c r="C9" s="2053"/>
      <c r="D9" s="3025"/>
      <c r="E9" s="2052" t="s">
        <v>70</v>
      </c>
      <c r="F9" s="2054"/>
      <c r="G9" s="2055"/>
      <c r="H9" s="2055"/>
      <c r="I9" s="2055"/>
      <c r="J9" s="2038"/>
      <c r="K9" s="2047"/>
      <c r="L9" s="2024"/>
      <c r="M9" s="2024"/>
      <c r="N9" s="2025"/>
      <c r="O9" s="2026"/>
      <c r="P9" s="2025"/>
      <c r="Q9" s="2025"/>
      <c r="R9" s="2025"/>
    </row>
    <row r="10" spans="1:19" ht="18" customHeight="1" thickTop="1">
      <c r="A10" s="2056" t="s">
        <v>1787</v>
      </c>
      <c r="B10" s="2057" t="s">
        <v>3211</v>
      </c>
      <c r="C10" s="2959" t="s">
        <v>3212</v>
      </c>
      <c r="D10" s="2042"/>
      <c r="E10" s="2058" t="s">
        <v>1788</v>
      </c>
      <c r="F10" s="2936" t="s">
        <v>3213</v>
      </c>
      <c r="G10" s="2059"/>
      <c r="H10" s="2060"/>
      <c r="I10" s="2042"/>
      <c r="J10" s="2038"/>
      <c r="K10" s="2047"/>
      <c r="L10" s="2024"/>
      <c r="M10" s="2024"/>
      <c r="N10" s="2025"/>
      <c r="O10" s="2026"/>
      <c r="P10" s="2025"/>
      <c r="Q10" s="2025"/>
      <c r="R10" s="2025"/>
    </row>
    <row r="11" spans="1:19" ht="18" customHeight="1">
      <c r="A11" s="2061" t="s">
        <v>1789</v>
      </c>
      <c r="B11" s="2062" t="s">
        <v>3214</v>
      </c>
      <c r="C11" s="2960" t="s">
        <v>3215</v>
      </c>
      <c r="D11" s="2063"/>
      <c r="E11" s="2038"/>
      <c r="F11" s="2038"/>
      <c r="G11" s="2038"/>
      <c r="H11" s="2038"/>
      <c r="I11" s="2038"/>
      <c r="J11" s="2038"/>
      <c r="K11" s="2047"/>
      <c r="L11" s="2024"/>
      <c r="M11" s="2024"/>
      <c r="N11" s="2025"/>
      <c r="O11" s="2026"/>
      <c r="P11" s="2025"/>
      <c r="Q11" s="2025"/>
      <c r="R11" s="2025"/>
    </row>
    <row r="12" spans="1:19" ht="18" customHeight="1">
      <c r="A12" s="2064" t="s">
        <v>1790</v>
      </c>
      <c r="B12" s="2062" t="s">
        <v>3048</v>
      </c>
      <c r="C12" s="2065" t="s">
        <v>1791</v>
      </c>
      <c r="D12" s="2066" t="s">
        <v>1792</v>
      </c>
      <c r="E12" s="2066" t="s">
        <v>1793</v>
      </c>
      <c r="F12" s="2066" t="s">
        <v>1794</v>
      </c>
      <c r="G12" s="2066" t="s">
        <v>1795</v>
      </c>
      <c r="H12" s="2066" t="s">
        <v>1796</v>
      </c>
      <c r="I12" s="2066" t="s">
        <v>1797</v>
      </c>
      <c r="J12" s="2038"/>
      <c r="K12" s="2047"/>
      <c r="L12" s="2024"/>
      <c r="M12" s="2024"/>
      <c r="N12" s="2025"/>
      <c r="O12" s="2026"/>
      <c r="P12" s="2025"/>
      <c r="Q12" s="2025"/>
      <c r="R12" s="2025"/>
    </row>
    <row r="13" spans="1:19" ht="18" customHeight="1">
      <c r="A13" s="2067"/>
      <c r="B13" s="2068"/>
      <c r="C13" s="2069" t="s">
        <v>1798</v>
      </c>
      <c r="D13" s="2070"/>
      <c r="E13" s="2070"/>
      <c r="F13" s="2070">
        <v>54019</v>
      </c>
      <c r="G13" s="2070"/>
      <c r="H13" s="2070"/>
      <c r="I13" s="1050"/>
      <c r="J13" s="2038"/>
      <c r="K13" s="2047"/>
      <c r="L13" s="2024"/>
      <c r="M13" s="2024"/>
      <c r="N13" s="2025"/>
      <c r="O13" s="2026"/>
      <c r="P13" s="2025"/>
      <c r="Q13" s="2025"/>
      <c r="R13" s="2025"/>
    </row>
    <row r="14" spans="1:19" ht="18" customHeight="1">
      <c r="A14" s="2067"/>
      <c r="B14" s="2068"/>
      <c r="C14" s="2069" t="s">
        <v>1799</v>
      </c>
      <c r="D14" s="1053"/>
      <c r="E14" s="1053"/>
      <c r="F14" s="1053">
        <v>40</v>
      </c>
      <c r="G14" s="1053"/>
      <c r="H14" s="1053"/>
      <c r="I14" s="1053"/>
      <c r="J14" s="2038"/>
      <c r="K14" s="2071"/>
      <c r="L14" s="2024"/>
      <c r="M14" s="2024"/>
      <c r="N14" s="2025"/>
      <c r="O14" s="2026"/>
      <c r="P14" s="2025"/>
      <c r="Q14" s="2025"/>
      <c r="R14" s="2025"/>
    </row>
    <row r="15" spans="1:19" ht="18" customHeight="1">
      <c r="A15" s="2056"/>
      <c r="B15" s="2072"/>
      <c r="C15" s="2069" t="s">
        <v>1800</v>
      </c>
      <c r="D15" s="1052" t="str">
        <f>IF(B12="出让",IF(D13="","",ROUNDDOWN(MIN((D13-$D$3)/365,D14),2)),D14)</f>
        <v/>
      </c>
      <c r="E15" s="1052" t="str">
        <f>IF(B12="出让",IF(E13="","",ROUNDDOWN(MIN((E13-$D$3)/365,E14),2)),E14)</f>
        <v/>
      </c>
      <c r="F15" s="1052">
        <f>IF(B12="出让",IF(F13="","",ROUNDDOWN(MIN((F13-$D$3)/365,F14),2)),F14)</f>
        <v>29.04</v>
      </c>
      <c r="G15" s="1052" t="str">
        <f>IF(B12="出让",IF(G13="","",ROUNDDOWN(MIN((G13-$D$3)/365,G14),2)),G14)</f>
        <v/>
      </c>
      <c r="H15" s="1052" t="str">
        <f>IF(B12="出让",IF(H13="","",ROUNDDOWN(MIN((H13-$D$3)/365,H14),2)),H14)</f>
        <v/>
      </c>
      <c r="I15" s="1052" t="str">
        <f>IF(B12="出让",IF(I13="","",ROUNDDOWN(MIN((I13-$D$3)/365,I14),2)),I14)</f>
        <v/>
      </c>
      <c r="J15" s="2038"/>
      <c r="K15" s="2073"/>
      <c r="L15" s="2074"/>
      <c r="M15" s="2074"/>
      <c r="N15" s="2075"/>
      <c r="O15" s="2074"/>
      <c r="P15" s="2075"/>
      <c r="Q15" s="2025"/>
      <c r="R15" s="2025"/>
    </row>
    <row r="16" spans="1:19" ht="30.75" customHeight="1">
      <c r="A16" s="2058" t="s">
        <v>1801</v>
      </c>
      <c r="B16" s="3031" t="s">
        <v>3216</v>
      </c>
      <c r="C16" s="3032"/>
      <c r="D16" s="3033"/>
      <c r="E16" s="2076" t="s">
        <v>1802</v>
      </c>
      <c r="F16" s="3034"/>
      <c r="G16" s="3035"/>
      <c r="H16" s="3035"/>
      <c r="I16" s="3036"/>
      <c r="J16" s="2025"/>
      <c r="K16" s="2073"/>
      <c r="L16" s="2074"/>
      <c r="M16" s="2074"/>
      <c r="N16" s="2075"/>
      <c r="O16" s="2074"/>
      <c r="P16" s="2075"/>
      <c r="Q16" s="2025"/>
      <c r="R16" s="2025"/>
    </row>
    <row r="17" spans="1:22" ht="18" customHeight="1">
      <c r="A17" s="2077" t="s">
        <v>1803</v>
      </c>
      <c r="B17" s="2031" t="s">
        <v>1804</v>
      </c>
      <c r="C17" s="1057">
        <f>'数据-汇总表'!E3</f>
        <v>38865.599999999999</v>
      </c>
      <c r="D17" s="2078" t="s">
        <v>1805</v>
      </c>
      <c r="E17" s="3037" t="s">
        <v>1806</v>
      </c>
      <c r="F17" s="3038"/>
      <c r="G17" s="3038"/>
      <c r="H17" s="3038"/>
      <c r="I17" s="3039"/>
      <c r="J17" s="2025"/>
      <c r="K17" s="2079"/>
      <c r="L17" s="2074"/>
      <c r="M17" s="2074"/>
      <c r="N17" s="2075"/>
      <c r="O17" s="2074"/>
      <c r="P17" s="2075"/>
      <c r="Q17" s="2025"/>
      <c r="R17" s="2025"/>
      <c r="S17" s="2025"/>
      <c r="T17" s="2025"/>
      <c r="U17" s="2025"/>
      <c r="V17" s="2025"/>
    </row>
    <row r="18" spans="1:22" ht="36" customHeight="1" thickBot="1">
      <c r="A18" s="2080" t="s">
        <v>1807</v>
      </c>
      <c r="B18" s="2034" t="s">
        <v>1808</v>
      </c>
      <c r="C18" s="1443">
        <f>'数据-汇总表'!D3</f>
        <v>49727</v>
      </c>
      <c r="D18" s="2081" t="s">
        <v>1805</v>
      </c>
      <c r="E18" s="3040" t="s">
        <v>1809</v>
      </c>
      <c r="F18" s="3041"/>
      <c r="G18" s="3041"/>
      <c r="H18" s="3041"/>
      <c r="I18" s="3042"/>
      <c r="J18" s="2025"/>
      <c r="K18" s="2079"/>
      <c r="L18" s="2074"/>
      <c r="M18" s="2074"/>
      <c r="N18" s="2075"/>
      <c r="O18" s="2074"/>
      <c r="P18" s="2075"/>
      <c r="Q18" s="2025"/>
      <c r="R18" s="2025"/>
      <c r="S18" s="2025"/>
      <c r="T18" s="2025"/>
      <c r="U18" s="2025"/>
      <c r="V18" s="2025"/>
    </row>
    <row r="19" spans="1:22" ht="37.5" customHeight="1" thickTop="1" thickBot="1">
      <c r="A19" s="373" t="s">
        <v>1810</v>
      </c>
      <c r="B19" s="352" t="s">
        <v>1811</v>
      </c>
      <c r="C19" s="2082"/>
      <c r="D19" s="2083" t="s">
        <v>1812</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1813</v>
      </c>
      <c r="B20" s="3027" t="s">
        <v>1814</v>
      </c>
      <c r="C20" s="3028"/>
      <c r="D20" s="3029" t="s">
        <v>1815</v>
      </c>
      <c r="E20" s="3030"/>
      <c r="F20" s="2088" t="s">
        <v>1816</v>
      </c>
      <c r="G20" s="2038"/>
      <c r="H20" s="2038"/>
      <c r="I20" s="2038"/>
      <c r="J20" s="2038"/>
      <c r="K20" s="302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1818</v>
      </c>
      <c r="C21" s="2090" t="s">
        <v>1819</v>
      </c>
      <c r="D21" s="2091" t="s">
        <v>1820</v>
      </c>
      <c r="E21" s="2092" t="s">
        <v>1819</v>
      </c>
      <c r="F21" s="2093"/>
      <c r="G21" s="2038"/>
      <c r="H21" s="2038"/>
      <c r="I21" s="2038"/>
      <c r="J21" s="2038"/>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1821</v>
      </c>
      <c r="C22" s="2090" t="s">
        <v>1822</v>
      </c>
      <c r="D22" s="2022"/>
      <c r="E22" s="2022"/>
      <c r="F22" s="2095"/>
      <c r="G22" s="2038"/>
      <c r="H22" s="2038"/>
      <c r="I22" s="2038"/>
      <c r="J22" s="2038"/>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1823</v>
      </c>
      <c r="B23" s="183" t="s">
        <v>1824</v>
      </c>
      <c r="C23" s="2097"/>
      <c r="D23" s="2098" t="s">
        <v>1824</v>
      </c>
      <c r="E23" s="2099"/>
      <c r="F23" s="2095"/>
      <c r="G23" s="2038"/>
      <c r="H23" s="2038"/>
      <c r="I23" s="2038"/>
      <c r="J23" s="2038"/>
      <c r="K23" s="2100"/>
      <c r="L23" s="748"/>
      <c r="M23" s="2024"/>
      <c r="N23" s="2075"/>
      <c r="O23" s="2074"/>
      <c r="P23" s="2075"/>
      <c r="Q23" s="2025"/>
      <c r="R23" s="2025"/>
      <c r="S23" s="2025"/>
      <c r="T23" s="2025"/>
      <c r="U23" s="2025"/>
      <c r="V23" s="2025"/>
    </row>
    <row r="24" spans="1:22" ht="18" customHeight="1">
      <c r="A24" s="2101"/>
      <c r="B24" s="183" t="s">
        <v>1825</v>
      </c>
      <c r="C24" s="2102"/>
      <c r="D24" s="2096" t="s">
        <v>1825</v>
      </c>
      <c r="E24" s="2103"/>
      <c r="F24" s="2095"/>
      <c r="G24" s="2038"/>
      <c r="H24" s="2038"/>
      <c r="I24" s="2038"/>
      <c r="J24" s="2038"/>
      <c r="K24" s="2100"/>
      <c r="L24" s="748"/>
      <c r="M24" s="2024"/>
      <c r="N24" s="2075"/>
      <c r="O24" s="2074"/>
      <c r="P24" s="2075"/>
      <c r="Q24" s="2025"/>
      <c r="R24" s="2025"/>
      <c r="S24" s="2025"/>
      <c r="T24" s="2025"/>
      <c r="U24" s="2025"/>
      <c r="V24" s="2025"/>
    </row>
    <row r="25" spans="1:22" ht="18" customHeight="1">
      <c r="A25" s="2101"/>
      <c r="B25" s="183" t="s">
        <v>1826</v>
      </c>
      <c r="C25" s="2102"/>
      <c r="D25" s="2096" t="s">
        <v>1826</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1827</v>
      </c>
      <c r="C26" s="2106"/>
      <c r="D26" s="2107" t="s">
        <v>1828</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14" t="s">
        <v>1829</v>
      </c>
      <c r="B27" s="2056" t="s">
        <v>1830</v>
      </c>
      <c r="C27" s="2110"/>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14"/>
      <c r="B28" s="2031" t="s">
        <v>1831</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14"/>
      <c r="B29" s="2031" t="s">
        <v>1832</v>
      </c>
      <c r="C29" s="2115"/>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15"/>
      <c r="B30" s="2031" t="s">
        <v>1833</v>
      </c>
      <c r="C30" s="3016"/>
      <c r="D30" s="3017"/>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18" t="s">
        <v>1834</v>
      </c>
      <c r="B31" s="2117"/>
      <c r="C31" s="2118" t="str">
        <f>IF(B31="现房","成新及维护状况正常否",IF(B31="在建","工程状态是否正常",IF(B31="土地","是否闲置","-")))</f>
        <v>-</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19"/>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19"/>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1835</v>
      </c>
      <c r="B34" s="2124" t="s">
        <v>3217</v>
      </c>
      <c r="C34" s="2124" t="s">
        <v>3218</v>
      </c>
      <c r="D34" s="2124" t="s">
        <v>3219</v>
      </c>
      <c r="E34" s="2124" t="s">
        <v>3220</v>
      </c>
      <c r="F34" s="2124" t="s">
        <v>3221</v>
      </c>
      <c r="G34" s="2124"/>
      <c r="H34" s="2124"/>
      <c r="I34" s="2038"/>
      <c r="J34" s="2038"/>
      <c r="K34" s="1791">
        <f>COUNTIF(B34:H34,"——")</f>
        <v>0</v>
      </c>
      <c r="L34" s="2065" t="s">
        <v>1836</v>
      </c>
      <c r="M34" s="2065" t="s">
        <v>1837</v>
      </c>
      <c r="N34" s="2065" t="s">
        <v>1838</v>
      </c>
      <c r="O34" s="2065" t="s">
        <v>1839</v>
      </c>
      <c r="P34" s="2065" t="s">
        <v>1840</v>
      </c>
      <c r="Q34" s="2065" t="s">
        <v>1841</v>
      </c>
      <c r="R34" s="2065" t="s">
        <v>1842</v>
      </c>
      <c r="S34" s="3013" t="s">
        <v>1843</v>
      </c>
      <c r="T34" s="2125" t="str">
        <f>NUMBERSTRING(7-K34,1)&amp;"通"</f>
        <v>七通</v>
      </c>
      <c r="U34" s="2025"/>
      <c r="V34" s="2025"/>
    </row>
    <row r="35" spans="1:22" ht="18" customHeight="1">
      <c r="A35" s="2126"/>
      <c r="B35" s="3020" t="s">
        <v>1844</v>
      </c>
      <c r="C35" s="3020"/>
      <c r="D35" s="3020"/>
      <c r="E35" s="3020"/>
      <c r="F35" s="2127" t="str">
        <f>C10</f>
        <v>山东省</v>
      </c>
      <c r="G35" s="2038"/>
      <c r="H35" s="2038"/>
      <c r="I35" s="2038"/>
      <c r="J35" s="2038"/>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3"/>
      <c r="T35" s="48" t="str">
        <f>IF(T34="一通",L35,IF(T34="二通",M35,IF(T34="三通",N35,IF(T34="四通",O35,IF(T34="五通",P35,IF(T34="六通",Q35,R35))))))</f>
        <v>通路、通电、通讯、通上水、通下水、、</v>
      </c>
      <c r="U35" s="2025"/>
      <c r="V35" s="2025"/>
    </row>
    <row r="36" spans="1:22" ht="18" customHeight="1">
      <c r="A36" s="2128"/>
      <c r="B36" s="2127" t="s">
        <v>1845</v>
      </c>
      <c r="C36" s="2127" t="s">
        <v>1846</v>
      </c>
      <c r="D36" s="2127" t="s">
        <v>1847</v>
      </c>
      <c r="E36" s="2127" t="s">
        <v>1848</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1849</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1850</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1851</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6"/>
      <c r="L40" s="2074"/>
      <c r="M40" s="2074"/>
      <c r="N40" s="2075"/>
      <c r="O40" s="2074"/>
      <c r="P40" s="2025"/>
      <c r="Q40" s="2025"/>
      <c r="R40" s="2025"/>
      <c r="S40" s="2025"/>
      <c r="T40" s="2025"/>
      <c r="U40" s="2025"/>
      <c r="V40" s="2025"/>
    </row>
    <row r="41" spans="1:22" ht="18" customHeight="1">
      <c r="A41" s="8" t="s">
        <v>1852</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1853</v>
      </c>
      <c r="B42" s="1791" t="s">
        <v>1854</v>
      </c>
      <c r="C42" s="1791" t="s">
        <v>1855</v>
      </c>
      <c r="D42" s="1791" t="s">
        <v>1856</v>
      </c>
      <c r="E42" s="1791" t="s">
        <v>1857</v>
      </c>
      <c r="F42" s="1791" t="s">
        <v>1858</v>
      </c>
      <c r="G42" s="1791" t="s">
        <v>1859</v>
      </c>
      <c r="H42" s="1791" t="s">
        <v>1860</v>
      </c>
      <c r="I42" s="1791" t="s">
        <v>1861</v>
      </c>
      <c r="J42" s="2143" t="s">
        <v>1862</v>
      </c>
      <c r="K42" s="2066" t="s">
        <v>1863</v>
      </c>
      <c r="L42" s="2066" t="s">
        <v>1864</v>
      </c>
      <c r="M42" s="2066" t="s">
        <v>1865</v>
      </c>
      <c r="N42" s="1791" t="s">
        <v>1866</v>
      </c>
      <c r="O42" s="1791" t="s">
        <v>1867</v>
      </c>
      <c r="P42" s="1791" t="s">
        <v>1868</v>
      </c>
      <c r="Q42" s="2065" t="s">
        <v>1869</v>
      </c>
      <c r="R42" s="2065" t="s">
        <v>1870</v>
      </c>
      <c r="S42" s="2025"/>
      <c r="T42" s="2025"/>
      <c r="U42" s="2025"/>
      <c r="V42" s="2025"/>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J21" sqref="AJ21"/>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hidden="1" customWidth="1"/>
    <col min="12"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1871</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1872</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1873</v>
      </c>
      <c r="B2" s="11" t="s">
        <v>1874</v>
      </c>
      <c r="C2" s="11" t="s">
        <v>1875</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1876</v>
      </c>
      <c r="AZ2" s="1269" t="s">
        <v>1877</v>
      </c>
      <c r="BA2" s="11" t="s">
        <v>1878</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49727</v>
      </c>
      <c r="B3" s="14">
        <f>IF(C3="否",G5-AT5,G5)</f>
        <v>38865.599999999999</v>
      </c>
      <c r="C3" s="2159" t="s">
        <v>1879</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1880</v>
      </c>
      <c r="B5" s="1799"/>
      <c r="C5" s="1799"/>
      <c r="D5" s="1802"/>
      <c r="E5" s="16" t="s">
        <v>1</v>
      </c>
      <c r="F5" s="16">
        <f>SUM(F13:F587)</f>
        <v>0</v>
      </c>
      <c r="G5" s="16">
        <f>SUM(G13:G587)</f>
        <v>38865.599999999999</v>
      </c>
      <c r="H5" s="16">
        <f t="shared" ref="H5:AT5" si="0">SUM(H13:H656)</f>
        <v>38865.599999999999</v>
      </c>
      <c r="I5" s="16">
        <f t="shared" si="0"/>
        <v>38865.599999999999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1880</v>
      </c>
      <c r="AW5" s="1799"/>
      <c r="AX5" s="1799"/>
      <c r="AY5" s="17" t="s">
        <v>3</v>
      </c>
      <c r="AZ5" s="18">
        <f t="shared" ref="AZ5:BT5" si="1">SUM(AZ13:AZ656)</f>
        <v>38865.599999999999</v>
      </c>
      <c r="BA5" s="18">
        <f t="shared" si="1"/>
        <v>38865.599999999999</v>
      </c>
      <c r="BB5" s="18">
        <f t="shared" si="1"/>
        <v>38865.599999999999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1881</v>
      </c>
      <c r="B6" s="2165"/>
      <c r="C6" s="2165"/>
      <c r="D6" s="2166"/>
      <c r="E6" s="16">
        <f>H6+AC6+AT6</f>
        <v>49727</v>
      </c>
      <c r="F6" s="16" t="s">
        <v>1</v>
      </c>
      <c r="G6" s="16" t="s">
        <v>2</v>
      </c>
      <c r="H6" s="20">
        <f>SUMIF(I$12:AB$12,"总值",I6:AB6)</f>
        <v>49727</v>
      </c>
      <c r="I6" s="16">
        <f t="shared" ref="I6:AB6" si="2">ROUND($A$3*I5/$B$3,2)</f>
        <v>49727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1881</v>
      </c>
      <c r="AW6" s="2165"/>
      <c r="AX6" s="2165"/>
      <c r="AY6" s="21">
        <f>IF(AY3&gt;0,AY3,ROUND($A$3*AZ5/$B$3,2))</f>
        <v>49727</v>
      </c>
      <c r="AZ6" s="16" t="s">
        <v>3</v>
      </c>
      <c r="BA6" s="16">
        <f>ROUND($AY$6*BA5/$AZ$5,2)</f>
        <v>49727</v>
      </c>
      <c r="BB6" s="16">
        <f>ROUND($AY$6*BB5/$AZ$5,2)</f>
        <v>49727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1882</v>
      </c>
      <c r="B7" s="2100" t="s">
        <v>1883</v>
      </c>
      <c r="C7" s="2100" t="s">
        <v>1884</v>
      </c>
      <c r="D7" s="2100" t="s">
        <v>1885</v>
      </c>
      <c r="E7" s="2100" t="s">
        <v>1886</v>
      </c>
      <c r="F7" s="2100" t="s">
        <v>1887</v>
      </c>
      <c r="G7" s="2169" t="s">
        <v>1888</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1889</v>
      </c>
      <c r="AV7" s="23" t="s">
        <v>1890</v>
      </c>
      <c r="AW7" s="2157" t="s">
        <v>1891</v>
      </c>
      <c r="AX7" s="23" t="s">
        <v>1884</v>
      </c>
      <c r="AY7" s="1799" t="s">
        <v>1892</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1893</v>
      </c>
      <c r="H8" s="2175" t="s">
        <v>1894</v>
      </c>
      <c r="I8" s="2176"/>
      <c r="J8" s="1814"/>
      <c r="K8" s="1814"/>
      <c r="L8" s="1814"/>
      <c r="M8" s="1814"/>
      <c r="N8" s="1814"/>
      <c r="O8" s="1814"/>
      <c r="P8" s="1814"/>
      <c r="Q8" s="1814"/>
      <c r="R8" s="1814"/>
      <c r="S8" s="1814"/>
      <c r="T8" s="1814"/>
      <c r="U8" s="1814"/>
      <c r="V8" s="2177"/>
      <c r="W8" s="1814"/>
      <c r="X8" s="1814"/>
      <c r="Y8" s="1814"/>
      <c r="Z8" s="1814"/>
      <c r="AA8" s="2177"/>
      <c r="AB8" s="2178"/>
      <c r="AC8" s="984" t="s">
        <v>1895</v>
      </c>
      <c r="AD8" s="2179"/>
      <c r="AE8" s="2171"/>
      <c r="AF8" s="1814"/>
      <c r="AG8" s="1814"/>
      <c r="AH8" s="1814"/>
      <c r="AI8" s="1814"/>
      <c r="AJ8" s="1814"/>
      <c r="AK8" s="1814"/>
      <c r="AL8" s="1814"/>
      <c r="AM8" s="1814"/>
      <c r="AN8" s="1814"/>
      <c r="AO8" s="1814"/>
      <c r="AP8" s="1814"/>
      <c r="AQ8" s="1814"/>
      <c r="AR8" s="1814"/>
      <c r="AS8" s="1814"/>
      <c r="AT8" s="1291" t="s">
        <v>1896</v>
      </c>
      <c r="AU8" s="2173" t="s">
        <v>1897</v>
      </c>
      <c r="AV8" s="1291"/>
      <c r="AW8" s="2156"/>
      <c r="AX8" s="1291"/>
      <c r="AY8" s="2157"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0" customFormat="1" ht="12.75">
      <c r="A9" s="2173"/>
      <c r="B9" s="2173"/>
      <c r="C9" s="2173"/>
      <c r="D9" s="2173"/>
      <c r="E9" s="2173"/>
      <c r="F9" s="2173"/>
      <c r="G9" s="1291"/>
      <c r="H9" s="2181" t="s">
        <v>1900</v>
      </c>
      <c r="I9" s="2182" t="s">
        <v>3052</v>
      </c>
      <c r="J9" s="984"/>
      <c r="K9" s="2182"/>
      <c r="L9" s="984"/>
      <c r="M9" s="2182"/>
      <c r="N9" s="984"/>
      <c r="O9" s="2182"/>
      <c r="P9" s="984"/>
      <c r="Q9" s="2182"/>
      <c r="R9" s="984"/>
      <c r="S9" s="2182"/>
      <c r="T9" s="984"/>
      <c r="U9" s="2182"/>
      <c r="V9" s="984"/>
      <c r="W9" s="2182"/>
      <c r="X9" s="2183"/>
      <c r="Y9" s="2182"/>
      <c r="Z9" s="984"/>
      <c r="AA9" s="2182"/>
      <c r="AB9" s="984"/>
      <c r="AC9" s="2174"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84"/>
      <c r="AT9" s="2173"/>
      <c r="AU9" s="2173" t="s">
        <v>1903</v>
      </c>
      <c r="AV9" s="1291"/>
      <c r="AW9" s="2156"/>
      <c r="AX9" s="1291"/>
      <c r="AY9" s="28"/>
      <c r="AZ9" s="28" t="s">
        <v>1893</v>
      </c>
      <c r="BA9" s="2185" t="s">
        <v>1904</v>
      </c>
      <c r="BB9" s="2186"/>
      <c r="BC9" s="1337"/>
      <c r="BD9" s="1337"/>
      <c r="BE9" s="1337"/>
      <c r="BF9" s="1337"/>
      <c r="BG9" s="1337"/>
      <c r="BH9" s="1337"/>
      <c r="BI9" s="1337"/>
      <c r="BJ9" s="1337"/>
      <c r="BK9" s="2187"/>
      <c r="BL9" s="15" t="s">
        <v>1905</v>
      </c>
      <c r="BM9" s="1814"/>
      <c r="BN9" s="2176"/>
      <c r="BO9" s="1814"/>
      <c r="BP9" s="1814"/>
      <c r="BQ9" s="1814"/>
      <c r="BR9" s="1814"/>
      <c r="BS9" s="1814"/>
      <c r="BT9" s="26"/>
    </row>
    <row r="10" spans="1:72" s="2180" customFormat="1" ht="12.75">
      <c r="A10" s="2173"/>
      <c r="B10" s="2173"/>
      <c r="C10" s="2173"/>
      <c r="D10" s="2173"/>
      <c r="E10" s="2173"/>
      <c r="F10" s="2173"/>
      <c r="G10" s="1291"/>
      <c r="H10" s="28"/>
      <c r="I10" s="2182" t="s">
        <v>27</v>
      </c>
      <c r="J10" s="984"/>
      <c r="K10" s="2188"/>
      <c r="L10" s="984"/>
      <c r="M10" s="2188"/>
      <c r="N10" s="984"/>
      <c r="O10" s="2188"/>
      <c r="P10" s="984"/>
      <c r="Q10" s="2188"/>
      <c r="R10" s="984"/>
      <c r="S10" s="2188"/>
      <c r="T10" s="984"/>
      <c r="U10" s="2188"/>
      <c r="V10" s="984"/>
      <c r="W10" s="2188"/>
      <c r="X10" s="984"/>
      <c r="Y10" s="2188"/>
      <c r="Z10" s="984"/>
      <c r="AA10" s="2188"/>
      <c r="AB10" s="984"/>
      <c r="AC10" s="1291"/>
      <c r="AD10" s="15" t="s">
        <v>1906</v>
      </c>
      <c r="AE10" s="2189"/>
      <c r="AF10" s="15" t="s">
        <v>1906</v>
      </c>
      <c r="AG10" s="2189"/>
      <c r="AH10" s="15" t="s">
        <v>1907</v>
      </c>
      <c r="AI10" s="2189"/>
      <c r="AJ10" s="15" t="s">
        <v>1907</v>
      </c>
      <c r="AK10" s="2189"/>
      <c r="AL10" s="15" t="s">
        <v>1908</v>
      </c>
      <c r="AM10" s="1297"/>
      <c r="AN10" s="15" t="s">
        <v>1908</v>
      </c>
      <c r="AO10" s="1297"/>
      <c r="AP10" s="15" t="s">
        <v>1909</v>
      </c>
      <c r="AQ10" s="1297"/>
      <c r="AR10" s="15" t="s">
        <v>1909</v>
      </c>
      <c r="AS10" s="1297"/>
      <c r="AT10" s="2173"/>
      <c r="AU10" s="2173"/>
      <c r="AV10" s="1291"/>
      <c r="AW10" s="2156"/>
      <c r="AX10" s="1291"/>
      <c r="AY10" s="28"/>
      <c r="AZ10" s="28"/>
      <c r="BA10" s="2190" t="s">
        <v>1900</v>
      </c>
      <c r="BB10" s="2191" t="str">
        <f>I9</f>
        <v>地上</v>
      </c>
      <c r="BC10" s="29">
        <f>K9</f>
        <v>0</v>
      </c>
      <c r="BD10" s="29">
        <f>M9</f>
        <v>0</v>
      </c>
      <c r="BE10" s="29">
        <f>O9</f>
        <v>0</v>
      </c>
      <c r="BF10" s="29">
        <f>Q9</f>
        <v>0</v>
      </c>
      <c r="BG10" s="29">
        <f>S9</f>
        <v>0</v>
      </c>
      <c r="BH10" s="29">
        <f>U9</f>
        <v>0</v>
      </c>
      <c r="BI10" s="29">
        <f>W9</f>
        <v>0</v>
      </c>
      <c r="BJ10" s="29">
        <f>Y9</f>
        <v>0</v>
      </c>
      <c r="BK10" s="29">
        <f>AA9</f>
        <v>0</v>
      </c>
      <c r="BL10" s="25" t="s">
        <v>1900</v>
      </c>
      <c r="BM10" s="1813" t="str">
        <f>AD9</f>
        <v>地上</v>
      </c>
      <c r="BN10" s="29" t="str">
        <f>AF9</f>
        <v>地下</v>
      </c>
      <c r="BO10" s="1813" t="str">
        <f>AH9</f>
        <v>地上</v>
      </c>
      <c r="BP10" s="29" t="str">
        <f>AJ9</f>
        <v>地下</v>
      </c>
      <c r="BQ10" s="1813" t="str">
        <f>AL9</f>
        <v>地上</v>
      </c>
      <c r="BR10" s="29" t="str">
        <f>AN9</f>
        <v>地下</v>
      </c>
      <c r="BS10" s="1813"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1910</v>
      </c>
      <c r="AE11" s="1815"/>
      <c r="AF11" s="2195" t="s">
        <v>1910</v>
      </c>
      <c r="AG11" s="1815"/>
      <c r="AH11" s="2195" t="s">
        <v>1911</v>
      </c>
      <c r="AI11" s="2196"/>
      <c r="AJ11" s="2195" t="s">
        <v>1911</v>
      </c>
      <c r="AK11" s="1815"/>
      <c r="AL11" s="1813"/>
      <c r="AM11" s="1815"/>
      <c r="AN11" s="1813"/>
      <c r="AO11" s="1815"/>
      <c r="AP11" s="1813"/>
      <c r="AQ11" s="1815"/>
      <c r="AR11" s="1813"/>
      <c r="AS11" s="1815"/>
      <c r="AT11" s="2156"/>
      <c r="AU11" s="2173"/>
      <c r="AV11" s="1291"/>
      <c r="AW11" s="2156"/>
      <c r="AX11" s="1291"/>
      <c r="AY11" s="28"/>
      <c r="AZ11" s="28"/>
      <c r="BA11" s="28"/>
      <c r="BB11" s="2178" t="str">
        <f>I10</f>
        <v>办公</v>
      </c>
      <c r="BC11" s="2178">
        <f>K10</f>
        <v>0</v>
      </c>
      <c r="BD11" s="2178">
        <f>M10</f>
        <v>0</v>
      </c>
      <c r="BE11" s="2178">
        <f>O10</f>
        <v>0</v>
      </c>
      <c r="BF11" s="2178">
        <f>Q10</f>
        <v>0</v>
      </c>
      <c r="BG11" s="2178">
        <f>S10</f>
        <v>0</v>
      </c>
      <c r="BH11" s="2178">
        <f>U10</f>
        <v>0</v>
      </c>
      <c r="BI11" s="2178">
        <f>W10</f>
        <v>0</v>
      </c>
      <c r="BJ11" s="2178">
        <f>Y10</f>
        <v>0</v>
      </c>
      <c r="BK11" s="2178">
        <f>AA10</f>
        <v>0</v>
      </c>
      <c r="BL11" s="1291"/>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0"/>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8" t="s">
        <v>1913</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13" t="str">
        <f>AD11</f>
        <v>（住宅）</v>
      </c>
      <c r="BN12" s="1813"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c r="D13" s="2204" t="s">
        <v>3051</v>
      </c>
      <c r="E13" s="16">
        <f>IF($C$3="是",ROUND($A$3*G13/$B$3,2),ROUND($A$3*(G13-AT13)/$B$3,2))</f>
        <v>49727</v>
      </c>
      <c r="F13" s="32"/>
      <c r="G13" s="33">
        <f>H13+AC13+AT13</f>
        <v>38865.599999999999</v>
      </c>
      <c r="H13" s="20">
        <f>SUMIF(I$12:AB$12,"总值",I13:AB13)</f>
        <v>38865.599999999999</v>
      </c>
      <c r="I13" s="2205">
        <v>38865.599999999999</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0</v>
      </c>
      <c r="AY13" s="1802">
        <f>ROUND($AY$6*AZ13/$AZ$5,2)</f>
        <v>49727</v>
      </c>
      <c r="AZ13" s="16">
        <f>BA13+BL13</f>
        <v>38865.599999999999</v>
      </c>
      <c r="BA13" s="16">
        <f>SUM(BB13:BK13)</f>
        <v>38865.599999999999</v>
      </c>
      <c r="BB13" s="16">
        <f>IF($D13="是",I13-J13,0)</f>
        <v>38865.599999999999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H31" sqref="H3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91"/>
      <c r="C1" s="1391"/>
      <c r="D1" s="1391"/>
      <c r="E1" s="1391"/>
      <c r="F1" s="1391"/>
      <c r="G1" s="1391"/>
      <c r="H1" s="1391"/>
      <c r="I1" s="1391"/>
      <c r="J1" s="1391"/>
      <c r="K1" s="1391"/>
      <c r="L1" s="1391"/>
      <c r="M1" s="1391"/>
      <c r="N1" s="1391"/>
      <c r="O1" s="1391"/>
      <c r="P1" s="1391"/>
    </row>
    <row r="2" spans="1:16" ht="15">
      <c r="A2" s="3054" t="s">
        <v>1940</v>
      </c>
      <c r="B2" s="3054"/>
      <c r="C2" s="3054"/>
      <c r="D2" s="970" t="s">
        <v>1916</v>
      </c>
      <c r="E2" s="2218" t="s">
        <v>1917</v>
      </c>
      <c r="F2" s="1391"/>
      <c r="G2" s="2219"/>
      <c r="H2" s="2220"/>
      <c r="I2" s="2221" t="s">
        <v>1941</v>
      </c>
      <c r="J2" s="1391"/>
      <c r="K2" s="1391"/>
      <c r="L2" s="1391"/>
      <c r="M2" s="1391"/>
      <c r="N2" s="1426"/>
      <c r="O2" s="1391"/>
      <c r="P2" s="1391"/>
    </row>
    <row r="3" spans="1:16" ht="15.75" thickBot="1">
      <c r="A3" s="3055" t="s">
        <v>1914</v>
      </c>
      <c r="B3" s="3055"/>
      <c r="C3" s="3055"/>
      <c r="D3" s="46">
        <f>'数据-基础表'!AY6</f>
        <v>49727</v>
      </c>
      <c r="E3" s="46">
        <f>'数据-基础表'!AZ5</f>
        <v>38865.599999999999</v>
      </c>
      <c r="F3" s="1391"/>
      <c r="G3" s="1398"/>
      <c r="H3" s="1246" t="s">
        <v>1915</v>
      </c>
      <c r="I3" s="55">
        <f>ROUND('数据-基础表'!B3/'数据-基础表'!A3,2)</f>
        <v>0.78</v>
      </c>
      <c r="J3" s="1391"/>
      <c r="K3" s="1391"/>
      <c r="L3" s="1391"/>
      <c r="M3" s="1391"/>
      <c r="N3" s="1426"/>
      <c r="O3" s="1391"/>
      <c r="P3" s="1391"/>
    </row>
    <row r="4" spans="1:16" ht="15">
      <c r="A4" s="3056"/>
      <c r="B4" s="3057"/>
      <c r="C4" s="3058"/>
      <c r="D4" s="2222" t="s">
        <v>1916</v>
      </c>
      <c r="E4" s="2223" t="s">
        <v>1917</v>
      </c>
      <c r="F4" s="1391"/>
      <c r="G4" s="2224" t="s">
        <v>1942</v>
      </c>
      <c r="H4" s="1246" t="s">
        <v>1922</v>
      </c>
      <c r="I4" s="55">
        <f>ROUND(SUMIF('数据-基础表'!I9:AS9,"地上",'数据-基础表'!I5:AS5)/'数据-基础表'!A3,2)</f>
        <v>0.78</v>
      </c>
      <c r="J4" s="1391"/>
      <c r="K4" s="1391"/>
      <c r="L4" s="1391"/>
      <c r="M4" s="1391"/>
      <c r="N4" s="1426"/>
      <c r="O4" s="1391"/>
      <c r="P4" s="1391"/>
    </row>
    <row r="5" spans="1:16">
      <c r="A5" s="47" t="s">
        <v>1918</v>
      </c>
      <c r="B5" s="3059" t="s">
        <v>1919</v>
      </c>
      <c r="C5" s="3059"/>
      <c r="D5" s="48">
        <f>ROUND($D$3*E5/$E$3,2)</f>
        <v>0</v>
      </c>
      <c r="E5" s="49">
        <f>SUMIF('数据-基础表'!$11:$11,"住宅",'数据-基础表'!$5:$5)</f>
        <v>0</v>
      </c>
      <c r="F5" s="1391"/>
      <c r="G5" s="1398"/>
      <c r="H5" s="1246" t="s">
        <v>1915</v>
      </c>
      <c r="I5" s="55">
        <f>ROUND(E31/D31,2)</f>
        <v>0.78</v>
      </c>
      <c r="J5" s="1391"/>
      <c r="K5" s="1391"/>
      <c r="L5" s="1391"/>
      <c r="M5" s="1391"/>
      <c r="N5" s="1391"/>
      <c r="O5" s="1391"/>
      <c r="P5" s="1391"/>
    </row>
    <row r="6" spans="1:16" ht="15" thickBot="1">
      <c r="A6" s="2225"/>
      <c r="B6" s="3059" t="s">
        <v>1920</v>
      </c>
      <c r="C6" s="3059"/>
      <c r="D6" s="48">
        <f>ROUND($D$3*E6/$E$3,2)</f>
        <v>49727</v>
      </c>
      <c r="E6" s="49">
        <f>E3-E5</f>
        <v>38865.599999999999</v>
      </c>
      <c r="F6" s="1391"/>
      <c r="G6" s="2226" t="s">
        <v>1921</v>
      </c>
      <c r="H6" s="1398" t="s">
        <v>1922</v>
      </c>
      <c r="I6" s="942">
        <f>ROUND(F31/D31,2)</f>
        <v>0.78</v>
      </c>
      <c r="J6" s="1391"/>
      <c r="K6" s="1391"/>
      <c r="L6" s="1391"/>
      <c r="M6" s="1391"/>
      <c r="N6" s="1391"/>
      <c r="O6" s="1391"/>
      <c r="P6" s="1391"/>
    </row>
    <row r="7" spans="1:16" ht="15">
      <c r="A7" s="3051"/>
      <c r="B7" s="3052"/>
      <c r="C7" s="3053"/>
      <c r="D7" s="2222" t="s">
        <v>1916</v>
      </c>
      <c r="E7" s="2227" t="s">
        <v>1923</v>
      </c>
      <c r="F7" s="1391"/>
      <c r="G7" s="2219" t="s">
        <v>1924</v>
      </c>
      <c r="H7" s="64"/>
      <c r="I7" s="420"/>
      <c r="J7" s="1391"/>
      <c r="K7" s="1391"/>
      <c r="L7" s="1391"/>
      <c r="M7" s="1391"/>
      <c r="N7" s="1391"/>
      <c r="O7" s="1391"/>
      <c r="P7" s="1391"/>
    </row>
    <row r="8" spans="1:16">
      <c r="A8" s="47" t="s">
        <v>1925</v>
      </c>
      <c r="B8" s="50" t="s">
        <v>1926</v>
      </c>
      <c r="C8" s="48" t="s">
        <v>1927</v>
      </c>
      <c r="D8" s="48">
        <f t="shared" ref="D8:D15" si="0">ROUND($D$3*E8/$E$3,2)</f>
        <v>49727</v>
      </c>
      <c r="E8" s="51">
        <f>SUMIF('数据-基础表'!BB10:BK10,"地上",'数据-基础表'!BB5:BK5)</f>
        <v>38865.599999999999</v>
      </c>
      <c r="F8" s="1391"/>
      <c r="G8" s="2228"/>
      <c r="H8" s="2228"/>
      <c r="I8" s="1391"/>
      <c r="J8" s="1391"/>
      <c r="K8" s="1391"/>
      <c r="L8" s="1391"/>
      <c r="M8" s="1391"/>
      <c r="N8" s="1391"/>
      <c r="O8" s="1391"/>
      <c r="P8" s="1391"/>
    </row>
    <row r="9" spans="1:16">
      <c r="A9" s="2229"/>
      <c r="B9" s="2230"/>
      <c r="C9" s="48" t="s">
        <v>1928</v>
      </c>
      <c r="D9" s="48">
        <f t="shared" si="0"/>
        <v>0</v>
      </c>
      <c r="E9" s="52">
        <v>0</v>
      </c>
      <c r="F9" s="1391"/>
      <c r="G9" s="2228"/>
      <c r="H9" s="2228"/>
      <c r="I9" s="1391"/>
      <c r="J9" s="1391"/>
      <c r="K9" s="1391"/>
      <c r="L9" s="1391"/>
      <c r="M9" s="1391"/>
      <c r="N9" s="1391"/>
      <c r="O9" s="1391"/>
      <c r="P9" s="1391"/>
    </row>
    <row r="10" spans="1:16">
      <c r="A10" s="2229"/>
      <c r="B10" s="2230"/>
      <c r="C10" s="48" t="s">
        <v>1937</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c r="A11" s="2229"/>
      <c r="B11" s="2230"/>
      <c r="C11" s="48" t="s">
        <v>1929</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1930</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1931</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1943</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1938</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1932</v>
      </c>
      <c r="D16" s="50">
        <f>SUM(D8:D15)</f>
        <v>49727</v>
      </c>
      <c r="E16" s="53">
        <f>SUM(E8:E15)</f>
        <v>38865.599999999999</v>
      </c>
      <c r="F16" s="1391"/>
      <c r="G16" s="2228"/>
      <c r="H16" s="2231" t="s">
        <v>1944</v>
      </c>
      <c r="I16" s="2232"/>
      <c r="J16" s="1391"/>
      <c r="K16" s="3048" t="s">
        <v>1944</v>
      </c>
      <c r="L16" s="3049"/>
      <c r="M16" s="3049"/>
      <c r="N16" s="3049"/>
      <c r="O16" s="3049"/>
      <c r="P16" s="3050"/>
    </row>
    <row r="17" spans="1:19" ht="15">
      <c r="A17" s="2233" t="s">
        <v>1945</v>
      </c>
      <c r="B17" s="2234" t="s">
        <v>1946</v>
      </c>
      <c r="C17" s="2235" t="s">
        <v>1947</v>
      </c>
      <c r="D17" s="2236" t="s">
        <v>1935</v>
      </c>
      <c r="E17" s="2237" t="s">
        <v>1936</v>
      </c>
      <c r="F17" s="2238"/>
      <c r="G17" s="2239"/>
      <c r="H17" s="2240" t="s">
        <v>1948</v>
      </c>
      <c r="I17" s="2241" t="s">
        <v>1933</v>
      </c>
      <c r="J17" s="1391"/>
      <c r="K17" s="3045" t="s">
        <v>1949</v>
      </c>
      <c r="L17" s="3046"/>
      <c r="M17" s="3047"/>
      <c r="N17" s="3045" t="s">
        <v>1950</v>
      </c>
      <c r="O17" s="3046"/>
      <c r="P17" s="3047"/>
      <c r="R17" s="2219" t="s">
        <v>1951</v>
      </c>
      <c r="S17" s="64"/>
    </row>
    <row r="18" spans="1:19" ht="15">
      <c r="A18" s="2229"/>
      <c r="B18" s="2242"/>
      <c r="C18" s="2243"/>
      <c r="D18" s="2244"/>
      <c r="E18" s="2245" t="s">
        <v>1952</v>
      </c>
      <c r="F18" s="2246" t="s">
        <v>1953</v>
      </c>
      <c r="G18" s="2247" t="s">
        <v>1954</v>
      </c>
      <c r="H18" s="1261" t="s">
        <v>1955</v>
      </c>
      <c r="I18" s="2248" t="s">
        <v>1956</v>
      </c>
      <c r="J18" s="1391"/>
      <c r="K18" s="1261" t="s">
        <v>1957</v>
      </c>
      <c r="L18" s="2249" t="s">
        <v>1958</v>
      </c>
      <c r="M18" s="1049" t="s">
        <v>1959</v>
      </c>
      <c r="N18" s="1261" t="s">
        <v>1957</v>
      </c>
      <c r="O18" s="2249" t="s">
        <v>1958</v>
      </c>
      <c r="P18" s="1049" t="s">
        <v>1959</v>
      </c>
      <c r="R18" s="1246" t="s">
        <v>1960</v>
      </c>
      <c r="S18" s="1246" t="s">
        <v>1961</v>
      </c>
    </row>
    <row r="19" spans="1:19">
      <c r="A19" s="2250"/>
      <c r="B19" s="50" t="s">
        <v>1934</v>
      </c>
      <c r="C19" s="2938" t="s">
        <v>3053</v>
      </c>
      <c r="D19" s="48">
        <f>ROUND($D$3*E19/$E$3,2)</f>
        <v>49727</v>
      </c>
      <c r="E19" s="56">
        <f t="shared" ref="E19:E26" si="1">SUM(F19:G19)</f>
        <v>38865.599999999999</v>
      </c>
      <c r="F19" s="57">
        <f>'数据-基础表'!I13</f>
        <v>38865.599999999999</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2"/>
      <c r="O19" s="2253"/>
      <c r="P19" s="1402">
        <f>N19+O19</f>
        <v>0</v>
      </c>
      <c r="R19" s="1246">
        <f t="shared" ref="R19:S26" si="5">D19+H19</f>
        <v>49727</v>
      </c>
      <c r="S19" s="1247">
        <f t="shared" si="5"/>
        <v>38865.599999999999</v>
      </c>
    </row>
    <row r="20" spans="1:19">
      <c r="A20" s="2254"/>
      <c r="B20" s="50" t="s">
        <v>1962</v>
      </c>
      <c r="C20" s="2251"/>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0</v>
      </c>
      <c r="S20" s="1247">
        <f t="shared" si="5"/>
        <v>0</v>
      </c>
    </row>
    <row r="21" spans="1:19">
      <c r="A21" s="2254"/>
      <c r="B21" s="50" t="s">
        <v>1962</v>
      </c>
      <c r="C21" s="2251"/>
      <c r="D21" s="48">
        <f t="shared" si="6"/>
        <v>0</v>
      </c>
      <c r="E21" s="56">
        <f t="shared" si="1"/>
        <v>0</v>
      </c>
      <c r="F21" s="57"/>
      <c r="G21" s="58"/>
      <c r="H21" s="723">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1962</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1962</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1962</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1963</v>
      </c>
      <c r="D27" s="1392">
        <f>SUM(D19:D26)</f>
        <v>49727</v>
      </c>
      <c r="E27" s="1393">
        <f>IF(SUM(E19:E26)='数据-基础表'!BA5,SUM(E19:E26),IF(F27="地上面积有误","面积有误","地下面积有误"))</f>
        <v>38865.599999999999</v>
      </c>
      <c r="F27" s="1392">
        <f>IF(SUM(F19:F26)=E8,SUM(F19:F26),"地上面积有误")</f>
        <v>38865.599999999999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49727</v>
      </c>
      <c r="S27" s="1246">
        <f>IF(SUM(S19:S26)=$E$3,SUM(S19:S26),SUM(S19:S26)&amp;"误差"&amp;ROUND(SUM(S19:S26)-E3,2))</f>
        <v>38865.599999999999</v>
      </c>
    </row>
    <row r="28" spans="1:19">
      <c r="A28" s="2254"/>
      <c r="B28" s="50" t="s">
        <v>1964</v>
      </c>
      <c r="C28" s="1258"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4"/>
      <c r="B29" s="50" t="s">
        <v>1964</v>
      </c>
      <c r="C29" s="2258"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1963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0"/>
      <c r="B31" s="2261"/>
      <c r="C31" s="1010" t="s">
        <v>1967</v>
      </c>
      <c r="D31" s="729">
        <f>D27+D30</f>
        <v>49727</v>
      </c>
      <c r="E31" s="729">
        <f>E27+E30</f>
        <v>38865.599999999999</v>
      </c>
      <c r="F31" s="730">
        <f>F27+F30</f>
        <v>38865.599999999999</v>
      </c>
      <c r="G31" s="731">
        <f>G27+G30</f>
        <v>0</v>
      </c>
      <c r="H31" s="1391"/>
      <c r="I31" s="1391"/>
      <c r="J31" s="1391"/>
      <c r="K31" s="1391"/>
      <c r="L31" s="1391"/>
      <c r="M31" s="1391"/>
      <c r="N31" s="1391"/>
      <c r="O31" s="1391"/>
      <c r="P31" s="1391"/>
    </row>
    <row r="32" spans="1:19">
      <c r="A32" s="2224"/>
      <c r="B32" s="2224" t="s">
        <v>1968</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1969</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7" customFormat="1" ht="15.75" thickBot="1">
      <c r="A2" s="2267" t="s">
        <v>1970</v>
      </c>
      <c r="B2" s="1265">
        <f>项目基本情况!D3</f>
        <v>43417</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8"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5" t="s">
        <v>1975</v>
      </c>
      <c r="AA4" s="2235"/>
      <c r="AB4" s="2235"/>
      <c r="AC4" s="2235"/>
      <c r="AD4" s="2235"/>
      <c r="AE4" s="2233" t="s">
        <v>1976</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1977</v>
      </c>
      <c r="B5" s="2281" t="s">
        <v>1978</v>
      </c>
      <c r="C5" s="2282" t="s">
        <v>1979</v>
      </c>
      <c r="D5" s="2283" t="s">
        <v>1980</v>
      </c>
      <c r="E5" s="1267" t="s">
        <v>1981</v>
      </c>
      <c r="F5" s="2284" t="s">
        <v>1982</v>
      </c>
      <c r="G5" s="1267" t="s">
        <v>1983</v>
      </c>
      <c r="H5" s="1267" t="s">
        <v>1984</v>
      </c>
      <c r="I5" s="1267" t="s">
        <v>1985</v>
      </c>
      <c r="J5" s="2285" t="s">
        <v>1986</v>
      </c>
      <c r="K5" s="2286" t="s">
        <v>1987</v>
      </c>
      <c r="L5" s="2287" t="s">
        <v>1988</v>
      </c>
      <c r="M5" s="2288" t="s">
        <v>1989</v>
      </c>
      <c r="N5" s="2289" t="s">
        <v>3054</v>
      </c>
      <c r="O5" s="2287" t="s">
        <v>1990</v>
      </c>
      <c r="P5" s="2290" t="s">
        <v>1991</v>
      </c>
      <c r="Q5" s="69" t="s">
        <v>1992</v>
      </c>
      <c r="R5" s="2291" t="s">
        <v>1993</v>
      </c>
      <c r="S5" s="2292" t="s">
        <v>1994</v>
      </c>
      <c r="T5" s="2293" t="s">
        <v>1995</v>
      </c>
      <c r="U5" s="1266" t="s">
        <v>1996</v>
      </c>
      <c r="V5" s="1267" t="s">
        <v>1997</v>
      </c>
      <c r="W5" s="1267" t="s">
        <v>1998</v>
      </c>
      <c r="X5" s="71"/>
      <c r="Y5" s="70" t="s">
        <v>1999</v>
      </c>
      <c r="Z5" s="2294" t="s">
        <v>1996</v>
      </c>
      <c r="AA5" s="1267" t="s">
        <v>1997</v>
      </c>
      <c r="AB5" s="1267" t="s">
        <v>1998</v>
      </c>
      <c r="AC5" s="71"/>
      <c r="AD5" s="71" t="s">
        <v>1999</v>
      </c>
      <c r="AE5" s="1266" t="s">
        <v>2000</v>
      </c>
      <c r="AF5" s="1267" t="s">
        <v>2001</v>
      </c>
      <c r="AG5" s="70" t="s">
        <v>2002</v>
      </c>
      <c r="AH5" s="1266" t="s">
        <v>2003</v>
      </c>
      <c r="AI5" s="2294" t="s">
        <v>2004</v>
      </c>
      <c r="AJ5" s="2294" t="s">
        <v>2005</v>
      </c>
      <c r="AK5" s="1267" t="s">
        <v>2006</v>
      </c>
      <c r="AL5" s="1267" t="s">
        <v>2007</v>
      </c>
      <c r="AM5" s="70" t="s">
        <v>2008</v>
      </c>
      <c r="AN5" s="2295" t="s">
        <v>2009</v>
      </c>
      <c r="AO5" s="2065" t="s">
        <v>2010</v>
      </c>
      <c r="AP5" s="1248" t="s">
        <v>2011</v>
      </c>
      <c r="AQ5" s="2296" t="s">
        <v>2012</v>
      </c>
      <c r="AR5" s="2296" t="s">
        <v>2013</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办公</v>
      </c>
      <c r="B6" s="2298" t="str">
        <f>IF(A6=0,"","经营性")</f>
        <v>经营性</v>
      </c>
      <c r="C6" s="2299" t="s">
        <v>27</v>
      </c>
      <c r="D6" s="1054">
        <f>SUMIF(项目基本情况!D$12:I$12,C6,项目基本情况!D$14:I$14)</f>
        <v>40</v>
      </c>
      <c r="E6" s="1051">
        <f>IF(B6="","",SUMIF(项目基本情况!D$12:I$12,C6,项目基本情况!D$13:I$13))</f>
        <v>54019</v>
      </c>
      <c r="F6" s="72">
        <f>SUMIF(项目基本情况!D$12:I$12,C6,项目基本情况!D$15:I$15)</f>
        <v>29.04</v>
      </c>
      <c r="G6" s="73">
        <f>IF(ISERROR(ROUND(POWER(1+H6,D6-F6)*(POWER(1+H6,F6)-1)/(POWER(1+H6,D6)-1),3)),0,ROUND(POWER(1+H6,D6-F6)*(POWER(1+H6,F6)-1)/(POWER(1+H6,D6)-1),3))</f>
        <v>0.88300000000000001</v>
      </c>
      <c r="H6" s="802">
        <v>0.05</v>
      </c>
      <c r="I6" s="802">
        <v>5.5E-2</v>
      </c>
      <c r="J6" s="74">
        <v>0.08</v>
      </c>
      <c r="K6" s="1250">
        <f>SUMIF('数据-汇总表'!C$19:C$33,A6,'数据-汇总表'!E$19:E$33)</f>
        <v>38865.599999999999</v>
      </c>
      <c r="L6" s="803">
        <v>2200</v>
      </c>
      <c r="M6" s="75">
        <f t="shared" ref="M6:M14" si="0">ROUND(K6*L6/10000,0)</f>
        <v>8550</v>
      </c>
      <c r="N6" s="801">
        <v>0.88</v>
      </c>
      <c r="O6" s="75" t="str">
        <f>IF($N$5="成新度","——",ROUND(M6*N6,0))</f>
        <v>——</v>
      </c>
      <c r="P6" s="76" t="str">
        <f>IF($N$5="成新度","——",M6-O6)</f>
        <v>——</v>
      </c>
      <c r="Q6" s="804">
        <v>0.15</v>
      </c>
      <c r="R6" s="77">
        <f ca="1">SUMIF('数据-汇总表'!C$19:C$33,A6,'数据-汇总表'!R$19:R$27)</f>
        <v>49727</v>
      </c>
      <c r="S6" s="54">
        <f>IF('数据-汇总表'!$I$17="按面积比例",SUMIF('数据-汇总表'!C$19:C$33,A6,'数据-汇总表'!K$19:K$33),SUMIF('数据-汇总表'!C$19:C$33,A6,'数据-汇总表'!N$19:N$33))</f>
        <v>0</v>
      </c>
      <c r="T6" s="1442">
        <f>ROUND($L$14*S6/10000,0)</f>
        <v>0</v>
      </c>
      <c r="U6" s="78">
        <v>1.2</v>
      </c>
      <c r="V6" s="79">
        <v>2.5000000000000001E-2</v>
      </c>
      <c r="W6" s="79">
        <v>0.1</v>
      </c>
      <c r="X6" s="1260"/>
      <c r="Y6" s="80">
        <f>N6</f>
        <v>0.88</v>
      </c>
      <c r="Z6" s="81"/>
      <c r="AA6" s="74"/>
      <c r="AB6" s="74"/>
      <c r="AC6" s="1260"/>
      <c r="AD6" s="82"/>
      <c r="AE6" s="1261">
        <f ca="1">IF(AN6="",0,SUMIF(INDIRECT("'"&amp;AN6&amp;"'"&amp;"!E:E"),$AE$5,INDIRECT("'"&amp;AN6&amp;"'"&amp;"!F:F")))</f>
        <v>29.04</v>
      </c>
      <c r="AF6" s="1800"/>
      <c r="AG6" s="147">
        <f>IF(AF6="",0,AE6-AF6)</f>
        <v>0</v>
      </c>
      <c r="AH6" s="83"/>
      <c r="AI6" s="85">
        <v>365</v>
      </c>
      <c r="AJ6" s="86"/>
      <c r="AK6" s="87">
        <v>1.4999999999999999E-2</v>
      </c>
      <c r="AL6" s="88">
        <v>1.5E-3</v>
      </c>
      <c r="AM6" s="89">
        <v>0.01</v>
      </c>
      <c r="AN6" s="2300" t="s">
        <v>3148</v>
      </c>
      <c r="AO6" s="55">
        <f ca="1">SUMIF(INDIRECT("'"&amp;AN6&amp;"'"&amp;"!A:A"),"总价",INDIRECT("'"&amp;AN6&amp;"'"&amp;"!B:B"))</f>
        <v>18797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f>'数据-汇总表'!C20</f>
        <v>0</v>
      </c>
      <c r="B7" s="2298" t="str">
        <f t="shared" ref="B7:B13" si="1">IF(A7=0,"","经营性")</f>
        <v/>
      </c>
      <c r="C7" s="229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0"/>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f>'数据-汇总表'!C21</f>
        <v>0</v>
      </c>
      <c r="B8" s="2298" t="str">
        <f t="shared" si="1"/>
        <v/>
      </c>
      <c r="C8" s="229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0"/>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c r="A9" s="2297">
        <f>'数据-汇总表'!C22</f>
        <v>0</v>
      </c>
      <c r="B9" s="2298" t="str">
        <f t="shared" si="1"/>
        <v/>
      </c>
      <c r="C9" s="229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0"/>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c r="A10" s="2297">
        <f>'数据-汇总表'!C23</f>
        <v>0</v>
      </c>
      <c r="B10" s="2298" t="str">
        <f t="shared" si="1"/>
        <v/>
      </c>
      <c r="C10" s="229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0"/>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c r="A11" s="2297">
        <f>'数据-汇总表'!C24</f>
        <v>0</v>
      </c>
      <c r="B11" s="2298" t="str">
        <f t="shared" si="1"/>
        <v/>
      </c>
      <c r="C11" s="229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0"/>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c r="A12" s="2297">
        <f>'数据-汇总表'!C25</f>
        <v>0</v>
      </c>
      <c r="B12" s="2298" t="str">
        <f t="shared" si="1"/>
        <v/>
      </c>
      <c r="C12" s="229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0"/>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c r="A13" s="2297">
        <f>'数据-汇总表'!C26</f>
        <v>0</v>
      </c>
      <c r="B13" s="2298" t="str">
        <f t="shared" si="1"/>
        <v/>
      </c>
      <c r="C13" s="229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0"/>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2014</v>
      </c>
      <c r="B14" s="2298" t="s">
        <v>2015</v>
      </c>
      <c r="C14" s="2303" t="s">
        <v>2014</v>
      </c>
      <c r="D14" s="1054"/>
      <c r="E14" s="1051"/>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1"/>
      <c r="AJ14" s="773"/>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2016</v>
      </c>
      <c r="B15" s="2298" t="s">
        <v>2015</v>
      </c>
      <c r="C15" s="2303" t="s">
        <v>2017</v>
      </c>
      <c r="D15" s="1054"/>
      <c r="E15" s="1051"/>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1"/>
      <c r="AJ15" s="773"/>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2018</v>
      </c>
      <c r="B16" s="97"/>
      <c r="C16" s="1008"/>
      <c r="D16" s="2305"/>
      <c r="E16" s="97"/>
      <c r="F16" s="97"/>
      <c r="G16" s="98">
        <f>ROUND(SUMPRODUCT(G6:G13,K6:K13)/SUMPRODUCT((G6:G13&gt;0)*(K6:K13)),3)</f>
        <v>0.88300000000000001</v>
      </c>
      <c r="H16" s="99">
        <f>ROUND(SUMPRODUCT(H6:H13,K6:K13)/SUMPRODUCT((H6:H13&gt;0)*(K6:K13)),3)</f>
        <v>0.05</v>
      </c>
      <c r="I16" s="100"/>
      <c r="J16" s="100"/>
      <c r="K16" s="101">
        <f>SUM(K6:K15)</f>
        <v>38865.599999999999</v>
      </c>
      <c r="L16" s="102">
        <f>ROUND(M16*10000/SUM(K6:K14),0)</f>
        <v>2200</v>
      </c>
      <c r="M16" s="102">
        <f>SUM(M6:M14)</f>
        <v>8550</v>
      </c>
      <c r="N16" s="103">
        <f>ROUND(SUMPRODUCT(M6:M14,N6:N14)/M16,3)</f>
        <v>0.88</v>
      </c>
      <c r="O16" s="102">
        <f>SUM(O6:O14)</f>
        <v>0</v>
      </c>
      <c r="P16" s="102">
        <f>SUM(P6:P14)</f>
        <v>0</v>
      </c>
      <c r="Q16" s="104">
        <f>ROUND(SUMPRODUCT(Q6:Q13,K6:K13)/SUMPRODUCT((Q6:Q13&gt;0)*(K6:K13)),2)</f>
        <v>0.15</v>
      </c>
      <c r="R16" s="1254">
        <f ca="1">SUM(R6:R13)</f>
        <v>49727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2020</v>
      </c>
      <c r="B19" s="112">
        <v>0</v>
      </c>
      <c r="C19" s="2268" t="s">
        <v>2021</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2022</v>
      </c>
      <c r="B20" s="113">
        <v>1.5</v>
      </c>
      <c r="C20" s="2268" t="s">
        <v>2023</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2024</v>
      </c>
      <c r="B21" s="113">
        <v>1.5</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2025</v>
      </c>
      <c r="B22" s="114">
        <f>B19+B20</f>
        <v>1.5</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2026</v>
      </c>
      <c r="B23" s="114">
        <f>B19+B21</f>
        <v>1.5</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2027</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5"/>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2028</v>
      </c>
      <c r="B26" s="2311" t="s">
        <v>2029</v>
      </c>
      <c r="C26" s="2312" t="s">
        <v>2030</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2031</v>
      </c>
      <c r="B27" s="116"/>
      <c r="C27" s="1762" t="s">
        <v>2032</v>
      </c>
      <c r="D27" s="2314"/>
      <c r="E27" s="1426"/>
      <c r="F27" s="1426"/>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5" customFormat="1" ht="27.75">
      <c r="A28" s="2316" t="s">
        <v>2033</v>
      </c>
      <c r="B28" s="119">
        <v>150</v>
      </c>
      <c r="C28" s="2317"/>
      <c r="D28" s="2314"/>
      <c r="E28" s="1426"/>
      <c r="F28" s="1426"/>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5" customFormat="1" ht="28.5" thickBot="1">
      <c r="A29" s="2318" t="s">
        <v>2034</v>
      </c>
      <c r="B29" s="121">
        <f ca="1">成本法!C10</f>
        <v>583</v>
      </c>
      <c r="C29" s="1762" t="s">
        <v>2035</v>
      </c>
      <c r="D29" s="2314"/>
      <c r="E29" s="1426"/>
      <c r="F29" s="1426"/>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5" customFormat="1" ht="27">
      <c r="A30" s="2319" t="s">
        <v>2036</v>
      </c>
      <c r="B30" s="724">
        <v>200</v>
      </c>
      <c r="C30" s="2317"/>
      <c r="D30" s="2314"/>
      <c r="E30" s="1426"/>
      <c r="F30" s="1426"/>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5" customFormat="1" ht="27">
      <c r="A31" s="2316" t="s">
        <v>2037</v>
      </c>
      <c r="B31" s="120">
        <f>B30-B32</f>
        <v>200</v>
      </c>
      <c r="C31" s="1762"/>
      <c r="D31" s="2314"/>
      <c r="E31" s="1426"/>
      <c r="F31" s="1426"/>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5" customFormat="1" ht="27.75" thickBot="1">
      <c r="A32" s="2320" t="s">
        <v>2038</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5" customFormat="1" ht="14.25">
      <c r="A33" s="2313" t="s">
        <v>2039</v>
      </c>
      <c r="B33" s="726">
        <v>0.03</v>
      </c>
      <c r="C33" s="1761" t="s">
        <v>2040</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5" customFormat="1" ht="14.25">
      <c r="A34" s="2316" t="s">
        <v>2041</v>
      </c>
      <c r="B34" s="122">
        <v>0</v>
      </c>
      <c r="C34" s="1761" t="s">
        <v>2042</v>
      </c>
      <c r="D34" s="2269" t="s">
        <v>2043</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5" customFormat="1" ht="14.25">
      <c r="A35" s="2316" t="s">
        <v>2044</v>
      </c>
      <c r="B35" s="119">
        <v>200</v>
      </c>
      <c r="C35" s="1761" t="s">
        <v>2045</v>
      </c>
      <c r="D35" s="2314"/>
      <c r="E35" s="1426"/>
      <c r="F35" s="1426"/>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18" t="s">
        <v>2046</v>
      </c>
      <c r="B36" s="123">
        <v>1.4999999999999999E-2</v>
      </c>
      <c r="C36" s="1761" t="s">
        <v>2047</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2048</v>
      </c>
      <c r="B37" s="124">
        <v>0.02</v>
      </c>
      <c r="C37" s="1761" t="s">
        <v>2049</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2050</v>
      </c>
      <c r="B38" s="122">
        <v>0.03</v>
      </c>
      <c r="C38" s="1761" t="s">
        <v>2049</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2051</v>
      </c>
      <c r="B39" s="362">
        <f ca="1">存贷款利率!I1</f>
        <v>1.4999999999999999E-2</v>
      </c>
      <c r="C39" s="1761"/>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2052</v>
      </c>
      <c r="B40" s="1299">
        <f ca="1">存贷款利率!G1</f>
        <v>4.7500000000000001E-2</v>
      </c>
      <c r="C40" s="1761" t="s">
        <v>2053</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2054</v>
      </c>
      <c r="B41" s="125">
        <f>B42+B43</f>
        <v>5.5000000000000007E-2</v>
      </c>
      <c r="C41" s="1762"/>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2055</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2056</v>
      </c>
      <c r="B43" s="127">
        <f>B42*(B44+B45+B46)+B47</f>
        <v>5.000000000000001E-3</v>
      </c>
      <c r="C43" s="1762"/>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2057</v>
      </c>
      <c r="B44" s="128">
        <v>0.05</v>
      </c>
      <c r="C44" s="1761" t="s">
        <v>2058</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2059</v>
      </c>
      <c r="B45" s="126">
        <v>0.03</v>
      </c>
      <c r="C45" s="1762" t="s">
        <v>2060</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2061</v>
      </c>
      <c r="B46" s="126">
        <v>0.02</v>
      </c>
      <c r="C46" s="1762" t="s">
        <v>2062</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2063</v>
      </c>
      <c r="B47" s="129">
        <v>0</v>
      </c>
      <c r="C47" s="1762" t="s">
        <v>2064</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2065</v>
      </c>
      <c r="B48" s="130">
        <v>0.03</v>
      </c>
      <c r="C48" s="1767" t="s">
        <v>2066</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2067</v>
      </c>
      <c r="B49" s="126">
        <v>5.0000000000000001E-4</v>
      </c>
      <c r="C49" s="1767" t="s">
        <v>2068</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2069</v>
      </c>
      <c r="B50" s="131">
        <v>1.2E-2</v>
      </c>
      <c r="C50" s="1426"/>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2070</v>
      </c>
      <c r="B51" s="132">
        <v>0.12</v>
      </c>
      <c r="C51" s="1426"/>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2071</v>
      </c>
      <c r="B52" s="133">
        <f>SUMIF(A54:A63,B53,B54:B63)</f>
        <v>10</v>
      </c>
      <c r="C52" s="1426"/>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2072</v>
      </c>
      <c r="B53" s="2327" t="s">
        <v>212</v>
      </c>
      <c r="C53" s="1426" t="s">
        <v>2073</v>
      </c>
      <c r="D53" s="2328" t="s">
        <v>2074</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2075</v>
      </c>
      <c r="B54" s="84">
        <v>10</v>
      </c>
      <c r="C54" s="1426">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2076</v>
      </c>
      <c r="B55" s="84"/>
      <c r="C55" s="1426">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2077</v>
      </c>
      <c r="B56" s="84"/>
      <c r="C56" s="1426">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2078</v>
      </c>
      <c r="B57" s="84"/>
      <c r="C57" s="1426">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2079</v>
      </c>
      <c r="B58" s="84"/>
      <c r="C58" s="1426">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2080</v>
      </c>
      <c r="B59" s="84"/>
      <c r="C59" s="1426">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2081</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2082</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2083</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2084</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7" customFormat="1">
      <c r="A64" s="2332"/>
      <c r="D64" s="2333"/>
      <c r="K64" s="798"/>
      <c r="L64" s="798"/>
    </row>
    <row r="65" spans="1:12" s="967" customFormat="1">
      <c r="A65" s="2332"/>
      <c r="D65" s="2333"/>
      <c r="K65" s="798"/>
      <c r="L65" s="798"/>
    </row>
    <row r="66" spans="1:12" s="967" customFormat="1">
      <c r="A66" s="2332"/>
      <c r="D66" s="2333"/>
      <c r="K66" s="798"/>
      <c r="L66" s="798"/>
    </row>
    <row r="67" spans="1:12" s="967" customFormat="1">
      <c r="A67" s="2332"/>
      <c r="D67" s="2333"/>
      <c r="K67" s="798"/>
      <c r="L67" s="798"/>
    </row>
    <row r="68" spans="1:12" s="967" customFormat="1">
      <c r="A68" s="2332"/>
      <c r="D68" s="2333"/>
      <c r="K68" s="798"/>
      <c r="L68" s="798"/>
    </row>
    <row r="69" spans="1:12" s="967" customFormat="1">
      <c r="A69" s="2332"/>
      <c r="D69" s="2333"/>
      <c r="K69" s="798"/>
      <c r="L69" s="798"/>
    </row>
    <row r="70" spans="1:12" s="967" customFormat="1">
      <c r="A70" s="2332"/>
      <c r="D70" s="2333"/>
      <c r="K70" s="798"/>
      <c r="L70" s="798"/>
    </row>
    <row r="71" spans="1:12" s="967" customFormat="1">
      <c r="A71" s="2332"/>
      <c r="D71" s="2333"/>
      <c r="K71" s="798"/>
      <c r="L71" s="798"/>
    </row>
    <row r="72" spans="1:12" s="967" customFormat="1">
      <c r="A72" s="2332"/>
      <c r="D72" s="2333"/>
      <c r="K72" s="798"/>
      <c r="L72" s="798"/>
    </row>
    <row r="73" spans="1:12" s="967" customFormat="1">
      <c r="A73" s="2332"/>
      <c r="D73" s="2333"/>
      <c r="K73" s="798"/>
      <c r="L73" s="798"/>
    </row>
    <row r="74" spans="1:12" s="967" customFormat="1">
      <c r="A74" s="2332"/>
      <c r="D74" s="2333"/>
      <c r="K74" s="798"/>
      <c r="L74" s="798"/>
    </row>
    <row r="75" spans="1:12" s="967" customFormat="1">
      <c r="A75" s="2332"/>
      <c r="D75" s="2333"/>
      <c r="K75" s="798"/>
      <c r="L75" s="798"/>
    </row>
    <row r="76" spans="1:12" s="967" customFormat="1">
      <c r="A76" s="2332"/>
      <c r="D76" s="2333"/>
      <c r="K76" s="798"/>
      <c r="L76" s="798"/>
    </row>
    <row r="77" spans="1:12" s="967" customFormat="1">
      <c r="A77" s="2332"/>
      <c r="D77" s="2333"/>
      <c r="K77" s="798"/>
      <c r="L77" s="798"/>
    </row>
    <row r="78" spans="1:12" s="967" customFormat="1">
      <c r="A78" s="2332"/>
      <c r="D78" s="2333"/>
      <c r="K78" s="798"/>
      <c r="L78" s="798"/>
    </row>
    <row r="79" spans="1:12" s="967" customFormat="1">
      <c r="A79" s="2332"/>
      <c r="D79" s="2333"/>
      <c r="K79" s="798"/>
      <c r="L79" s="798"/>
    </row>
    <row r="80" spans="1:12" s="967" customFormat="1">
      <c r="A80" s="2332"/>
      <c r="D80" s="2333"/>
      <c r="K80" s="798"/>
      <c r="L80" s="798"/>
    </row>
    <row r="81" spans="1:12" s="967" customFormat="1">
      <c r="A81" s="2332"/>
      <c r="D81" s="2333"/>
      <c r="K81" s="798"/>
      <c r="L81" s="798"/>
    </row>
    <row r="82" spans="1:12" s="967" customFormat="1">
      <c r="A82" s="2332"/>
      <c r="D82" s="2333"/>
      <c r="K82" s="798"/>
      <c r="L82" s="798"/>
    </row>
    <row r="83" spans="1:12" s="967" customFormat="1">
      <c r="A83" s="2332"/>
      <c r="D83" s="2333"/>
      <c r="K83" s="798"/>
      <c r="L83" s="798"/>
    </row>
    <row r="84" spans="1:12" s="967" customFormat="1">
      <c r="A84" s="2332"/>
      <c r="D84" s="2333"/>
      <c r="K84" s="798"/>
      <c r="L84" s="798"/>
    </row>
    <row r="85" spans="1:12" s="967" customFormat="1">
      <c r="A85" s="2332"/>
      <c r="D85" s="2333"/>
      <c r="K85" s="798"/>
      <c r="L85" s="798"/>
    </row>
    <row r="86" spans="1:12" s="967" customFormat="1">
      <c r="A86" s="2332"/>
      <c r="D86" s="2333"/>
      <c r="K86" s="798"/>
      <c r="L86" s="798"/>
    </row>
    <row r="87" spans="1:12" s="967" customFormat="1">
      <c r="A87" s="2332"/>
      <c r="D87" s="2333"/>
      <c r="K87" s="798"/>
      <c r="L87" s="798"/>
    </row>
    <row r="88" spans="1:12" s="967" customFormat="1">
      <c r="A88" s="2332"/>
      <c r="D88" s="2333"/>
      <c r="K88" s="798"/>
      <c r="L88" s="798"/>
    </row>
    <row r="89" spans="1:12" s="967" customFormat="1">
      <c r="A89" s="2332"/>
      <c r="D89" s="2333"/>
      <c r="K89" s="798"/>
      <c r="L89" s="798"/>
    </row>
    <row r="90" spans="1:12" s="967" customFormat="1">
      <c r="A90" s="2332"/>
      <c r="D90" s="2333"/>
      <c r="K90" s="798"/>
      <c r="L90" s="798"/>
    </row>
    <row r="91" spans="1:12" s="967" customFormat="1">
      <c r="A91" s="2332"/>
      <c r="D91" s="2333"/>
      <c r="K91" s="798"/>
      <c r="L91" s="798"/>
    </row>
    <row r="92" spans="1:12" s="967" customFormat="1">
      <c r="A92" s="2332"/>
      <c r="D92" s="2333"/>
      <c r="K92" s="798"/>
      <c r="L92" s="798"/>
    </row>
    <row r="93" spans="1:12" s="967" customFormat="1">
      <c r="A93" s="2332"/>
      <c r="D93" s="2333"/>
      <c r="K93" s="798"/>
      <c r="L93" s="798"/>
    </row>
    <row r="94" spans="1:12" s="967" customFormat="1">
      <c r="A94" s="2332"/>
      <c r="D94" s="2333"/>
      <c r="K94" s="798"/>
      <c r="L94" s="798"/>
    </row>
    <row r="95" spans="1:12" s="967" customFormat="1">
      <c r="A95" s="2332"/>
      <c r="D95" s="2333"/>
      <c r="K95" s="798"/>
      <c r="L95" s="798"/>
    </row>
    <row r="96" spans="1:12" s="967" customFormat="1">
      <c r="A96" s="2332"/>
      <c r="D96" s="2333"/>
      <c r="K96" s="798"/>
      <c r="L96" s="798"/>
    </row>
    <row r="97" spans="1:12" s="967" customFormat="1">
      <c r="A97" s="2332"/>
      <c r="D97" s="2333"/>
      <c r="K97" s="798"/>
      <c r="L97" s="798"/>
    </row>
    <row r="98" spans="1:12" s="967" customFormat="1">
      <c r="A98" s="2332"/>
      <c r="D98" s="2333"/>
      <c r="K98" s="798"/>
      <c r="L98" s="798"/>
    </row>
    <row r="99" spans="1:12" s="967" customFormat="1">
      <c r="A99" s="2332"/>
      <c r="D99" s="2333"/>
      <c r="K99" s="798"/>
      <c r="L99" s="798"/>
    </row>
    <row r="100" spans="1:12" s="967" customFormat="1">
      <c r="A100" s="2332"/>
      <c r="D100" s="2333"/>
      <c r="K100" s="798"/>
      <c r="L100" s="798"/>
    </row>
    <row r="101" spans="1:12" s="967" customFormat="1">
      <c r="A101" s="2332"/>
      <c r="D101" s="2333"/>
      <c r="K101" s="798"/>
      <c r="L101" s="798"/>
    </row>
    <row r="102" spans="1:12" s="967" customFormat="1">
      <c r="A102" s="2332"/>
      <c r="D102" s="2333"/>
      <c r="K102" s="798"/>
      <c r="L102" s="798"/>
    </row>
    <row r="103" spans="1:12" s="967" customFormat="1">
      <c r="A103" s="2332"/>
      <c r="D103" s="2333"/>
      <c r="K103" s="798"/>
      <c r="L103" s="798"/>
    </row>
    <row r="104" spans="1:12" s="967" customFormat="1">
      <c r="A104" s="2332"/>
      <c r="D104" s="2333"/>
      <c r="K104" s="798"/>
      <c r="L104" s="798"/>
    </row>
    <row r="105" spans="1:12" s="967" customFormat="1">
      <c r="A105" s="2332"/>
      <c r="D105" s="2333"/>
      <c r="K105" s="798"/>
      <c r="L105" s="798"/>
    </row>
    <row r="106" spans="1:12" s="967" customFormat="1">
      <c r="A106" s="2332"/>
      <c r="D106" s="2333"/>
      <c r="K106" s="798"/>
      <c r="L106" s="798"/>
    </row>
    <row r="107" spans="1:12" s="967" customFormat="1">
      <c r="A107" s="2332"/>
      <c r="D107" s="2333"/>
      <c r="K107" s="798"/>
      <c r="L107" s="798"/>
    </row>
    <row r="108" spans="1:12" s="967" customFormat="1">
      <c r="A108" s="2332"/>
      <c r="D108" s="2333"/>
      <c r="K108" s="798"/>
      <c r="L108" s="798"/>
    </row>
    <row r="109" spans="1:12" s="967" customFormat="1">
      <c r="A109" s="2332"/>
      <c r="D109" s="2333"/>
      <c r="K109" s="798"/>
      <c r="L109" s="798"/>
    </row>
    <row r="110" spans="1:12" s="967" customFormat="1">
      <c r="A110" s="2332"/>
      <c r="D110" s="2333"/>
      <c r="K110" s="798"/>
      <c r="L110" s="798"/>
    </row>
    <row r="111" spans="1:12" s="967" customFormat="1">
      <c r="A111" s="2332"/>
      <c r="D111" s="2333"/>
      <c r="K111" s="798"/>
      <c r="L111" s="798"/>
    </row>
    <row r="112" spans="1:12" s="967" customFormat="1">
      <c r="A112" s="2332"/>
      <c r="D112" s="2333"/>
      <c r="K112" s="798"/>
      <c r="L112" s="798"/>
    </row>
    <row r="113" spans="1:12" s="967" customFormat="1">
      <c r="A113" s="2332"/>
      <c r="D113" s="2333"/>
      <c r="K113" s="798"/>
      <c r="L113" s="798"/>
    </row>
    <row r="114" spans="1:12" s="967" customFormat="1">
      <c r="A114" s="2332"/>
      <c r="D114" s="2333"/>
      <c r="K114" s="798"/>
      <c r="L114" s="798"/>
    </row>
    <row r="115" spans="1:12" s="967" customFormat="1">
      <c r="A115" s="2332"/>
      <c r="D115" s="2333"/>
      <c r="K115" s="798"/>
      <c r="L115" s="798"/>
    </row>
    <row r="116" spans="1:12" s="967" customFormat="1">
      <c r="A116" s="2332"/>
      <c r="D116" s="2333"/>
      <c r="K116" s="798"/>
      <c r="L116" s="798"/>
    </row>
    <row r="117" spans="1:12" s="967" customFormat="1">
      <c r="A117" s="2332"/>
      <c r="D117" s="2333"/>
      <c r="K117" s="798"/>
      <c r="L117" s="798"/>
    </row>
    <row r="118" spans="1:12" s="967" customFormat="1">
      <c r="A118" s="2332"/>
      <c r="D118" s="2333"/>
      <c r="K118" s="798"/>
      <c r="L118" s="798"/>
    </row>
    <row r="119" spans="1:12" s="967" customFormat="1">
      <c r="A119" s="2332"/>
      <c r="D119" s="2333"/>
      <c r="K119" s="798"/>
      <c r="L119" s="798"/>
    </row>
    <row r="120" spans="1:12" s="967" customFormat="1">
      <c r="A120" s="2332"/>
      <c r="D120" s="2333"/>
      <c r="K120" s="798"/>
      <c r="L120" s="798"/>
    </row>
    <row r="121" spans="1:12" s="967" customFormat="1">
      <c r="A121" s="2332"/>
      <c r="D121" s="2333"/>
      <c r="K121" s="798"/>
      <c r="L121" s="798"/>
    </row>
    <row r="122" spans="1:12" s="967" customFormat="1">
      <c r="A122" s="2332"/>
      <c r="D122" s="2333"/>
      <c r="K122" s="798"/>
      <c r="L122" s="798"/>
    </row>
    <row r="123" spans="1:12" s="967" customFormat="1">
      <c r="A123" s="2332"/>
      <c r="D123" s="2333"/>
      <c r="K123" s="798"/>
      <c r="L123" s="798"/>
    </row>
    <row r="124" spans="1:12" s="967" customFormat="1">
      <c r="A124" s="2332"/>
      <c r="D124" s="2333"/>
      <c r="K124" s="798"/>
      <c r="L124" s="798"/>
    </row>
    <row r="125" spans="1:12" s="967" customFormat="1">
      <c r="A125" s="2332"/>
      <c r="D125" s="2333"/>
      <c r="K125" s="798"/>
      <c r="L125" s="798"/>
    </row>
    <row r="126" spans="1:12" s="967" customFormat="1">
      <c r="A126" s="2332"/>
      <c r="D126" s="2333"/>
      <c r="K126" s="798"/>
      <c r="L126" s="798"/>
    </row>
    <row r="127" spans="1:12" s="967" customFormat="1">
      <c r="A127" s="2332"/>
      <c r="D127" s="2333"/>
      <c r="K127" s="798"/>
      <c r="L127" s="798"/>
    </row>
    <row r="128" spans="1:12" s="967" customFormat="1">
      <c r="A128" s="2332"/>
      <c r="D128" s="2333"/>
      <c r="K128" s="798"/>
      <c r="L128" s="798"/>
    </row>
    <row r="129" spans="1:12" s="967" customFormat="1">
      <c r="A129" s="2332"/>
      <c r="D129" s="2333"/>
      <c r="K129" s="798"/>
      <c r="L129" s="798"/>
    </row>
    <row r="130" spans="1:12" s="967" customFormat="1">
      <c r="A130" s="2332"/>
      <c r="D130" s="2333"/>
      <c r="K130" s="798"/>
      <c r="L130" s="798"/>
    </row>
    <row r="131" spans="1:12" s="967" customFormat="1">
      <c r="A131" s="2332"/>
      <c r="D131" s="2333"/>
      <c r="K131" s="798"/>
      <c r="L131" s="798"/>
    </row>
    <row r="132" spans="1:12" s="967" customFormat="1">
      <c r="A132" s="2332"/>
      <c r="D132" s="2333"/>
      <c r="K132" s="798"/>
      <c r="L132" s="798"/>
    </row>
    <row r="133" spans="1:12" s="967"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60" t="s">
        <v>2085</v>
      </c>
      <c r="B1" s="3061"/>
      <c r="C1" s="3061"/>
      <c r="D1" s="3061"/>
      <c r="E1" s="3061"/>
      <c r="F1" s="3061"/>
      <c r="G1" s="3061"/>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15" t="s">
        <v>2088</v>
      </c>
      <c r="B3" s="1267" t="s">
        <v>2089</v>
      </c>
      <c r="C3" s="2361" t="s">
        <v>2090</v>
      </c>
      <c r="D3" s="2362"/>
      <c r="E3" s="431" t="s">
        <v>2088</v>
      </c>
      <c r="F3" s="2363" t="s">
        <v>2091</v>
      </c>
      <c r="G3" s="2364" t="s">
        <v>2092</v>
      </c>
      <c r="H3" s="2359"/>
      <c r="I3" s="2359"/>
      <c r="J3" s="2359"/>
      <c r="K3" s="2359"/>
      <c r="L3" s="2359"/>
      <c r="M3" s="2359"/>
      <c r="N3" s="2359"/>
      <c r="O3" s="2359"/>
      <c r="P3" s="2359"/>
      <c r="Q3" s="2359"/>
      <c r="R3" s="2359"/>
    </row>
    <row r="4" spans="1:29" ht="41.25">
      <c r="A4" s="431"/>
      <c r="B4" s="1791" t="s">
        <v>2093</v>
      </c>
      <c r="C4" s="2365" t="s">
        <v>2094</v>
      </c>
      <c r="D4" s="2362"/>
      <c r="E4" s="2366"/>
      <c r="F4" s="42" t="s">
        <v>2095</v>
      </c>
      <c r="G4" s="2367" t="s">
        <v>2096</v>
      </c>
      <c r="H4" s="2359"/>
      <c r="I4" s="2359"/>
      <c r="J4" s="2359"/>
      <c r="K4" s="2359"/>
      <c r="L4" s="2359"/>
      <c r="M4" s="2359"/>
      <c r="N4" s="2359"/>
      <c r="O4" s="2359"/>
      <c r="P4" s="2359"/>
      <c r="Q4" s="2359"/>
      <c r="R4" s="2359"/>
    </row>
    <row r="5" spans="1:29" ht="41.25">
      <c r="A5" s="431"/>
      <c r="B5" s="1791" t="s">
        <v>2097</v>
      </c>
      <c r="C5" s="2365" t="s">
        <v>2098</v>
      </c>
      <c r="D5" s="2362"/>
      <c r="E5" s="2366"/>
      <c r="F5" s="1791" t="s">
        <v>2099</v>
      </c>
      <c r="G5" s="2367" t="s">
        <v>2100</v>
      </c>
      <c r="H5" s="2359"/>
      <c r="I5" s="2359"/>
      <c r="J5" s="2359"/>
      <c r="K5" s="2359"/>
      <c r="L5" s="2359"/>
      <c r="M5" s="2359"/>
      <c r="N5" s="2359"/>
      <c r="O5" s="2359"/>
      <c r="P5" s="2359"/>
      <c r="Q5" s="2359"/>
      <c r="R5" s="2359"/>
    </row>
    <row r="6" spans="1:29" ht="54">
      <c r="A6" s="431"/>
      <c r="B6" s="1791" t="s">
        <v>2101</v>
      </c>
      <c r="C6" s="2367" t="s">
        <v>2096</v>
      </c>
      <c r="D6" s="2362"/>
      <c r="E6" s="2366"/>
      <c r="F6" s="1791" t="s">
        <v>2102</v>
      </c>
      <c r="G6" s="2367" t="s">
        <v>2103</v>
      </c>
      <c r="H6" s="2359"/>
      <c r="I6" s="2359"/>
      <c r="J6" s="2359"/>
      <c r="K6" s="2359"/>
      <c r="L6" s="2359"/>
      <c r="M6" s="2359"/>
      <c r="N6" s="2359"/>
      <c r="O6" s="2359"/>
      <c r="P6" s="2359"/>
      <c r="Q6" s="2359"/>
      <c r="R6" s="2359"/>
    </row>
    <row r="7" spans="1:29" ht="41.25" thickBot="1">
      <c r="A7" s="431"/>
      <c r="B7" s="1791" t="s">
        <v>2099</v>
      </c>
      <c r="C7" s="2367" t="s">
        <v>2100</v>
      </c>
      <c r="D7" s="2368"/>
      <c r="E7" s="2369"/>
      <c r="F7" s="2370" t="s">
        <v>2104</v>
      </c>
      <c r="G7" s="2371" t="s">
        <v>2105</v>
      </c>
      <c r="H7" s="2359"/>
      <c r="I7" s="2359"/>
      <c r="J7" s="2359"/>
      <c r="K7" s="2359"/>
      <c r="L7" s="2359"/>
      <c r="M7" s="2359"/>
      <c r="N7" s="2359"/>
      <c r="O7" s="2359"/>
      <c r="P7" s="2359"/>
      <c r="Q7" s="2359"/>
      <c r="R7" s="2359"/>
    </row>
    <row r="8" spans="1:29" ht="27">
      <c r="A8" s="431"/>
      <c r="B8" s="1791" t="s">
        <v>2102</v>
      </c>
      <c r="C8" s="2367" t="s">
        <v>2103</v>
      </c>
      <c r="D8" s="2368"/>
      <c r="E8" s="2368"/>
      <c r="F8" s="1133"/>
      <c r="G8" s="1133"/>
      <c r="H8" s="2359"/>
      <c r="I8" s="2359"/>
      <c r="J8" s="2359"/>
      <c r="K8" s="2359"/>
      <c r="L8" s="2359"/>
      <c r="M8" s="2359"/>
      <c r="N8" s="2359"/>
      <c r="O8" s="2359"/>
      <c r="P8" s="2359"/>
      <c r="Q8" s="2359"/>
      <c r="R8" s="2359"/>
    </row>
    <row r="9" spans="1:29" ht="27">
      <c r="A9" s="431"/>
      <c r="B9" s="1791" t="s">
        <v>2106</v>
      </c>
      <c r="C9" s="2365" t="s">
        <v>2107</v>
      </c>
      <c r="D9" s="2362"/>
      <c r="E9" s="2368"/>
      <c r="F9" s="1133"/>
      <c r="G9" s="1133"/>
      <c r="H9" s="2359"/>
      <c r="I9" s="2359"/>
      <c r="J9" s="2359"/>
      <c r="K9" s="2359"/>
      <c r="L9" s="2359"/>
      <c r="M9" s="2359"/>
      <c r="N9" s="2359"/>
      <c r="O9" s="2359"/>
      <c r="P9" s="2359"/>
      <c r="Q9" s="2359"/>
      <c r="R9" s="2359"/>
    </row>
    <row r="10" spans="1:29" s="117" customFormat="1" ht="15.75" thickBot="1">
      <c r="A10" s="2372"/>
      <c r="B10" s="2373" t="s">
        <v>2108</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8" t="s">
        <v>2112</v>
      </c>
      <c r="B15" s="1266" t="s">
        <v>2089</v>
      </c>
      <c r="C15" s="2394" t="str">
        <f>C3</f>
        <v>估价对象周边居住用地比例、居住小区规模和社区发展完善程度，综合评价居住社区成熟度一般</v>
      </c>
      <c r="D15" s="2362"/>
      <c r="E15" s="2395" t="s">
        <v>2113</v>
      </c>
      <c r="F15" s="1266" t="s">
        <v>2114</v>
      </c>
      <c r="G15" s="135" t="str">
        <f>G3</f>
        <v>估价对象位于XX开发区，园区建设成熟度XX，产业集聚程度XX</v>
      </c>
    </row>
    <row r="16" spans="1:29" ht="42.75">
      <c r="A16" s="645"/>
      <c r="B16" s="2396" t="s">
        <v>2093</v>
      </c>
      <c r="C16" s="2397" t="str">
        <f>C4</f>
        <v>估价对象位于XX商圈，周边商业氛围成熟，人流量大，商业繁华度好</v>
      </c>
      <c r="D16" s="2362"/>
      <c r="E16" s="2398"/>
      <c r="F16" s="2399" t="s">
        <v>2095</v>
      </c>
      <c r="G16" s="136" t="str">
        <f>G4</f>
        <v>估价对象周边道路状况、公共交通通达情况、停车便捷程度，综合评价交通便捷度较好</v>
      </c>
    </row>
    <row r="17" spans="1:18" ht="42.75">
      <c r="A17" s="645"/>
      <c r="B17" s="2396" t="s">
        <v>2097</v>
      </c>
      <c r="C17" s="2397" t="str">
        <f>C5</f>
        <v>估价对象位于XX商圈，周边办公楼项目较多，入驻率高，办公集聚程度较好</v>
      </c>
      <c r="D17" s="2368"/>
      <c r="E17" s="2398"/>
      <c r="F17" s="2399" t="s">
        <v>2115</v>
      </c>
      <c r="G17" s="1568"/>
    </row>
    <row r="18" spans="1:18" ht="57">
      <c r="A18" s="645"/>
      <c r="B18" s="2399" t="s">
        <v>2101</v>
      </c>
      <c r="C18" s="136" t="str">
        <f>C6</f>
        <v>估价对象周边道路状况、公共交通通达情况、停车便捷程度，综合评价交通便捷度较好</v>
      </c>
      <c r="D18" s="2368"/>
      <c r="E18" s="2398"/>
      <c r="F18" s="2399" t="s">
        <v>2104</v>
      </c>
      <c r="G18" s="136" t="str">
        <f>G7</f>
        <v>该园区内是否有污染型企业，绿化情况，卫生条件，整体环境状况判断</v>
      </c>
    </row>
    <row r="19" spans="1:18" ht="28.5">
      <c r="A19" s="645"/>
      <c r="B19" s="2399" t="s">
        <v>2116</v>
      </c>
      <c r="C19" s="1568"/>
      <c r="D19" s="2362"/>
      <c r="E19" s="2398"/>
      <c r="F19" s="1791" t="s">
        <v>2099</v>
      </c>
      <c r="G19" s="136" t="str">
        <f>G5</f>
        <v>估价对象所在区域公共配套设施齐备情况</v>
      </c>
    </row>
    <row r="20" spans="1:18" ht="28.5">
      <c r="A20" s="645"/>
      <c r="B20" s="2399" t="s">
        <v>2117</v>
      </c>
      <c r="C20" s="2397" t="str">
        <f>C9</f>
        <v>区域自然环境：；人文环境；综合评价环境状况一般</v>
      </c>
      <c r="D20" s="2368"/>
      <c r="E20" s="2398"/>
      <c r="F20" s="1791" t="s">
        <v>2118</v>
      </c>
      <c r="G20" s="136" t="str">
        <f>G6</f>
        <v>估价对象所在区域基础设施水平</v>
      </c>
    </row>
    <row r="21" spans="1:18" ht="28.5">
      <c r="A21" s="645"/>
      <c r="B21" s="1791" t="s">
        <v>2099</v>
      </c>
      <c r="C21" s="136" t="str">
        <f>C7</f>
        <v>估价对象所在区域公共配套设施齐备情况</v>
      </c>
      <c r="D21" s="2362"/>
      <c r="E21" s="2398"/>
      <c r="F21" s="2399" t="s">
        <v>2119</v>
      </c>
      <c r="G21" s="2400"/>
    </row>
    <row r="22" spans="1:18" ht="13.5" customHeight="1">
      <c r="A22" s="645"/>
      <c r="B22" s="1791" t="s">
        <v>2102</v>
      </c>
      <c r="C22" s="136" t="str">
        <f>C8</f>
        <v>估价对象所在区域基础设施水平</v>
      </c>
      <c r="D22" s="2362"/>
      <c r="E22" s="2398"/>
      <c r="F22" s="2399" t="s">
        <v>2108</v>
      </c>
      <c r="G22" s="1568"/>
    </row>
    <row r="23" spans="1:18" s="2359" customFormat="1" ht="15.75" thickBot="1">
      <c r="A23" s="645"/>
      <c r="B23" s="2399" t="s">
        <v>2119</v>
      </c>
      <c r="C23" s="2400"/>
      <c r="D23" s="2387"/>
      <c r="E23" s="2401"/>
      <c r="F23" s="2402" t="s">
        <v>2120</v>
      </c>
      <c r="G23" s="2403"/>
      <c r="H23" s="2387"/>
      <c r="I23" s="2388"/>
      <c r="J23" s="2387"/>
      <c r="K23" s="2387"/>
      <c r="L23" s="2388"/>
      <c r="M23" s="2387"/>
      <c r="N23" s="2387"/>
      <c r="O23" s="2388"/>
      <c r="P23" s="2387"/>
      <c r="Q23" s="2387"/>
      <c r="R23" s="2389"/>
    </row>
    <row r="24" spans="1:18" s="2359" customFormat="1" ht="15.75" thickBot="1">
      <c r="A24" s="2404"/>
      <c r="B24" s="2402" t="s">
        <v>2121</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38865.599999999999</v>
      </c>
      <c r="C1" s="1740"/>
      <c r="D1" s="1740"/>
      <c r="E1" s="1740"/>
      <c r="F1" s="1740"/>
      <c r="G1" s="1738"/>
    </row>
    <row r="2" spans="1:10" ht="16.5">
      <c r="A2" s="1741" t="s">
        <v>1353</v>
      </c>
      <c r="B2" s="1741">
        <f>SUM(C14:C23)</f>
        <v>49727</v>
      </c>
      <c r="C2" s="1740"/>
      <c r="D2" s="1740"/>
      <c r="E2" s="1740"/>
      <c r="F2" s="1740"/>
      <c r="G2" s="1738"/>
    </row>
    <row r="3" spans="1:10" ht="16.5">
      <c r="A3" s="1741" t="s">
        <v>1362</v>
      </c>
      <c r="B3" s="1742">
        <f>项目基本情况!D3</f>
        <v>43417</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18745</v>
      </c>
      <c r="C5" s="1741">
        <f ca="1">ROUND(B5*10000/$B$1,0)</f>
        <v>4823</v>
      </c>
      <c r="D5" s="1741">
        <f ca="1">ROUND(B5*10000/$B$2,0)</f>
        <v>3770</v>
      </c>
      <c r="E5" s="1740"/>
      <c r="F5" s="1738"/>
      <c r="G5" s="1738"/>
    </row>
    <row r="6" spans="1:10" ht="16.5">
      <c r="A6" s="1741" t="s">
        <v>1356</v>
      </c>
      <c r="B6" s="1741">
        <f ca="1">SUM(G14:G23)</f>
        <v>18745</v>
      </c>
      <c r="C6" s="1741">
        <f ca="1">ROUND(B6*10000/$B$1,0)</f>
        <v>4823</v>
      </c>
      <c r="D6" s="1741">
        <f ca="1">ROUND(B6*10000/$B$2,0)</f>
        <v>3770</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38865.599999999999</v>
      </c>
      <c r="C14" s="1739">
        <f>结果表!C118</f>
        <v>49727</v>
      </c>
      <c r="D14" s="1739">
        <f ca="1">结果表!H118</f>
        <v>18745</v>
      </c>
      <c r="E14" s="1739">
        <f ca="1">ROUND(D14*10000/B14,0)</f>
        <v>4823</v>
      </c>
      <c r="F14" s="1739">
        <f ca="1">ROUND(D14*10000/C14,0)</f>
        <v>3770</v>
      </c>
      <c r="G14" s="1739">
        <f ca="1">结果表!D122</f>
        <v>18745</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SheetLayoutView="100" zoomScalePageLayoutView="80" workbookViewId="0">
      <selection activeCell="C19" sqref="C19"/>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6" t="s">
        <v>2122</v>
      </c>
      <c r="B1" s="2410"/>
      <c r="C1" s="2411"/>
      <c r="D1" s="2410"/>
      <c r="E1" s="2410"/>
      <c r="F1" s="2412" t="s">
        <v>2123</v>
      </c>
      <c r="G1" s="2062" t="s">
        <v>2124</v>
      </c>
      <c r="H1" s="2413" t="str">
        <f>IF(G1="现房","——","估价对象范围")</f>
        <v>估价对象范围</v>
      </c>
      <c r="I1" s="2414"/>
    </row>
    <row r="2" spans="1:12" ht="21.75" customHeight="1" thickBot="1">
      <c r="A2" s="3095" t="str">
        <f>项目基本情况!S2</f>
        <v>山东省寿光市圣城街（益阳铁路改线后停用线路）370783001204GB11736W00000000号等7宗商业用地出让国有建设用地使用权及金海路西，农圣街南（文化中心）等28处办公用房房地产出让国有建设用地使用权及在建建筑物房地产</v>
      </c>
      <c r="B2" s="3096"/>
      <c r="C2" s="3096"/>
      <c r="D2" s="3096"/>
      <c r="E2" s="3096"/>
      <c r="F2" s="3096"/>
      <c r="G2" s="3096"/>
      <c r="H2" s="3096"/>
      <c r="I2" s="3097"/>
    </row>
    <row r="3" spans="1:12" ht="12.75">
      <c r="A3" s="3099" t="s">
        <v>2125</v>
      </c>
      <c r="B3" s="3100"/>
      <c r="C3" s="3100"/>
      <c r="D3" s="3100"/>
      <c r="E3" s="3100"/>
      <c r="F3" s="3100"/>
      <c r="G3" s="3100"/>
      <c r="H3" s="3100"/>
      <c r="I3" s="3100"/>
    </row>
    <row r="4" spans="1:12" ht="14.25">
      <c r="A4" s="2417" t="s">
        <v>2126</v>
      </c>
      <c r="B4" s="2418" t="s">
        <v>2127</v>
      </c>
      <c r="C4" s="2419" t="s">
        <v>3153</v>
      </c>
      <c r="D4" s="2419" t="s">
        <v>3148</v>
      </c>
      <c r="E4" s="3092" t="s">
        <v>2128</v>
      </c>
      <c r="F4" s="3093"/>
      <c r="G4" s="3093"/>
      <c r="H4" s="3093"/>
      <c r="I4" s="310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75" t="s">
        <v>2129</v>
      </c>
      <c r="B5" s="3013">
        <v>25</v>
      </c>
      <c r="C5" s="3078"/>
      <c r="D5" s="3098"/>
      <c r="E5" s="140" t="s">
        <v>2130</v>
      </c>
      <c r="F5" s="2421"/>
      <c r="G5" s="2421"/>
      <c r="H5" s="2421"/>
      <c r="I5" s="1827"/>
    </row>
    <row r="6" spans="1:12" ht="12.75">
      <c r="A6" s="3075"/>
      <c r="B6" s="3013"/>
      <c r="C6" s="3079"/>
      <c r="D6" s="3098"/>
      <c r="E6" s="140" t="s">
        <v>2131</v>
      </c>
      <c r="F6" s="2421"/>
      <c r="G6" s="2421"/>
      <c r="H6" s="2421"/>
      <c r="I6" s="1827"/>
    </row>
    <row r="7" spans="1:12" ht="12.75">
      <c r="A7" s="3075"/>
      <c r="B7" s="3013"/>
      <c r="C7" s="3080"/>
      <c r="D7" s="3098"/>
      <c r="E7" s="140" t="s">
        <v>2132</v>
      </c>
      <c r="F7" s="2421"/>
      <c r="G7" s="2421"/>
      <c r="H7" s="2421"/>
      <c r="I7" s="1827"/>
    </row>
    <row r="8" spans="1:12" ht="12.75">
      <c r="A8" s="3075" t="s">
        <v>2133</v>
      </c>
      <c r="B8" s="3013">
        <v>15</v>
      </c>
      <c r="C8" s="3078"/>
      <c r="D8" s="3098"/>
      <c r="E8" s="140" t="s">
        <v>2134</v>
      </c>
      <c r="F8" s="2421"/>
      <c r="G8" s="2421"/>
      <c r="H8" s="2421"/>
      <c r="I8" s="1827"/>
    </row>
    <row r="9" spans="1:12" ht="12.75">
      <c r="A9" s="3075"/>
      <c r="B9" s="3013"/>
      <c r="C9" s="3080"/>
      <c r="D9" s="3098"/>
      <c r="E9" s="140" t="s">
        <v>2135</v>
      </c>
      <c r="F9" s="2421"/>
      <c r="G9" s="2421"/>
      <c r="H9" s="2421"/>
      <c r="I9" s="1827"/>
    </row>
    <row r="10" spans="1:12" ht="12.75">
      <c r="A10" s="3075" t="s">
        <v>2136</v>
      </c>
      <c r="B10" s="3013">
        <v>15</v>
      </c>
      <c r="C10" s="3078"/>
      <c r="D10" s="3098"/>
      <c r="E10" s="140" t="s">
        <v>2137</v>
      </c>
      <c r="F10" s="2421"/>
      <c r="G10" s="2421"/>
      <c r="H10" s="2421"/>
      <c r="I10" s="1827"/>
    </row>
    <row r="11" spans="1:12" ht="12.75">
      <c r="A11" s="3075"/>
      <c r="B11" s="3013"/>
      <c r="C11" s="3080"/>
      <c r="D11" s="3098"/>
      <c r="E11" s="140" t="s">
        <v>2138</v>
      </c>
      <c r="F11" s="2421"/>
      <c r="G11" s="2421"/>
      <c r="H11" s="2421"/>
      <c r="I11" s="1827"/>
    </row>
    <row r="12" spans="1:12" ht="12.75">
      <c r="A12" s="3075" t="s">
        <v>2139</v>
      </c>
      <c r="B12" s="3013">
        <v>15</v>
      </c>
      <c r="C12" s="3078"/>
      <c r="D12" s="3098"/>
      <c r="E12" s="140" t="s">
        <v>2140</v>
      </c>
      <c r="F12" s="2421"/>
      <c r="G12" s="2421"/>
      <c r="H12" s="2421"/>
      <c r="I12" s="1827"/>
    </row>
    <row r="13" spans="1:12" ht="12.75">
      <c r="A13" s="3075"/>
      <c r="B13" s="3013"/>
      <c r="C13" s="3080"/>
      <c r="D13" s="3098"/>
      <c r="E13" s="140" t="s">
        <v>2141</v>
      </c>
      <c r="F13" s="2421"/>
      <c r="G13" s="2421"/>
      <c r="H13" s="2421"/>
      <c r="I13" s="1827"/>
    </row>
    <row r="14" spans="1:12" ht="12.75">
      <c r="A14" s="3075" t="s">
        <v>2142</v>
      </c>
      <c r="B14" s="3013">
        <v>30</v>
      </c>
      <c r="C14" s="3078">
        <v>5</v>
      </c>
      <c r="D14" s="3098">
        <v>5</v>
      </c>
      <c r="E14" s="140" t="s">
        <v>2143</v>
      </c>
      <c r="F14" s="2421"/>
      <c r="G14" s="2421"/>
      <c r="H14" s="2421"/>
      <c r="I14" s="1827"/>
    </row>
    <row r="15" spans="1:12" ht="12.75">
      <c r="A15" s="3075"/>
      <c r="B15" s="3013"/>
      <c r="C15" s="3079"/>
      <c r="D15" s="3098"/>
      <c r="E15" s="140" t="s">
        <v>2144</v>
      </c>
      <c r="F15" s="2421"/>
      <c r="G15" s="2421"/>
      <c r="H15" s="2421"/>
      <c r="I15" s="1827"/>
    </row>
    <row r="16" spans="1:12" ht="12.75">
      <c r="A16" s="3075"/>
      <c r="B16" s="3013"/>
      <c r="C16" s="3080"/>
      <c r="D16" s="3098"/>
      <c r="E16" s="140" t="s">
        <v>2145</v>
      </c>
      <c r="F16" s="2421"/>
      <c r="G16" s="2421"/>
      <c r="H16" s="2421"/>
      <c r="I16" s="1827"/>
    </row>
    <row r="17" spans="1:35" ht="15">
      <c r="A17" s="2422" t="s">
        <v>2146</v>
      </c>
      <c r="B17" s="64"/>
      <c r="C17" s="141">
        <f>SUM(C5:C16)</f>
        <v>5</v>
      </c>
      <c r="D17" s="141">
        <f>SUM(D5:D16)</f>
        <v>5</v>
      </c>
      <c r="E17" s="138"/>
      <c r="F17" s="138"/>
      <c r="G17" s="138"/>
      <c r="H17" s="138"/>
      <c r="I17" s="138"/>
      <c r="K17" s="2420"/>
      <c r="L17" s="2423" t="s">
        <v>2147</v>
      </c>
      <c r="M17" s="2423" t="s">
        <v>2148</v>
      </c>
    </row>
    <row r="18" spans="1:35" ht="15.75" thickBot="1">
      <c r="A18" s="2424" t="s">
        <v>2149</v>
      </c>
      <c r="B18" s="2425"/>
      <c r="C18" s="142">
        <f>ROUND(C17/SUM(C17:D17),2)</f>
        <v>0.5</v>
      </c>
      <c r="D18" s="142">
        <f>1-C18</f>
        <v>0.5</v>
      </c>
      <c r="E18" s="138"/>
      <c r="F18" s="138"/>
      <c r="G18" s="138"/>
      <c r="H18" s="138"/>
      <c r="I18" s="138"/>
      <c r="K18" s="2420" t="s">
        <v>2150</v>
      </c>
      <c r="L18" s="2420">
        <f>IF(C1="",'数据-汇总表'!E3,SUMIF(项目类型,C1,'数据-汇总表'!E17:E26)+SUMIF(项目类型,C1,'数据-汇总表'!I17:I26))</f>
        <v>38865.599999999999</v>
      </c>
      <c r="M18" s="2420">
        <f>IF(C1="",'数据-汇总表'!E3,SUMIF(项目类型,C1,'数据-汇总表'!E17:E26))</f>
        <v>38865.599999999999</v>
      </c>
    </row>
    <row r="19" spans="1:35" ht="15">
      <c r="A19" s="2426" t="s">
        <v>2151</v>
      </c>
      <c r="B19" s="2427" t="s">
        <v>2152</v>
      </c>
      <c r="C19" s="143">
        <f ca="1">SUMIF(INDIRECT("'"&amp;C4&amp;"'"&amp;"!A:A"),结果表!B19,INDIRECT("'"&amp;C4&amp;"'"&amp;"!B:B"))</f>
        <v>18693</v>
      </c>
      <c r="D19" s="144">
        <f ca="1">SUMIF(INDIRECT("'"&amp;D4&amp;"'"&amp;"!A:A"),结果表!B19,INDIRECT("'"&amp;D4&amp;"'"&amp;"!B:B"))</f>
        <v>18797</v>
      </c>
      <c r="E19" s="2426" t="s">
        <v>2153</v>
      </c>
      <c r="F19" s="2427" t="s">
        <v>2152</v>
      </c>
      <c r="G19" s="145">
        <f ca="1">ROUND(C19*$C$18+D19*$D$18,0)</f>
        <v>18745</v>
      </c>
      <c r="H19" s="2428" t="s">
        <v>2154</v>
      </c>
      <c r="I19" s="138"/>
      <c r="K19" s="2420" t="s">
        <v>2155</v>
      </c>
      <c r="L19" s="2420">
        <f>IF(C1="",'数据-汇总表'!D3,SUMIF(项目类型,C1,'数据-汇总表'!D17:D26)+SUMIF(项目类型,C1,'数据-汇总表'!H17:H27))</f>
        <v>49727</v>
      </c>
      <c r="M19" s="2420">
        <f>IF(C1="",'数据-汇总表'!D3,SUMIF(项目类型,C1,'数据-汇总表'!D17:D26))</f>
        <v>49727</v>
      </c>
    </row>
    <row r="20" spans="1:35" ht="15">
      <c r="A20" s="2429"/>
      <c r="B20" s="1246" t="s">
        <v>2156</v>
      </c>
      <c r="C20" s="146">
        <f ca="1">SUMIF(INDIRECT("'"&amp;C4&amp;"'"&amp;"!A:A"),结果表!B20,INDIRECT("'"&amp;C4&amp;"'"&amp;"!B:B"))</f>
        <v>4810</v>
      </c>
      <c r="D20" s="147">
        <f ca="1">SUMIF(INDIRECT("'"&amp;D4&amp;"'"&amp;"!A:A"),结果表!B20,INDIRECT("'"&amp;D4&amp;"'"&amp;"!B:B"))</f>
        <v>4836</v>
      </c>
      <c r="E20" s="2429"/>
      <c r="F20" s="1246" t="s">
        <v>2156</v>
      </c>
      <c r="G20" s="148">
        <f ca="1">ROUND(C20*$C$18+D20*$D$18,0)</f>
        <v>4823</v>
      </c>
      <c r="H20" s="983" t="s">
        <v>2157</v>
      </c>
      <c r="I20" s="138"/>
    </row>
    <row r="21" spans="1:35" ht="15" customHeight="1" thickBot="1">
      <c r="A21" s="1003"/>
      <c r="B21" s="2430" t="s">
        <v>2158</v>
      </c>
      <c r="C21" s="789">
        <f ca="1">ROUND(C19*10000/L19,0)</f>
        <v>3759</v>
      </c>
      <c r="D21" s="790">
        <f ca="1">ROUND(D19*10000/L19,0)</f>
        <v>3780</v>
      </c>
      <c r="E21" s="1003"/>
      <c r="F21" s="2430" t="s">
        <v>2158</v>
      </c>
      <c r="G21" s="149">
        <f ca="1">ROUND(G19*10000/L19,0)</f>
        <v>3770</v>
      </c>
      <c r="H21" s="2431" t="s">
        <v>2157</v>
      </c>
      <c r="I21" s="138"/>
    </row>
    <row r="22" spans="1:35" ht="15" thickBot="1">
      <c r="A22" s="2272" t="s">
        <v>2159</v>
      </c>
      <c r="B22" s="2432"/>
      <c r="C22" s="2433"/>
      <c r="D22" s="791">
        <f ca="1">IF(C19&lt;D19,D19/C19-1,C19/D19-1)</f>
        <v>5.5635799497137928E-3</v>
      </c>
      <c r="E22" s="138"/>
      <c r="F22" s="138"/>
      <c r="G22" s="138"/>
      <c r="H22" s="138"/>
      <c r="I22" s="138"/>
    </row>
    <row r="23" spans="1:35" ht="13.5" thickBot="1">
      <c r="A23" s="2410"/>
      <c r="B23" s="2410"/>
      <c r="C23" s="2410"/>
      <c r="D23" s="2410"/>
      <c r="E23" s="138"/>
      <c r="F23" s="138"/>
      <c r="G23" s="138"/>
      <c r="H23" s="138"/>
      <c r="I23" s="138"/>
    </row>
    <row r="24" spans="1:35" ht="14.25">
      <c r="A24" s="3069" t="s">
        <v>2160</v>
      </c>
      <c r="B24" s="2427" t="s">
        <v>2152</v>
      </c>
      <c r="C24" s="145">
        <f>IF(B30=0,0,D30)</f>
        <v>0</v>
      </c>
      <c r="D24" s="2434"/>
      <c r="E24" s="138"/>
      <c r="F24" s="138"/>
      <c r="G24" s="138"/>
      <c r="H24" s="138"/>
      <c r="I24" s="138"/>
    </row>
    <row r="25" spans="1:35" ht="14.25">
      <c r="A25" s="3070"/>
      <c r="B25" s="1246" t="s">
        <v>2156</v>
      </c>
      <c r="C25" s="150">
        <f>IF(B30=0,0,C30)</f>
        <v>0</v>
      </c>
      <c r="D25" s="2435"/>
      <c r="E25" s="138"/>
      <c r="F25" s="138"/>
      <c r="G25" s="138"/>
      <c r="H25" s="138"/>
      <c r="I25" s="138"/>
    </row>
    <row r="26" spans="1:35" ht="13.5" customHeight="1">
      <c r="A26" s="2436" t="s">
        <v>2161</v>
      </c>
      <c r="B26" s="151" t="s">
        <v>2162</v>
      </c>
      <c r="C26" s="151" t="s">
        <v>2163</v>
      </c>
      <c r="D26" s="152" t="s">
        <v>2164</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2165</v>
      </c>
      <c r="B30" s="151"/>
      <c r="C30" s="151"/>
      <c r="D30" s="151"/>
      <c r="E30" s="2919" t="s">
        <v>3036</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2166</v>
      </c>
      <c r="B32" s="2440"/>
      <c r="C32" s="153">
        <f ca="1">IF(D32="总价",G19-C24,G20-C25)</f>
        <v>18745</v>
      </c>
      <c r="D32" s="2441" t="s">
        <v>2167</v>
      </c>
      <c r="E32" s="138"/>
      <c r="F32" s="138"/>
      <c r="G32" s="138"/>
      <c r="H32" s="138"/>
      <c r="I32" s="138"/>
    </row>
    <row r="33" spans="1:15" ht="15">
      <c r="A33" s="960" t="s">
        <v>2168</v>
      </c>
      <c r="B33" s="2442"/>
      <c r="C33" s="2443" t="s">
        <v>3154</v>
      </c>
      <c r="D33" s="2444" t="s">
        <v>3153</v>
      </c>
      <c r="E33" s="2445" t="s">
        <v>2169</v>
      </c>
      <c r="F33" s="2446" t="str">
        <f>IF(D32="楼面单价","取值（单价）","取值（总价）")</f>
        <v>取值（总价）</v>
      </c>
      <c r="G33" s="138"/>
      <c r="H33" s="138"/>
      <c r="I33" s="138"/>
    </row>
    <row r="34" spans="1:15" ht="15">
      <c r="A34" s="2447"/>
      <c r="B34" s="2448" t="s">
        <v>2170</v>
      </c>
      <c r="C34" s="157">
        <f ca="1">IF(C33="自定义",F34,C32-C35)</f>
        <v>7386</v>
      </c>
      <c r="D34" s="1058">
        <f ca="1">IF(C33="自定义",ROUND(C34/C32,3),IF(C33="收益比率",SUMIF(INDIRECT("'"&amp;D33&amp;"'"&amp;"!b:b"),"土地收益比率",INDIRECT("'"&amp;D33&amp;"'"&amp;"!c:c")),SUMIF(INDIRECT("'"&amp;D33&amp;"'"&amp;"!b:b"),"土地成本比率",INDIRECT("'"&amp;D33&amp;"'"&amp;"!c:c"))))</f>
        <v>0.39400000000000002</v>
      </c>
      <c r="E34" s="2449" t="s">
        <v>2171</v>
      </c>
      <c r="F34" s="1734"/>
      <c r="G34" s="138"/>
      <c r="H34" s="138"/>
      <c r="I34" s="138"/>
    </row>
    <row r="35" spans="1:15" ht="15.75" thickBot="1">
      <c r="A35" s="2450"/>
      <c r="B35" s="2451" t="s">
        <v>2172</v>
      </c>
      <c r="C35" s="1440">
        <f ca="1">IF(C33="自定义",F35,ROUND(C32*D35,0))</f>
        <v>11359</v>
      </c>
      <c r="D35" s="1441">
        <f ca="1">IF(C33="自定义",ROUND(C35/C32,3),IF(C33="收益比率",SUMIF(INDIRECT("'"&amp;D33&amp;"'"&amp;"!b:b"),"建筑物收益比率",INDIRECT("'"&amp;D33&amp;"'"&amp;"!c:c")),SUMIF(INDIRECT("'"&amp;D33&amp;"'"&amp;"!b:b"),"建筑物成本比率",INDIRECT("'"&amp;D33&amp;"'"&amp;"!c:c"))))</f>
        <v>0.60599999999999998</v>
      </c>
      <c r="E35" s="2452" t="s">
        <v>2173</v>
      </c>
      <c r="F35" s="163"/>
      <c r="G35" s="138"/>
      <c r="H35" s="138"/>
      <c r="I35" s="138"/>
    </row>
    <row r="36" spans="1:15" ht="15.75" thickBot="1">
      <c r="A36" s="3087" t="s">
        <v>2174</v>
      </c>
      <c r="B36" s="2453" t="s">
        <v>2175</v>
      </c>
      <c r="C36" s="154"/>
      <c r="D36" s="2454"/>
      <c r="E36" s="2455"/>
      <c r="F36" s="2456"/>
      <c r="G36" s="138"/>
      <c r="H36" s="138"/>
      <c r="I36" s="138"/>
    </row>
    <row r="37" spans="1:15" ht="15.75" thickBot="1">
      <c r="A37" s="3088"/>
      <c r="B37" s="2258" t="s">
        <v>2176</v>
      </c>
      <c r="C37" s="156"/>
      <c r="D37" s="1391"/>
      <c r="E37" s="1391"/>
      <c r="F37" s="2456"/>
      <c r="G37" s="138"/>
      <c r="H37" s="138"/>
      <c r="I37" s="138"/>
    </row>
    <row r="38" spans="1:15" ht="15.75" thickBot="1">
      <c r="A38" s="3089"/>
      <c r="B38" s="2457" t="s">
        <v>2177</v>
      </c>
      <c r="C38" s="727"/>
      <c r="D38" s="2458" t="s">
        <v>2178</v>
      </c>
      <c r="E38" s="1391"/>
      <c r="F38" s="2456"/>
      <c r="G38" s="138"/>
      <c r="H38" s="138"/>
      <c r="I38" s="138"/>
    </row>
    <row r="39" spans="1:15" ht="15">
      <c r="A39" s="2429" t="s">
        <v>2179</v>
      </c>
      <c r="B39" s="2459" t="s">
        <v>2180</v>
      </c>
      <c r="C39" s="2460" t="s">
        <v>2181</v>
      </c>
      <c r="D39" s="2460" t="s">
        <v>2182</v>
      </c>
      <c r="E39" s="2461" t="s">
        <v>2183</v>
      </c>
      <c r="F39" s="2456"/>
      <c r="G39" s="138"/>
      <c r="H39" s="138"/>
      <c r="I39" s="138"/>
    </row>
    <row r="40" spans="1:15" ht="14.25">
      <c r="A40" s="2462" t="s">
        <v>2184</v>
      </c>
      <c r="B40" s="158"/>
      <c r="C40" s="159"/>
      <c r="D40" s="159"/>
      <c r="E40" s="160"/>
      <c r="F40" s="2456"/>
      <c r="G40" s="138"/>
      <c r="H40" s="138"/>
      <c r="I40" s="138"/>
    </row>
    <row r="41" spans="1:15" ht="14.25">
      <c r="A41" s="2462" t="s">
        <v>2185</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6"/>
      <c r="B43" s="2156"/>
      <c r="C43" s="2156"/>
      <c r="D43" s="2156"/>
      <c r="E43" s="2156"/>
      <c r="F43" s="2464"/>
      <c r="G43" s="2464"/>
      <c r="H43" s="2464"/>
      <c r="I43" s="2465"/>
    </row>
    <row r="44" spans="1:15" ht="18.75">
      <c r="A44" s="2466" t="s">
        <v>2186</v>
      </c>
      <c r="B44" s="2467"/>
      <c r="C44" s="2467"/>
      <c r="D44" s="2468"/>
      <c r="E44" s="2468"/>
      <c r="F44" s="2469"/>
      <c r="G44" s="2469"/>
      <c r="H44" s="2469"/>
      <c r="I44" s="2469"/>
      <c r="J44" s="2470" t="s">
        <v>2187</v>
      </c>
      <c r="K44" s="2471"/>
      <c r="L44" s="2471"/>
      <c r="M44" s="2471"/>
      <c r="N44" s="2471"/>
      <c r="O44" s="2471"/>
    </row>
    <row r="45" spans="1:15" ht="14.25" customHeight="1" thickBot="1">
      <c r="A45" s="3066" t="s">
        <v>2188</v>
      </c>
      <c r="B45" s="3067"/>
      <c r="C45" s="3068"/>
      <c r="D45" s="164">
        <f ca="1">ROUND(H101*F45,0)</f>
        <v>18745</v>
      </c>
      <c r="E45" s="165" t="s">
        <v>2189</v>
      </c>
      <c r="F45" s="166">
        <v>1</v>
      </c>
      <c r="G45" s="167" t="s">
        <v>2190</v>
      </c>
      <c r="H45" s="138"/>
      <c r="I45" s="138"/>
      <c r="J45" s="3126" t="s">
        <v>2191</v>
      </c>
      <c r="K45" s="3126"/>
      <c r="L45" s="3126"/>
      <c r="M45" s="3126"/>
      <c r="N45" s="3126"/>
      <c r="O45" s="3126"/>
    </row>
    <row r="46" spans="1:15" ht="14.25" customHeight="1">
      <c r="A46" s="3063" t="s">
        <v>2192</v>
      </c>
      <c r="B46" s="3064"/>
      <c r="C46" s="3064"/>
      <c r="D46" s="3064"/>
      <c r="E46" s="3064"/>
      <c r="F46" s="3064"/>
      <c r="G46" s="3065"/>
      <c r="H46" s="2472"/>
      <c r="I46" s="168"/>
      <c r="J46" s="1805">
        <v>1</v>
      </c>
      <c r="K46" s="3126" t="s">
        <v>2193</v>
      </c>
      <c r="L46" s="3126"/>
      <c r="M46" s="3146"/>
      <c r="N46" s="3146"/>
      <c r="O46" s="3146"/>
    </row>
    <row r="47" spans="1:15" ht="12" customHeight="1">
      <c r="A47" s="169" t="s">
        <v>2194</v>
      </c>
      <c r="B47" s="170"/>
      <c r="C47" s="171"/>
      <c r="D47" s="172" t="s">
        <v>2195</v>
      </c>
      <c r="E47" s="24" t="s">
        <v>2196</v>
      </c>
      <c r="F47" s="173" t="s">
        <v>2197</v>
      </c>
      <c r="G47" s="174" t="s">
        <v>2198</v>
      </c>
      <c r="H47" s="2472"/>
      <c r="I47" s="168"/>
      <c r="J47" s="1805">
        <v>2</v>
      </c>
      <c r="K47" s="3126" t="s">
        <v>2199</v>
      </c>
      <c r="L47" s="3126"/>
      <c r="M47" s="3147">
        <f>'数据-取费表'!B2</f>
        <v>43417</v>
      </c>
      <c r="N47" s="3147"/>
      <c r="O47" s="3147"/>
    </row>
    <row r="48" spans="1:15" ht="25.5">
      <c r="A48" s="3094" t="s">
        <v>2200</v>
      </c>
      <c r="B48" s="3077"/>
      <c r="C48" s="3077"/>
      <c r="D48" s="140">
        <f>IF(H48="情况1",0,IF(H48="情况2",D52,IF(H48="情况3",D53,IF(H48="情况4",D54))))</f>
        <v>0</v>
      </c>
      <c r="E48" s="1794" t="str">
        <f>IF(H48="情况4","(销售额-原购置价)×税（费）率","销售额×税（费）率")</f>
        <v>销售额×税（费）率</v>
      </c>
      <c r="F48" s="175" t="str">
        <f>IF(H48="情况1","免征",'数据-取费表'!B41)</f>
        <v>免征</v>
      </c>
      <c r="G48" s="2473" t="s">
        <v>2201</v>
      </c>
      <c r="H48" s="2474" t="s">
        <v>2202</v>
      </c>
      <c r="I48" s="2472"/>
      <c r="J48" s="1805">
        <v>3</v>
      </c>
      <c r="K48" s="3126" t="s">
        <v>2203</v>
      </c>
      <c r="L48" s="3126"/>
      <c r="M48" s="3148">
        <f ca="1">H101</f>
        <v>18745</v>
      </c>
      <c r="N48" s="3148"/>
      <c r="O48" s="3148"/>
    </row>
    <row r="49" spans="1:35" ht="25.5" customHeight="1">
      <c r="A49" s="176" t="s">
        <v>2204</v>
      </c>
      <c r="B49" s="3062" t="s">
        <v>2205</v>
      </c>
      <c r="C49" s="3062"/>
      <c r="D49" s="177">
        <v>0</v>
      </c>
      <c r="E49" s="23" t="s">
        <v>2206</v>
      </c>
      <c r="F49" s="28" t="s">
        <v>34</v>
      </c>
      <c r="G49" s="3132"/>
      <c r="H49" s="138"/>
      <c r="I49" s="2475"/>
      <c r="J49" s="1805">
        <v>4</v>
      </c>
      <c r="K49" s="3126" t="str">
        <f>IF(项目基本情况!E8="房地产抵押价值","房地产抵押价值","抵押担保权已注销时的房地产抵押价值")</f>
        <v>房地产抵押价值</v>
      </c>
      <c r="L49" s="3126"/>
      <c r="M49" s="3148">
        <f ca="1">IF(项目基本情况!E8="房地产抵押价值",H107,H109)</f>
        <v>18745</v>
      </c>
      <c r="N49" s="3148"/>
      <c r="O49" s="3148"/>
    </row>
    <row r="50" spans="1:35" ht="25.5" customHeight="1">
      <c r="A50" s="178"/>
      <c r="B50" s="3062" t="s">
        <v>2207</v>
      </c>
      <c r="C50" s="3062"/>
      <c r="D50" s="179"/>
      <c r="E50" s="31"/>
      <c r="F50" s="180"/>
      <c r="G50" s="3133"/>
      <c r="H50" s="138"/>
      <c r="I50" s="2475"/>
      <c r="J50" s="3126" t="s">
        <v>2208</v>
      </c>
      <c r="K50" s="3126"/>
      <c r="L50" s="3126"/>
      <c r="M50" s="3126"/>
      <c r="N50" s="3126"/>
      <c r="O50" s="3126"/>
    </row>
    <row r="51" spans="1:35" ht="12" customHeight="1">
      <c r="A51" s="181"/>
      <c r="B51" s="3062" t="s">
        <v>2209</v>
      </c>
      <c r="C51" s="3062"/>
      <c r="D51" s="182"/>
      <c r="E51" s="30"/>
      <c r="F51" s="180"/>
      <c r="G51" s="3134"/>
      <c r="H51" s="138"/>
      <c r="I51" s="2475"/>
      <c r="J51" s="2476" t="s">
        <v>2210</v>
      </c>
      <c r="K51" s="3126" t="s">
        <v>2211</v>
      </c>
      <c r="L51" s="3126"/>
      <c r="M51" s="2476" t="s">
        <v>2212</v>
      </c>
      <c r="N51" s="2476" t="s">
        <v>2213</v>
      </c>
      <c r="O51" s="2476" t="s">
        <v>2214</v>
      </c>
    </row>
    <row r="52" spans="1:35" ht="24" customHeight="1">
      <c r="A52" s="183" t="s">
        <v>2215</v>
      </c>
      <c r="B52" s="3062" t="s">
        <v>2216</v>
      </c>
      <c r="C52" s="3062"/>
      <c r="D52" s="182">
        <f ca="1">ROUND(D45*'数据-取费表'!B41/(1+'数据-取费表'!C42),0)</f>
        <v>982</v>
      </c>
      <c r="E52" s="11" t="s">
        <v>2217</v>
      </c>
      <c r="F52" s="184">
        <f>'数据-取费表'!B41</f>
        <v>5.5000000000000007E-2</v>
      </c>
      <c r="G52" s="2477"/>
      <c r="H52" s="138"/>
      <c r="I52" s="2475"/>
      <c r="J52" s="1805">
        <v>1</v>
      </c>
      <c r="K52" s="3127" t="s">
        <v>2218</v>
      </c>
      <c r="L52" s="3127"/>
      <c r="M52" s="1749">
        <f>D48</f>
        <v>0</v>
      </c>
      <c r="N52" s="1805" t="str">
        <f>E48</f>
        <v>销售额×税（费）率</v>
      </c>
      <c r="O52" s="1750" t="str">
        <f>F48</f>
        <v>免征</v>
      </c>
    </row>
    <row r="53" spans="1:35" ht="12" customHeight="1">
      <c r="A53" s="183" t="s">
        <v>2219</v>
      </c>
      <c r="B53" s="3085" t="s">
        <v>2220</v>
      </c>
      <c r="C53" s="3086"/>
      <c r="D53" s="182">
        <f ca="1">ROUND(D45*'数据-取费表'!B41/(1+'数据-取费表'!C42),0)</f>
        <v>982</v>
      </c>
      <c r="E53" s="11" t="s">
        <v>2217</v>
      </c>
      <c r="F53" s="184">
        <f>'数据-取费表'!B41</f>
        <v>5.5000000000000007E-2</v>
      </c>
      <c r="G53" s="2477"/>
      <c r="H53" s="138"/>
      <c r="I53" s="2475"/>
      <c r="J53" s="1805">
        <v>2</v>
      </c>
      <c r="K53" s="3127" t="s">
        <v>2221</v>
      </c>
      <c r="L53" s="3127"/>
      <c r="M53" s="1749">
        <f t="shared" ref="M53:O54" ca="1" si="0">D55</f>
        <v>9</v>
      </c>
      <c r="N53" s="1805" t="str">
        <f t="shared" si="0"/>
        <v>销售额×税（费）率</v>
      </c>
      <c r="O53" s="1750">
        <f t="shared" si="0"/>
        <v>5.0000000000000001E-4</v>
      </c>
    </row>
    <row r="54" spans="1:35" ht="12" customHeight="1">
      <c r="A54" s="183" t="s">
        <v>2222</v>
      </c>
      <c r="B54" s="3085" t="s">
        <v>2223</v>
      </c>
      <c r="C54" s="3086"/>
      <c r="D54" s="182">
        <f ca="1">C68</f>
        <v>982</v>
      </c>
      <c r="E54" s="30" t="s">
        <v>2224</v>
      </c>
      <c r="F54" s="184">
        <f>'数据-取费表'!B41</f>
        <v>5.5000000000000007E-2</v>
      </c>
      <c r="G54" s="2477"/>
      <c r="H54" s="2478"/>
      <c r="I54" s="2475"/>
      <c r="J54" s="1805">
        <v>3</v>
      </c>
      <c r="K54" s="3127" t="s">
        <v>2225</v>
      </c>
      <c r="L54" s="3127"/>
      <c r="M54" s="1749">
        <f t="shared" ca="1" si="0"/>
        <v>10627</v>
      </c>
      <c r="N54" s="1805" t="str">
        <f t="shared" si="0"/>
        <v>增值额×税（费）率</v>
      </c>
      <c r="O54" s="1751" t="str">
        <f t="shared" si="0"/>
        <v>——</v>
      </c>
    </row>
    <row r="55" spans="1:35" ht="24" customHeight="1">
      <c r="A55" s="3076" t="s">
        <v>2226</v>
      </c>
      <c r="B55" s="3077"/>
      <c r="C55" s="3077"/>
      <c r="D55" s="185">
        <f ca="1">IF(H55="个人住宅",0,ROUND(D45*I55,0))</f>
        <v>9</v>
      </c>
      <c r="E55" s="11" t="s">
        <v>2227</v>
      </c>
      <c r="F55" s="184">
        <f>IF(H55="正常",I55,"免征")</f>
        <v>5.0000000000000001E-4</v>
      </c>
      <c r="G55" s="2477"/>
      <c r="H55" s="2474" t="s">
        <v>2228</v>
      </c>
      <c r="I55" s="186">
        <f>'数据-取费表'!B49</f>
        <v>5.0000000000000001E-4</v>
      </c>
      <c r="J55" s="1805" t="str">
        <f>IF(H59="非个人房产","",4)</f>
        <v/>
      </c>
      <c r="K55" s="3127" t="str">
        <f>IF(H59="非个人房产","——","个人所得税")</f>
        <v>——</v>
      </c>
      <c r="L55" s="3127"/>
      <c r="M55" s="1752" t="str">
        <f>D59</f>
        <v>——</v>
      </c>
      <c r="N55" s="1803" t="str">
        <f>E59</f>
        <v>——</v>
      </c>
      <c r="O55" s="1753" t="str">
        <f>F59</f>
        <v>——</v>
      </c>
    </row>
    <row r="56" spans="1:35" ht="24.75">
      <c r="A56" s="3076" t="s">
        <v>2229</v>
      </c>
      <c r="B56" s="3077"/>
      <c r="C56" s="3077"/>
      <c r="D56" s="185">
        <f ca="1">IF(H56="个人住宅",D57,D58)</f>
        <v>10627</v>
      </c>
      <c r="E56" s="11" t="s">
        <v>2230</v>
      </c>
      <c r="F56" s="184" t="str">
        <f>IF(H56="正常",F58,"免征")</f>
        <v>——</v>
      </c>
      <c r="G56" s="2479" t="s">
        <v>2231</v>
      </c>
      <c r="H56" s="2480" t="s">
        <v>2228</v>
      </c>
      <c r="I56" s="2481"/>
      <c r="J56" s="1805" t="str">
        <f>IF(项目基本情况!K6="上海银行",IF(J55="",4,J55+1),"")</f>
        <v/>
      </c>
      <c r="K56" s="3150" t="str">
        <f>IF(项目基本情况!K6="上海银行","其他处置费用","")</f>
        <v/>
      </c>
      <c r="L56" s="3151"/>
      <c r="M56" s="1749" t="str">
        <f>IF(项目基本情况!K6="上海银行",M69,"")</f>
        <v/>
      </c>
      <c r="N56" s="3153" t="str">
        <f>IF(项目基本情况!K6="上海银行","包含处置中涉及的律师、诉讼、拍卖、评估等费用","")</f>
        <v/>
      </c>
      <c r="O56" s="3154"/>
    </row>
    <row r="57" spans="1:35" ht="12.75">
      <c r="A57" s="183" t="s">
        <v>2204</v>
      </c>
      <c r="B57" s="3092" t="s">
        <v>2232</v>
      </c>
      <c r="C57" s="3101"/>
      <c r="D57" s="187">
        <v>0</v>
      </c>
      <c r="E57" s="23" t="s">
        <v>2206</v>
      </c>
      <c r="F57" s="155"/>
      <c r="G57" s="2477"/>
      <c r="H57" s="2481"/>
      <c r="I57" s="2481"/>
      <c r="J57" s="3127">
        <f>IF(AND(J55="",J56=""),4,IF(项目基本情况!K6="上海银行",结果表!J56+1,结果表!J55+1))</f>
        <v>4</v>
      </c>
      <c r="K57" s="3127" t="s">
        <v>2233</v>
      </c>
      <c r="L57" s="2482" t="s">
        <v>2234</v>
      </c>
      <c r="M57" s="1754"/>
      <c r="N57" s="1755">
        <f ca="1">SUMIF(M52:M56,"&lt;9e307")</f>
        <v>10636</v>
      </c>
      <c r="O57" s="2483"/>
      <c r="P57" s="1748">
        <f ca="1">N57/M49</f>
        <v>0.56740464123766343</v>
      </c>
    </row>
    <row r="58" spans="1:35" ht="24.75">
      <c r="A58" s="183" t="s">
        <v>2215</v>
      </c>
      <c r="B58" s="3092" t="s">
        <v>2235</v>
      </c>
      <c r="C58" s="3093"/>
      <c r="D58" s="185">
        <f ca="1">IF(H58="转让取得",C81,C97)</f>
        <v>10627</v>
      </c>
      <c r="E58" s="11" t="s">
        <v>2230</v>
      </c>
      <c r="F58" s="24" t="s">
        <v>34</v>
      </c>
      <c r="G58" s="2477"/>
      <c r="H58" s="2480" t="s">
        <v>2236</v>
      </c>
      <c r="I58" s="2481"/>
      <c r="J58" s="3127"/>
      <c r="K58" s="3127"/>
      <c r="L58" s="2482" t="s">
        <v>2237</v>
      </c>
      <c r="M58" s="1756"/>
      <c r="N58" s="2484" t="str">
        <f ca="1">NUMBERSTRING(INT(N57*10000),2)&amp;"元整"</f>
        <v>壹亿零陆佰叁拾陆万元整</v>
      </c>
      <c r="O58" s="2485"/>
    </row>
    <row r="59" spans="1:35" ht="24.75" thickBot="1">
      <c r="A59" s="3130" t="s">
        <v>2238</v>
      </c>
      <c r="B59" s="3131"/>
      <c r="C59" s="3131"/>
      <c r="D59" s="188" t="str">
        <f>IF(H59="非个人房产","——",IF(H59="个人住宅",0,ROUND(D45*I59,0)))</f>
        <v>——</v>
      </c>
      <c r="E59" s="189" t="str">
        <f>IF(H59="非个人房产","——","销售额×税（费）率")</f>
        <v>——</v>
      </c>
      <c r="F59" s="190" t="str">
        <f>IF(H59="非个人房产","——",IF(H59="个人住宅","免征",I59))</f>
        <v>——</v>
      </c>
      <c r="G59" s="2486" t="s">
        <v>2231</v>
      </c>
      <c r="H59" s="2480" t="s">
        <v>2239</v>
      </c>
      <c r="I59" s="191">
        <v>0.01</v>
      </c>
      <c r="J59" s="3128">
        <f>J57+1</f>
        <v>5</v>
      </c>
      <c r="K59" s="3127" t="s">
        <v>2240</v>
      </c>
      <c r="L59" s="1805" t="s">
        <v>2234</v>
      </c>
      <c r="M59" s="1757"/>
      <c r="N59" s="1758">
        <f ca="1">M49-N57</f>
        <v>8109</v>
      </c>
      <c r="O59" s="2487"/>
    </row>
    <row r="60" spans="1:35" ht="12" customHeight="1">
      <c r="A60" s="2488"/>
      <c r="B60" s="2410"/>
      <c r="C60" s="2410"/>
      <c r="D60" s="2410"/>
      <c r="E60" s="2157"/>
      <c r="F60" s="2481"/>
      <c r="G60" s="2481"/>
      <c r="H60" s="2489"/>
      <c r="I60" s="138"/>
      <c r="J60" s="3129"/>
      <c r="K60" s="3127"/>
      <c r="L60" s="2482" t="s">
        <v>2237</v>
      </c>
      <c r="M60" s="1756"/>
      <c r="N60" s="2484" t="str">
        <f ca="1">NUMBERSTRING(INT(N59*10000),2)&amp;"元整"</f>
        <v>捌仟壹佰零玖万元整</v>
      </c>
      <c r="O60" s="2485"/>
    </row>
    <row r="61" spans="1:35" ht="13.5" thickBot="1">
      <c r="A61" s="3074" t="s">
        <v>2241</v>
      </c>
      <c r="B61" s="3074"/>
      <c r="C61" s="3074"/>
      <c r="D61" s="3074"/>
      <c r="E61" s="3074"/>
      <c r="F61" s="2481"/>
      <c r="G61" s="2481"/>
      <c r="H61" s="2489"/>
      <c r="I61" s="138"/>
      <c r="J61" s="1805">
        <f>J59+1</f>
        <v>6</v>
      </c>
      <c r="K61" s="3127" t="s">
        <v>2242</v>
      </c>
      <c r="L61" s="3127"/>
      <c r="M61" s="1759"/>
      <c r="N61" s="1760">
        <f ca="1">ROUND(N59*10000/'数据-汇总表'!E3,0)</f>
        <v>2086</v>
      </c>
      <c r="O61" s="2490"/>
    </row>
    <row r="62" spans="1:35" ht="12.75">
      <c r="A62" s="3090" t="s">
        <v>2243</v>
      </c>
      <c r="B62" s="3091"/>
      <c r="C62" s="1797"/>
      <c r="D62" s="1797" t="s">
        <v>2244</v>
      </c>
      <c r="E62" s="192" t="s">
        <v>2245</v>
      </c>
      <c r="F62" s="2481"/>
      <c r="G62" s="2481"/>
      <c r="H62" s="2489"/>
      <c r="I62" s="138"/>
    </row>
    <row r="63" spans="1:35" ht="12.75">
      <c r="A63" s="203" t="s">
        <v>775</v>
      </c>
      <c r="B63" s="193" t="s">
        <v>2246</v>
      </c>
      <c r="C63" s="194">
        <f ca="1">ROUND((C64+C65)/(1+'数据-取费表'!C42),0)</f>
        <v>17852</v>
      </c>
      <c r="D63" s="195"/>
      <c r="E63" s="196"/>
      <c r="F63" s="2481"/>
      <c r="G63" s="2481"/>
      <c r="H63" s="2489"/>
      <c r="I63" s="138"/>
      <c r="J63" s="3152" t="s">
        <v>2247</v>
      </c>
      <c r="K63" s="2491" t="s">
        <v>2248</v>
      </c>
      <c r="L63" s="1747">
        <f ca="1">IF(M49&gt;10000,M49*0.5%,IF(AND(M49&gt;1000,M49&lt;=10000),M49*1%,IF(AND(M49&gt;100,M49&lt;=1000),M49*3%,IF(AND(M49&gt;10,M49&lt;=100),M49*5%,M49*8%))))</f>
        <v>93.725000000000009</v>
      </c>
      <c r="M63" s="24">
        <f ca="1">ROUND(L63,1)</f>
        <v>93.7</v>
      </c>
      <c r="Z63" s="2415"/>
      <c r="AI63" s="2416"/>
    </row>
    <row r="64" spans="1:35" ht="14.25" customHeight="1">
      <c r="A64" s="197" t="s">
        <v>770</v>
      </c>
      <c r="B64" s="198" t="s">
        <v>2249</v>
      </c>
      <c r="C64" s="199">
        <f ca="1">D45</f>
        <v>18745</v>
      </c>
      <c r="D64" s="200" t="s">
        <v>32</v>
      </c>
      <c r="E64" s="201"/>
      <c r="F64" s="2481"/>
      <c r="G64" s="2481"/>
      <c r="H64" s="2489"/>
      <c r="I64" s="138"/>
      <c r="J64" s="3152"/>
      <c r="K64" s="2491" t="s">
        <v>2250</v>
      </c>
      <c r="L64" s="1747">
        <f ca="1">IF(M49&gt;2000,M49*0.5%,IF(AND(M49&gt;1000,M49&lt;=2000),M49*0.6%,IF(AND(M49&gt;500,M49&lt;=1000),M49*0.7%,IF(AND(M49&gt;200,M49&lt;=500),M49*0.8%,IF(AND(M49&gt;100,M49&lt;=200),M49*0.9%,IF(AND(M49&gt;50,M49&lt;=100),M49*1%,IF(AND(M49&gt;20,M49&lt;=50),M49*1.5%,IF(AND(M49&gt;10,M49&lt;=20),M49*2%,IF(AND(M49&gt;1,M49&lt;=10),M49*2.5%)))))))))</f>
        <v>93.725000000000009</v>
      </c>
      <c r="M64" s="24">
        <f t="shared" ref="M64:M65" ca="1" si="1">ROUND(L64,1)</f>
        <v>93.7</v>
      </c>
      <c r="N64" s="138" t="s">
        <v>2251</v>
      </c>
      <c r="Z64" s="2415"/>
      <c r="AI64" s="2416"/>
    </row>
    <row r="65" spans="1:35" ht="14.25" customHeight="1">
      <c r="A65" s="197" t="s">
        <v>771</v>
      </c>
      <c r="B65" s="198" t="s">
        <v>2252</v>
      </c>
      <c r="C65" s="202"/>
      <c r="D65" s="200"/>
      <c r="E65" s="201"/>
      <c r="F65" s="2481"/>
      <c r="G65" s="2481"/>
      <c r="H65" s="2489"/>
      <c r="I65" s="138"/>
      <c r="J65" s="3152"/>
      <c r="K65" s="2491" t="s">
        <v>2253</v>
      </c>
      <c r="L65" s="1747">
        <f ca="1">IF(M49&gt;1000,M49*0.1%,IF(AND(M49&gt;500,M49&lt;=1000),M49*0.5%,IF(AND(M49&gt;50,M49&lt;=500),M49*1%,IF(AND(M49&gt;1,M49&lt;=50),M49*1.5%))))</f>
        <v>18.745000000000001</v>
      </c>
      <c r="M65" s="24">
        <f t="shared" ca="1" si="1"/>
        <v>18.7</v>
      </c>
      <c r="N65" s="138" t="s">
        <v>2251</v>
      </c>
      <c r="Z65" s="2415"/>
      <c r="AI65" s="2416"/>
    </row>
    <row r="66" spans="1:35" ht="14.25" customHeight="1">
      <c r="A66" s="203" t="s">
        <v>772</v>
      </c>
      <c r="B66" s="204" t="s">
        <v>2254</v>
      </c>
      <c r="C66" s="205"/>
      <c r="D66" s="206" t="s">
        <v>32</v>
      </c>
      <c r="E66" s="1769" t="s">
        <v>1371</v>
      </c>
      <c r="F66" s="2481"/>
      <c r="G66" s="2481"/>
      <c r="H66" s="2489"/>
      <c r="I66" s="138"/>
      <c r="J66" s="3152"/>
      <c r="K66" s="2491" t="s">
        <v>2255</v>
      </c>
      <c r="L66" s="1747">
        <f ca="1">M49*0.5%</f>
        <v>93.725000000000009</v>
      </c>
      <c r="M66" s="24">
        <f ca="1">IF(L66&gt;0.5,0.5,ROUND(L66,0))</f>
        <v>0.5</v>
      </c>
      <c r="N66" s="138" t="s">
        <v>2256</v>
      </c>
      <c r="Z66" s="2415"/>
      <c r="AI66" s="2416"/>
    </row>
    <row r="67" spans="1:35" ht="14.25" customHeight="1">
      <c r="A67" s="203" t="s">
        <v>773</v>
      </c>
      <c r="B67" s="204" t="s">
        <v>2257</v>
      </c>
      <c r="C67" s="207">
        <f ca="1">C63-C66</f>
        <v>17852</v>
      </c>
      <c r="D67" s="200" t="s">
        <v>32</v>
      </c>
      <c r="E67" s="201"/>
      <c r="F67" s="2481"/>
      <c r="G67" s="2481"/>
      <c r="H67" s="2489"/>
      <c r="I67" s="138"/>
      <c r="J67" s="3152"/>
      <c r="K67" s="2491" t="s">
        <v>2258</v>
      </c>
      <c r="L67" s="1747">
        <f ca="1">IF(M49&gt;=10000,(8.25+(M49-10000)*0.01%),IF(AND(M49&gt;=8000,M49&lt;10000),(7.85+(M49-8000)*0.02%),IF(AND(M49&gt;=5000,M49&lt;8000),(6.65+(M49-5000)*0.04%),IF(AND(M49&gt;=2000,M49&lt;5000),(4.25+(PM49-2000)*0.08%),IF(AND(M49&gt;=1000,M49&lt;2000),(2.75+(M49-1000)*0.15%),IF(AND(M49&gt;=100,M49&lt;1000),(0.5+(M49-100)*0.25%),IF(AND(M49&gt;0,M49&lt;100),M49*0.5%)))))))</f>
        <v>9.1244999999999994</v>
      </c>
      <c r="M67" s="24">
        <f ca="1">ROUND(L67*0.9,1)</f>
        <v>8.1999999999999993</v>
      </c>
      <c r="Z67" s="2415"/>
      <c r="AI67" s="2416"/>
    </row>
    <row r="68" spans="1:35" ht="14.25" customHeight="1" thickBot="1">
      <c r="A68" s="208" t="s">
        <v>774</v>
      </c>
      <c r="B68" s="209" t="s">
        <v>2259</v>
      </c>
      <c r="C68" s="210">
        <f ca="1">IF(C67&lt;=0,0,ROUND(C67*D68,0))</f>
        <v>982</v>
      </c>
      <c r="D68" s="211">
        <f>'数据-取费表'!B41</f>
        <v>5.5000000000000007E-2</v>
      </c>
      <c r="E68" s="212"/>
      <c r="F68" s="2481"/>
      <c r="G68" s="2481"/>
      <c r="H68" s="2489"/>
      <c r="I68" s="138"/>
      <c r="J68" s="3152"/>
      <c r="K68" s="2491" t="s">
        <v>2260</v>
      </c>
      <c r="L68" s="1747">
        <f ca="1">IF(M49&gt;10000,M49*0.5%,IF(AND(M49&gt;5000,M49&lt;=10000),M49*1%,IF(AND(M49&gt;1000,M49&lt;=5000),M49*2%,IF(AND(M49&gt;200,M49&lt;=1000),M49*3%,M49*5%))))</f>
        <v>93.725000000000009</v>
      </c>
      <c r="M68" s="24">
        <f ca="1">ROUND(L68,1)</f>
        <v>93.7</v>
      </c>
      <c r="Z68" s="2415"/>
      <c r="AI68" s="2416"/>
    </row>
    <row r="69" spans="1:35" s="2438" customFormat="1" ht="16.5" customHeight="1">
      <c r="A69" s="2492"/>
      <c r="B69" s="2493"/>
      <c r="C69" s="2494"/>
      <c r="D69" s="2495"/>
      <c r="E69" s="2496"/>
      <c r="F69" s="2157"/>
      <c r="G69" s="2157"/>
      <c r="H69" s="2156"/>
      <c r="I69" s="2410"/>
      <c r="J69" s="3152"/>
      <c r="K69" s="2491" t="s">
        <v>2261</v>
      </c>
      <c r="L69" s="2497"/>
      <c r="M69" s="24">
        <f ca="1">ROUND(SUM(M63:M68),0)</f>
        <v>309</v>
      </c>
      <c r="N69" s="1748">
        <f ca="1">M69/M49</f>
        <v>1.6484395838890369E-2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1" t="s">
        <v>2262</v>
      </c>
      <c r="B70" s="3112"/>
      <c r="C70" s="3112"/>
      <c r="D70" s="3112"/>
      <c r="E70" s="3112"/>
      <c r="F70" s="3112"/>
      <c r="G70" s="3112"/>
      <c r="H70" s="311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0" t="s">
        <v>2243</v>
      </c>
      <c r="B71" s="3091"/>
      <c r="C71" s="1797"/>
      <c r="D71" s="1797" t="s">
        <v>2244</v>
      </c>
      <c r="E71" s="213" t="s">
        <v>2245</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2263</v>
      </c>
      <c r="C72" s="207">
        <f ca="1">ROUND(D45/(1+'数据-取费表'!C42),0)</f>
        <v>17852</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2264</v>
      </c>
      <c r="C73" s="207">
        <f ca="1">C74+C78</f>
        <v>89</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2265</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2266</v>
      </c>
      <c r="C75" s="218"/>
      <c r="D75" s="200" t="s">
        <v>32</v>
      </c>
      <c r="E75" s="219" t="s">
        <v>2267</v>
      </c>
      <c r="F75" s="2503" t="s">
        <v>2268</v>
      </c>
      <c r="G75" s="219" t="s">
        <v>2269</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2270</v>
      </c>
      <c r="C76" s="200">
        <f>IF(F75="购房发票",ROUND(C75*H75*D76,0),0)</f>
        <v>0</v>
      </c>
      <c r="D76" s="222">
        <v>0.05</v>
      </c>
      <c r="E76" s="3085" t="s">
        <v>2271</v>
      </c>
      <c r="F76" s="3062"/>
      <c r="G76" s="3062"/>
      <c r="H76" s="311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05" t="s">
        <v>2274</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2275</v>
      </c>
      <c r="C78" s="225">
        <f ca="1">ROUND(D45*D78/(1+'数据-取费表'!C42),0)</f>
        <v>89</v>
      </c>
      <c r="D78" s="226">
        <f>'数据-取费表'!B43</f>
        <v>5.000000000000001E-3</v>
      </c>
      <c r="E78" s="3071" t="s">
        <v>2276</v>
      </c>
      <c r="F78" s="3072"/>
      <c r="G78" s="3072"/>
      <c r="H78" s="308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2277</v>
      </c>
      <c r="C79" s="207">
        <f ca="1">C72-C73</f>
        <v>17763</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2278</v>
      </c>
      <c r="C80" s="227">
        <f ca="1">IF(C79&lt;=0,0,C79/C73)</f>
        <v>199.58426966292134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2279</v>
      </c>
      <c r="C81" s="228">
        <f ca="1">ROUND(IF(C79&lt;=0,0,IF(C80&gt;=200%,C79*60%-C73*35%,IF(C80&gt;=100%,C79*50%-C73*15%,IF(C80&gt;=50%,C79*40%-C73*5%,IF(C80&lt;50%,C79*30%,0))))),0)</f>
        <v>10627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1" t="s">
        <v>2280</v>
      </c>
      <c r="B83" s="3112"/>
      <c r="C83" s="3112"/>
      <c r="D83" s="3112"/>
      <c r="E83" s="3112"/>
      <c r="F83" s="3112"/>
      <c r="G83" s="3112"/>
      <c r="H83" s="311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0" t="s">
        <v>2243</v>
      </c>
      <c r="B84" s="3091"/>
      <c r="C84" s="1797"/>
      <c r="D84" s="1797" t="s">
        <v>2244</v>
      </c>
      <c r="E84" s="213" t="s">
        <v>2245</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2263</v>
      </c>
      <c r="C85" s="207">
        <f ca="1">ROUND(D45/(1+'数据-取费表'!C42),0)</f>
        <v>17852</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2264</v>
      </c>
      <c r="C86" s="207">
        <f ca="1">IF(H88="仅含出让金",C87+C90+C91+C92+C93+C94,C87+C91+C92+C93+C94)</f>
        <v>89</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2281</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2282</v>
      </c>
      <c r="C88" s="236"/>
      <c r="D88" s="226"/>
      <c r="E88" s="237" t="s">
        <v>2283</v>
      </c>
      <c r="F88" s="1793"/>
      <c r="G88" s="238" t="s">
        <v>2284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2272</v>
      </c>
      <c r="C89" s="225">
        <f>ROUND(C88*D89,0)</f>
        <v>0</v>
      </c>
      <c r="D89" s="226">
        <f>'数据-取费表'!B48+'数据-取费表'!B49</f>
        <v>3.0499999999999999E-2</v>
      </c>
      <c r="E89" s="237" t="s">
        <v>2285</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2286</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2287</v>
      </c>
      <c r="B91" s="198" t="s">
        <v>2288</v>
      </c>
      <c r="C91" s="225">
        <f>IF(H91="——",成本法!C33,I91)</f>
        <v>0</v>
      </c>
      <c r="D91" s="226"/>
      <c r="E91" s="3071" t="s">
        <v>2289</v>
      </c>
      <c r="F91" s="3072"/>
      <c r="G91" s="3072"/>
      <c r="H91" s="2510" t="s">
        <v>2290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2291</v>
      </c>
      <c r="B92" s="198" t="s">
        <v>2292</v>
      </c>
      <c r="C92" s="225">
        <f>ROUND((C87+C90+C91)*D92,0)</f>
        <v>0</v>
      </c>
      <c r="D92" s="226">
        <v>0.1</v>
      </c>
      <c r="E92" s="3071" t="s">
        <v>2293</v>
      </c>
      <c r="F92" s="3072"/>
      <c r="G92" s="3072"/>
      <c r="H92" s="308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2294</v>
      </c>
      <c r="B93" s="198" t="s">
        <v>2275</v>
      </c>
      <c r="C93" s="225">
        <f ca="1">ROUND(D45*D93/(1+'数据-取费表'!C42),0)</f>
        <v>89</v>
      </c>
      <c r="D93" s="226">
        <f>'数据-取费表'!B43</f>
        <v>5.000000000000001E-3</v>
      </c>
      <c r="E93" s="3071" t="s">
        <v>2276</v>
      </c>
      <c r="F93" s="3072"/>
      <c r="G93" s="3072"/>
      <c r="H93" s="308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2295</v>
      </c>
      <c r="B94" s="198" t="s">
        <v>2296</v>
      </c>
      <c r="C94" s="236">
        <f>ROUND((C87+C90+C91)*D94,0)</f>
        <v>0</v>
      </c>
      <c r="D94" s="226">
        <v>0.2</v>
      </c>
      <c r="E94" s="3082" t="s">
        <v>2297</v>
      </c>
      <c r="F94" s="3083"/>
      <c r="G94" s="3083"/>
      <c r="H94" s="308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2277</v>
      </c>
      <c r="C95" s="207">
        <f ca="1">ROUND(C85-C86,0)</f>
        <v>17763</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2278</v>
      </c>
      <c r="C96" s="227">
        <f ca="1">IF(C95&lt;=0,0,C95/C86)</f>
        <v>199.58426966292134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2279</v>
      </c>
      <c r="C97" s="228">
        <f ca="1">ROUND(IF(C95&lt;=0,0,IF(C96&gt;=200%,C95*60%-C86*35%,IF(C96&gt;=100%,C95*50%-C86*15%,IF(C96&gt;=50%,C95*40%-C86*5%,IF(C96&lt;50%,C95*30%,0))))),0)</f>
        <v>10627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7"/>
      <c r="F98" s="2157"/>
      <c r="G98" s="2157"/>
      <c r="H98" s="2156"/>
      <c r="I98" s="138"/>
    </row>
    <row r="99" spans="1:35" ht="21.75" customHeight="1" thickBot="1">
      <c r="A99" s="2466" t="s">
        <v>2298</v>
      </c>
      <c r="B99" s="2410"/>
      <c r="C99" s="2410"/>
      <c r="D99" s="2410"/>
      <c r="E99" s="2157"/>
      <c r="F99" s="2157"/>
      <c r="G99" s="2157"/>
      <c r="H99" s="2156"/>
      <c r="I99" s="138"/>
    </row>
    <row r="100" spans="1:35" ht="18.75" customHeight="1">
      <c r="A100" s="3056" t="s">
        <v>2299</v>
      </c>
      <c r="B100" s="3057"/>
      <c r="C100" s="3057"/>
      <c r="D100" s="3073"/>
      <c r="E100" s="3057" t="s">
        <v>2300</v>
      </c>
      <c r="F100" s="3057"/>
      <c r="G100" s="3057"/>
      <c r="H100" s="3073"/>
      <c r="I100" s="138"/>
    </row>
    <row r="101" spans="1:35" ht="18.75" customHeight="1">
      <c r="A101" s="3135" t="s">
        <v>2301</v>
      </c>
      <c r="B101" s="3136"/>
      <c r="C101" s="736" t="str">
        <f>C4</f>
        <v>成本法</v>
      </c>
      <c r="D101" s="737" t="str">
        <f>D4</f>
        <v>收益法</v>
      </c>
      <c r="E101" s="3149" t="s">
        <v>2302</v>
      </c>
      <c r="F101" s="3103"/>
      <c r="G101" s="2512" t="s">
        <v>2303</v>
      </c>
      <c r="H101" s="1048">
        <f ca="1">H118</f>
        <v>18745</v>
      </c>
      <c r="I101" s="138"/>
    </row>
    <row r="102" spans="1:35" ht="18.75" customHeight="1">
      <c r="A102" s="3105" t="s">
        <v>2304</v>
      </c>
      <c r="B102" s="2512" t="s">
        <v>2303</v>
      </c>
      <c r="C102" s="736">
        <f ca="1">C19</f>
        <v>18693</v>
      </c>
      <c r="D102" s="737">
        <f ca="1">D19</f>
        <v>18797</v>
      </c>
      <c r="E102" s="3149"/>
      <c r="F102" s="3103"/>
      <c r="G102" s="2512" t="s">
        <v>2305</v>
      </c>
      <c r="H102" s="371">
        <f ca="1">I118</f>
        <v>4823</v>
      </c>
      <c r="I102" s="138"/>
    </row>
    <row r="103" spans="1:35" ht="42.75" customHeight="1">
      <c r="A103" s="3105"/>
      <c r="B103" s="2512" t="s">
        <v>2305</v>
      </c>
      <c r="C103" s="738">
        <f ca="1">C20</f>
        <v>4810</v>
      </c>
      <c r="D103" s="739">
        <f ca="1">D20</f>
        <v>4836</v>
      </c>
      <c r="E103" s="3144" t="s">
        <v>2306</v>
      </c>
      <c r="F103" s="3145"/>
      <c r="G103" s="2513" t="s">
        <v>2307</v>
      </c>
      <c r="H103" s="1048">
        <f>IF(D36="正常操作",H104+H105+H106,H105+H106)</f>
        <v>0</v>
      </c>
      <c r="I103" s="138"/>
    </row>
    <row r="104" spans="1:35" ht="18.75" customHeight="1">
      <c r="A104" s="3105" t="s">
        <v>2308</v>
      </c>
      <c r="B104" s="2514" t="s">
        <v>2303</v>
      </c>
      <c r="C104" s="740">
        <f ca="1">H118</f>
        <v>18745</v>
      </c>
      <c r="D104" s="741"/>
      <c r="E104" s="2258" t="s">
        <v>2309</v>
      </c>
      <c r="F104" s="2249"/>
      <c r="G104" s="2513" t="s">
        <v>2307</v>
      </c>
      <c r="H104" s="1049">
        <f>IF(D36="同一抵押权人同一抵押物续贷",C36&amp;"（未扣减，详见特别提示）",C36)</f>
        <v>0</v>
      </c>
      <c r="I104" s="138"/>
    </row>
    <row r="105" spans="1:35" ht="18.75" customHeight="1" thickBot="1">
      <c r="A105" s="3106"/>
      <c r="B105" s="2515" t="s">
        <v>2305</v>
      </c>
      <c r="C105" s="742">
        <f ca="1">I118</f>
        <v>4823</v>
      </c>
      <c r="D105" s="743"/>
      <c r="E105" s="2258" t="s">
        <v>2310</v>
      </c>
      <c r="F105" s="2249"/>
      <c r="G105" s="2513" t="s">
        <v>2307</v>
      </c>
      <c r="H105" s="1049">
        <f>C37</f>
        <v>0</v>
      </c>
      <c r="I105" s="138"/>
    </row>
    <row r="106" spans="1:35" ht="18.75" customHeight="1">
      <c r="A106" s="2410" t="s">
        <v>2311</v>
      </c>
      <c r="B106" s="2410"/>
      <c r="C106" s="2410"/>
      <c r="D106" s="2410"/>
      <c r="E106" s="2516" t="s">
        <v>2312</v>
      </c>
      <c r="F106" s="2249"/>
      <c r="G106" s="2513" t="s">
        <v>2307</v>
      </c>
      <c r="H106" s="1049">
        <f>C38</f>
        <v>0</v>
      </c>
      <c r="I106" s="138"/>
    </row>
    <row r="107" spans="1:35" ht="18.75" customHeight="1">
      <c r="A107" s="138"/>
      <c r="B107" s="138"/>
      <c r="C107" s="138"/>
      <c r="D107" s="138"/>
      <c r="E107" s="3102" t="str">
        <f>IF(项目基本情况!E8="已注销","——","3.房地产抵押价值")</f>
        <v>3.房地产抵押价值</v>
      </c>
      <c r="F107" s="3103"/>
      <c r="G107" s="2512" t="s">
        <v>2303</v>
      </c>
      <c r="H107" s="1048">
        <f ca="1">IF(E107="——","——",H101-H103)</f>
        <v>18745</v>
      </c>
      <c r="I107" s="138"/>
    </row>
    <row r="108" spans="1:35" ht="18.75" customHeight="1">
      <c r="A108" s="138"/>
      <c r="B108" s="138"/>
      <c r="C108" s="138"/>
      <c r="D108" s="138"/>
      <c r="E108" s="3102"/>
      <c r="F108" s="3103"/>
      <c r="G108" s="2512" t="s">
        <v>2305</v>
      </c>
      <c r="H108" s="371">
        <f ca="1">ROUND(H107*10000/'数据-汇总表'!E3,0)</f>
        <v>4823</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2" t="s">
        <v>2303</v>
      </c>
      <c r="H109" s="348" t="str">
        <f>IF(E109="——","——",H101-H105-H106)</f>
        <v>——</v>
      </c>
      <c r="I109" s="138"/>
    </row>
    <row r="110" spans="1:35" ht="18.75" customHeight="1">
      <c r="A110" s="138"/>
      <c r="B110" s="138"/>
      <c r="C110" s="138"/>
      <c r="D110" s="138"/>
      <c r="E110" s="3102"/>
      <c r="F110" s="3103"/>
      <c r="G110" s="2512" t="s">
        <v>2305</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2" t="s">
        <v>2303</v>
      </c>
      <c r="H111" s="1048" t="str">
        <f>IF(E111="——","——",N59)</f>
        <v>——</v>
      </c>
      <c r="I111" s="138"/>
    </row>
    <row r="112" spans="1:35" ht="18.75" customHeight="1" thickBot="1">
      <c r="A112" s="138"/>
      <c r="B112" s="138"/>
      <c r="C112" s="138"/>
      <c r="D112" s="138"/>
      <c r="E112" s="3139"/>
      <c r="F112" s="3140"/>
      <c r="G112" s="2517" t="s">
        <v>2305</v>
      </c>
      <c r="H112" s="790" t="str">
        <f>IF(E111="——","——",N61)</f>
        <v>——</v>
      </c>
      <c r="I112" s="138"/>
    </row>
    <row r="113" spans="1:11" ht="18.75" customHeight="1">
      <c r="A113" s="138"/>
      <c r="B113" s="138"/>
      <c r="C113" s="138"/>
      <c r="D113" s="138"/>
      <c r="E113" s="3107" t="s">
        <v>2311</v>
      </c>
      <c r="F113" s="3107"/>
      <c r="G113" s="3107"/>
      <c r="H113" s="3107"/>
      <c r="I113" s="138"/>
    </row>
    <row r="114" spans="1:11" ht="3.75" customHeight="1">
      <c r="A114" s="2410"/>
      <c r="B114" s="2410"/>
      <c r="C114" s="2410"/>
      <c r="D114" s="2410"/>
      <c r="E114" s="2488"/>
      <c r="F114" s="2488"/>
      <c r="G114" s="2488"/>
      <c r="H114" s="2488"/>
      <c r="I114" s="2410"/>
    </row>
    <row r="115" spans="1:11" ht="18.75" customHeight="1">
      <c r="A115" s="3120" t="s">
        <v>2313</v>
      </c>
      <c r="B115" s="3121"/>
      <c r="C115" s="3121"/>
      <c r="D115" s="3121"/>
      <c r="E115" s="3121"/>
      <c r="F115" s="3121"/>
      <c r="G115" s="3121"/>
      <c r="H115" s="3121"/>
      <c r="I115" s="3122"/>
    </row>
    <row r="116" spans="1:11" ht="27" customHeight="1">
      <c r="A116" s="3013" t="s">
        <v>2314</v>
      </c>
      <c r="B116" s="3108" t="s">
        <v>2315</v>
      </c>
      <c r="C116" s="3108" t="s">
        <v>2316</v>
      </c>
      <c r="D116" s="3124" t="s">
        <v>2317</v>
      </c>
      <c r="E116" s="3125"/>
      <c r="F116" s="3116" t="s">
        <v>2318</v>
      </c>
      <c r="G116" s="3116"/>
      <c r="H116" s="3013" t="s">
        <v>2319</v>
      </c>
      <c r="I116" s="3013"/>
    </row>
    <row r="117" spans="1:11" ht="18.75" customHeight="1">
      <c r="A117" s="3013"/>
      <c r="B117" s="3109"/>
      <c r="C117" s="3109"/>
      <c r="D117" s="1791" t="s">
        <v>2320</v>
      </c>
      <c r="E117" s="1791" t="s">
        <v>2321</v>
      </c>
      <c r="F117" s="1791" t="s">
        <v>2320</v>
      </c>
      <c r="G117" s="1791" t="s">
        <v>2322</v>
      </c>
      <c r="H117" s="1791" t="s">
        <v>2320</v>
      </c>
      <c r="I117" s="1791" t="s">
        <v>2322</v>
      </c>
    </row>
    <row r="118" spans="1:11" ht="24.75" customHeight="1">
      <c r="A118" s="2518" t="str">
        <f>项目基本情况!S2</f>
        <v>山东省寿光市圣城街（益阳铁路改线后停用线路）370783001204GB11736W00000000号等7宗商业用地出让国有建设用地使用权及金海路西，农圣街南（文化中心）等28处办公用房房地产出让国有建设用地使用权及在建建筑物房地产</v>
      </c>
      <c r="B118" s="1791">
        <f>M18</f>
        <v>38865.599999999999</v>
      </c>
      <c r="C118" s="1791">
        <f>M19</f>
        <v>49727</v>
      </c>
      <c r="D118" s="1791">
        <f ca="1">ROUND(IF(D32="总价",C34,E118*B118/10000),0)</f>
        <v>7386</v>
      </c>
      <c r="E118" s="1791">
        <f ca="1">ROUND(IF(C33="自定义",IF(D32="楼面单价",C34,D118*10000/B118),I118-G118),0)</f>
        <v>1900</v>
      </c>
      <c r="F118" s="1791">
        <f ca="1">ROUND(IF(D32="总价",C35,G118*B118/10000),0)</f>
        <v>11359</v>
      </c>
      <c r="G118" s="1791">
        <f ca="1">ROUND(IF(D32="楼面单价",C35,F118*10000/B118),0)</f>
        <v>2923</v>
      </c>
      <c r="H118" s="1791">
        <f ca="1">ROUND(IF(D32="总价",C32,I118*B118/10000),0)</f>
        <v>18745</v>
      </c>
      <c r="I118" s="1791">
        <f ca="1">ROUND(IF(D32="楼面单价",C32,H118*10000/B118),0)</f>
        <v>4823</v>
      </c>
    </row>
    <row r="119" spans="1:11" ht="18.75" customHeight="1">
      <c r="A119" s="3013" t="s">
        <v>2323</v>
      </c>
      <c r="B119" s="3013"/>
      <c r="C119" s="3013"/>
      <c r="D119" s="3113" t="str">
        <f ca="1">NUMBERSTRING(INT(D118*10000),2)&amp;"元整"</f>
        <v>柒仟叁佰捌拾陆万元整</v>
      </c>
      <c r="E119" s="3115"/>
      <c r="F119" s="3113" t="str">
        <f ca="1">NUMBERSTRING(INT(F118*10000),2)&amp;"元整"</f>
        <v>壹亿壹仟叁佰伍拾玖万元整</v>
      </c>
      <c r="G119" s="3115"/>
      <c r="H119" s="3113" t="str">
        <f ca="1">NUMBERSTRING(INT(H118*10000),2)&amp;"元整"</f>
        <v>壹亿捌仟柒佰肆拾伍万元整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15" t="str">
        <f>IF(D120=0,"故，本次评估不存在"&amp;A120,"故，本次评估"&amp;A120&amp;"为人民币"&amp;D120&amp;"万元整。")</f>
        <v>故，本次评估不存在估价师知悉的法定优先受偿款</v>
      </c>
    </row>
    <row r="121" spans="1:11" ht="18.75" customHeight="1">
      <c r="A121" s="3117" t="s">
        <v>2323</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18745</v>
      </c>
      <c r="E122" s="3142"/>
      <c r="F122" s="3142"/>
      <c r="G122" s="3142"/>
      <c r="H122" s="3142"/>
      <c r="I122" s="3143"/>
    </row>
    <row r="123" spans="1:11" ht="18.75" customHeight="1">
      <c r="A123" s="3013" t="s">
        <v>2323</v>
      </c>
      <c r="B123" s="3013"/>
      <c r="C123" s="3013"/>
      <c r="D123" s="3113" t="str">
        <f ca="1">NUMBERSTRING(INT(D122*10000),2)&amp;"元整"</f>
        <v>壹亿捌仟柒佰肆拾伍万元整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2323</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2323</v>
      </c>
      <c r="B127" s="3013"/>
      <c r="C127" s="3013"/>
      <c r="D127" s="3113" t="e">
        <f>NUMBERSTRING(INT(D126*10000),2)&amp;"元整"</f>
        <v>#VALUE!</v>
      </c>
      <c r="E127" s="3114"/>
      <c r="F127" s="3114"/>
      <c r="G127" s="3114"/>
      <c r="H127" s="3114"/>
      <c r="I127" s="3115"/>
    </row>
    <row r="128" spans="1:11" ht="21.75" customHeight="1">
      <c r="A128" s="3123" t="s">
        <v>2324</v>
      </c>
      <c r="B128" s="3123"/>
      <c r="C128" s="3123"/>
      <c r="D128" s="3123"/>
      <c r="E128" s="3123"/>
      <c r="F128" s="3123"/>
      <c r="G128" s="3123"/>
      <c r="H128" s="3123"/>
      <c r="I128" s="3123"/>
    </row>
    <row r="129" spans="1:35" ht="21.75" customHeight="1">
      <c r="A129" s="2519" t="s">
        <v>2325</v>
      </c>
      <c r="B129" s="2520"/>
      <c r="C129" s="2521" t="s">
        <v>2326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2327</v>
      </c>
      <c r="G135" s="2536"/>
      <c r="H135" s="2536"/>
      <c r="I135" s="2537" t="s">
        <v>2328</v>
      </c>
    </row>
    <row r="136" spans="1:35" ht="21.75" customHeight="1">
      <c r="A136" s="795"/>
      <c r="B136" s="2538"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2330</v>
      </c>
    </row>
    <row r="139" spans="1:35" ht="21.75" customHeight="1">
      <c r="A139" s="795"/>
      <c r="B139" s="2538" t="s">
        <v>2331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2330</v>
      </c>
    </row>
    <row r="142" spans="1:35" ht="21.75" customHeight="1">
      <c r="A142" s="795"/>
      <c r="B142" s="2538"/>
      <c r="C142" s="2539"/>
      <c r="D142" s="2540"/>
      <c r="E142" s="2540"/>
      <c r="F142" s="2332"/>
      <c r="G142" s="795"/>
      <c r="H142" s="795"/>
      <c r="I142" s="795"/>
    </row>
    <row r="143" spans="1:35" s="139" customFormat="1" ht="21.75" customHeight="1">
      <c r="A143" s="795"/>
      <c r="B143" s="2538"/>
      <c r="C143" s="2539"/>
      <c r="D143" s="2540"/>
      <c r="E143" s="2540"/>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2" sqref="G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3"/>
      <c r="C1" s="242"/>
      <c r="D1" s="242"/>
      <c r="E1" s="242"/>
      <c r="F1" s="242"/>
      <c r="G1" s="1378">
        <f>MATCH(B1,'数据-取费表'!A6:A16,0)+5</f>
        <v>7</v>
      </c>
    </row>
    <row r="2" spans="1:9" s="244" customFormat="1" ht="18" customHeight="1">
      <c r="A2" s="245" t="s">
        <v>2333</v>
      </c>
      <c r="B2" s="246">
        <f ca="1">IF(D2="——",C52,C52-E2)</f>
        <v>18693</v>
      </c>
      <c r="C2" s="243" t="s">
        <v>2334</v>
      </c>
      <c r="D2" s="2541" t="s">
        <v>70</v>
      </c>
      <c r="E2" s="1439" t="e">
        <f ca="1">SUMIF(INDIRECT("'"&amp;G2&amp;"'"&amp;"!A:A"),"承租人权益价值",INDIRECT("'"&amp;G2&amp;"'"&amp;"!c:c"))</f>
        <v>#REF!</v>
      </c>
      <c r="F2" s="2542" t="s">
        <v>2334</v>
      </c>
      <c r="G2" s="2543"/>
    </row>
    <row r="3" spans="1:9" s="244" customFormat="1" ht="18" customHeight="1" thickBot="1">
      <c r="A3" s="247" t="s">
        <v>2335</v>
      </c>
      <c r="B3" s="248">
        <f ca="1">ROUND(B2*10000/(IF(B1="",'数据-汇总表'!E3,INDIRECT("'数据-取费表'!k"&amp;$G$1))),0)</f>
        <v>4810</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5389</v>
      </c>
      <c r="D5" s="255" t="s">
        <v>2340</v>
      </c>
      <c r="E5" s="256" t="s">
        <v>2341</v>
      </c>
      <c r="F5" s="256" t="s">
        <v>2342</v>
      </c>
      <c r="G5" s="257"/>
    </row>
    <row r="6" spans="1:9" s="258" customFormat="1" ht="13.5" customHeight="1">
      <c r="A6" s="952" t="s">
        <v>2343</v>
      </c>
      <c r="B6" s="259" t="s">
        <v>2344</v>
      </c>
      <c r="C6" s="260">
        <f>'土地比较法-住宅、综合'!B2</f>
        <v>4664</v>
      </c>
      <c r="D6" s="261"/>
      <c r="E6" s="262"/>
      <c r="F6" s="262"/>
      <c r="G6" s="263"/>
    </row>
    <row r="7" spans="1:9" s="258" customFormat="1" ht="13.5" customHeight="1">
      <c r="A7" s="952" t="s">
        <v>2345</v>
      </c>
      <c r="B7" s="259" t="s">
        <v>2346</v>
      </c>
      <c r="C7" s="264">
        <f>ROUND(C6*F7,0)</f>
        <v>142</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583</v>
      </c>
      <c r="D8" s="266"/>
      <c r="E8" s="264"/>
      <c r="F8" s="265"/>
      <c r="G8" s="2544" t="s">
        <v>3146</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45"/>
      <c r="H9" s="1389"/>
      <c r="I9" s="2546" t="s">
        <v>2350</v>
      </c>
    </row>
    <row r="10" spans="1:9" s="258" customFormat="1" ht="13.5" customHeight="1">
      <c r="A10" s="953" t="s">
        <v>801</v>
      </c>
      <c r="B10" s="268" t="s">
        <v>2351</v>
      </c>
      <c r="C10" s="269">
        <f ca="1">ROUND(D10*E10/10000,0)</f>
        <v>583</v>
      </c>
      <c r="D10" s="1035">
        <f ca="1">IF(B1="",'数据-汇总表'!E6,IF(INDIRECT("'数据-取费表'!c"&amp;$G$1)="住宅",INDIRECT("'数据-取费表'!s"&amp;$G$1),INDIRECT("'数据-取费表'!k"&amp;$G$1)+INDIRECT("'数据-取费表'!s"&amp;$G$1)))</f>
        <v>38865.599999999999</v>
      </c>
      <c r="E10" s="269">
        <f>'数据-取费表'!B28</f>
        <v>150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38865.599999999999</v>
      </c>
      <c r="E19" s="255">
        <f>'数据-取费表'!B31</f>
        <v>200</v>
      </c>
      <c r="F19" s="275"/>
      <c r="G19" s="2544" t="s">
        <v>3147</v>
      </c>
    </row>
    <row r="20" spans="1:7" s="258" customFormat="1" ht="13.5" customHeight="1">
      <c r="A20" s="299" t="s">
        <v>2364</v>
      </c>
      <c r="B20" s="254" t="s">
        <v>2365</v>
      </c>
      <c r="C20" s="276">
        <f ca="1">ROUND((C5+C19)*F20,0)</f>
        <v>108</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3">
        <f ca="1">ROUND(SUM(C23:C25),0)</f>
        <v>392</v>
      </c>
      <c r="D22" s="279">
        <f ca="1">C26</f>
        <v>1.1000000000000001E-3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4">
        <f ca="1">ROUND(IF('数据-取费表'!B22&lt;=1,C5*F22*'数据-取费表'!B23,C5*(POWER((1+F22),'数据-取费表'!B23)-1)),0)</f>
        <v>388</v>
      </c>
      <c r="D23" s="282"/>
      <c r="E23" s="282"/>
      <c r="F23" s="283"/>
      <c r="G23" s="284" t="s">
        <v>2375</v>
      </c>
    </row>
    <row r="24" spans="1:7" s="258" customFormat="1" ht="13.5" customHeight="1">
      <c r="A24" s="954" t="s">
        <v>2376</v>
      </c>
      <c r="B24" s="259" t="s">
        <v>2377</v>
      </c>
      <c r="C24" s="1354">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4">
        <f ca="1">ROUND(IF('数据-取费表'!B22&lt;=1,C20*F22*'数据-取费表'!B23/2,C20*(POWER((1+F22),'数据-取费表'!B23/2)-1)),0)</f>
        <v>4</v>
      </c>
      <c r="D25" s="282"/>
      <c r="E25" s="285"/>
      <c r="F25" s="283"/>
      <c r="G25" s="286" t="s">
        <v>2381</v>
      </c>
    </row>
    <row r="26" spans="1:7" s="258" customFormat="1">
      <c r="A26" s="954" t="s">
        <v>795</v>
      </c>
      <c r="B26" s="259" t="s">
        <v>2382</v>
      </c>
      <c r="C26" s="282">
        <f ca="1">ROUND(IF('数据-取费表'!B22&lt;=1,F21*F22*'数据-取费表'!B23/2,F21*(POWER((1+F22),'数据-取费表'!B23/2)-1)),4)</f>
        <v>1.1000000000000001E-3</v>
      </c>
      <c r="D26" s="282"/>
      <c r="E26" s="285"/>
      <c r="F26" s="283"/>
      <c r="G26" s="287"/>
    </row>
    <row r="27" spans="1:7" s="258" customFormat="1" ht="24.75">
      <c r="A27" s="299" t="s">
        <v>2383</v>
      </c>
      <c r="B27" s="288" t="s">
        <v>2384</v>
      </c>
      <c r="C27" s="289">
        <f ca="1">C28</f>
        <v>825</v>
      </c>
      <c r="D27" s="279">
        <f ca="1">C29</f>
        <v>4.4999999999999997E-3</v>
      </c>
      <c r="E27" s="280" t="s">
        <v>2385</v>
      </c>
      <c r="F27" s="290">
        <f ca="1">IF(B1="",'数据-取费表'!Q16,INDIRECT("'数据-取费表'!q"&amp;$G$1))</f>
        <v>0.15</v>
      </c>
      <c r="G27" s="291" t="s">
        <v>2386</v>
      </c>
    </row>
    <row r="28" spans="1:7" s="258" customFormat="1" ht="13.5" customHeight="1">
      <c r="A28" s="954" t="s">
        <v>791</v>
      </c>
      <c r="B28" s="292" t="s">
        <v>2387</v>
      </c>
      <c r="C28" s="293">
        <f ca="1">ROUND((C5+C19+C20)*F27*'数据-取费表'!B21/'数据-取费表'!B20,0)</f>
        <v>825</v>
      </c>
      <c r="D28" s="279"/>
      <c r="E28" s="280"/>
      <c r="F28" s="290"/>
      <c r="G28" s="291"/>
    </row>
    <row r="29" spans="1:7" s="258" customFormat="1" ht="13.5" customHeight="1">
      <c r="A29" s="954" t="s">
        <v>792</v>
      </c>
      <c r="B29" s="292" t="s">
        <v>2388</v>
      </c>
      <c r="C29" s="282">
        <f ca="1">ROUND(C21*F27*'数据-取费表'!B21/'数据-取费表'!B20,4)</f>
        <v>4.4999999999999997E-3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7362</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9712</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8550</v>
      </c>
      <c r="D34" s="261"/>
      <c r="E34" s="264"/>
      <c r="F34" s="301">
        <f ca="1">IF('数据-取费表'!B24=0,1,IF(B1="",'数据-取费表'!N16,INDIRECT("'数据-取费表'!n"&amp;$G$1)))</f>
        <v>1</v>
      </c>
      <c r="G34" s="263" t="s">
        <v>2397</v>
      </c>
    </row>
    <row r="35" spans="1:7" ht="13.5" customHeight="1">
      <c r="A35" s="954" t="s">
        <v>796</v>
      </c>
      <c r="B35" s="259" t="s">
        <v>2398</v>
      </c>
      <c r="C35" s="264">
        <f ca="1">ROUND(C34*F35,0)</f>
        <v>257</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777</v>
      </c>
      <c r="D37" s="261">
        <f ca="1">D19</f>
        <v>38865.599999999999</v>
      </c>
      <c r="E37" s="293">
        <f>'数据-取费表'!B35</f>
        <v>200</v>
      </c>
      <c r="F37" s="303"/>
      <c r="G37" s="305" t="s">
        <v>2403</v>
      </c>
    </row>
    <row r="38" spans="1:7" ht="13.5" customHeight="1">
      <c r="A38" s="954" t="s">
        <v>799</v>
      </c>
      <c r="B38" s="259" t="s">
        <v>2404</v>
      </c>
      <c r="C38" s="264">
        <f ca="1">ROUND(C34*F38,0)</f>
        <v>128</v>
      </c>
      <c r="D38" s="264"/>
      <c r="E38" s="264"/>
      <c r="F38" s="303">
        <f>'数据-取费表'!B36</f>
        <v>1.4999999999999999E-2</v>
      </c>
      <c r="G38" s="263" t="s">
        <v>2399</v>
      </c>
    </row>
    <row r="39" spans="1:7" s="258" customFormat="1" ht="13.5" customHeight="1">
      <c r="A39" s="299" t="s">
        <v>2405</v>
      </c>
      <c r="B39" s="254" t="s">
        <v>2406</v>
      </c>
      <c r="C39" s="276">
        <f ca="1">ROUND(C33*F20,0)</f>
        <v>194</v>
      </c>
      <c r="D39" s="276"/>
      <c r="E39" s="276"/>
      <c r="F39" s="277"/>
      <c r="G39" s="278" t="s">
        <v>2407</v>
      </c>
    </row>
    <row r="40" spans="1:7" s="258" customFormat="1" ht="13.5" customHeight="1">
      <c r="A40" s="299" t="s">
        <v>2408</v>
      </c>
      <c r="B40" s="254" t="s">
        <v>2409</v>
      </c>
      <c r="C40" s="1726">
        <f>F21</f>
        <v>0.03</v>
      </c>
      <c r="D40" s="280" t="s">
        <v>2410</v>
      </c>
      <c r="E40" s="276"/>
      <c r="F40" s="277"/>
      <c r="G40" s="278" t="s">
        <v>2411</v>
      </c>
    </row>
    <row r="41" spans="1:7" s="258" customFormat="1" ht="13.5" customHeight="1">
      <c r="A41" s="299" t="s">
        <v>2412</v>
      </c>
      <c r="B41" s="254" t="s">
        <v>2413</v>
      </c>
      <c r="C41" s="276">
        <f ca="1">ROUND(SUM(C42:C43),0)</f>
        <v>351</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344</v>
      </c>
      <c r="D42" s="282"/>
      <c r="E42" s="282"/>
      <c r="F42" s="283"/>
      <c r="G42" s="3155" t="s">
        <v>2415</v>
      </c>
    </row>
    <row r="43" spans="1:7" ht="13.5" customHeight="1">
      <c r="A43" s="954" t="s">
        <v>792</v>
      </c>
      <c r="B43" s="259" t="s">
        <v>2416</v>
      </c>
      <c r="C43" s="282">
        <f ca="1">ROUND(IF('数据-取费表'!B22&lt;=1,C39*F22*'数据-取费表'!B21/2,C39*(POWER((1+F22),'数据-取费表'!B21/2)-1)),0)</f>
        <v>7</v>
      </c>
      <c r="D43" s="282"/>
      <c r="E43" s="282"/>
      <c r="F43" s="283"/>
      <c r="G43" s="3156"/>
    </row>
    <row r="44" spans="1:7" ht="13.5" customHeight="1">
      <c r="A44" s="954" t="s">
        <v>793</v>
      </c>
      <c r="B44" s="259" t="s">
        <v>2417</v>
      </c>
      <c r="C44" s="282">
        <f ca="1">ROUND(IF('数据-取费表'!B22&lt;=1,C40*F22*'数据-取费表'!B21/2,C40*(POWER((1+F22),'数据-取费表'!B21/2)-1)),4)</f>
        <v>1.1000000000000001E-3</v>
      </c>
      <c r="D44" s="282"/>
      <c r="E44" s="282"/>
      <c r="F44" s="283"/>
      <c r="G44" s="3157"/>
    </row>
    <row r="45" spans="1:7" s="258" customFormat="1" ht="13.5" customHeight="1">
      <c r="A45" s="299" t="s">
        <v>2418</v>
      </c>
      <c r="B45" s="288" t="s">
        <v>2384</v>
      </c>
      <c r="C45" s="289">
        <f ca="1">C46</f>
        <v>1486</v>
      </c>
      <c r="D45" s="279">
        <f ca="1">C47</f>
        <v>4.4999999999999997E-3</v>
      </c>
      <c r="E45" s="280" t="s">
        <v>2410</v>
      </c>
      <c r="F45" s="290"/>
      <c r="G45" s="291" t="s">
        <v>2419</v>
      </c>
    </row>
    <row r="46" spans="1:7" s="258" customFormat="1" ht="13.5" customHeight="1">
      <c r="A46" s="954" t="s">
        <v>791</v>
      </c>
      <c r="B46" s="292" t="s">
        <v>2420</v>
      </c>
      <c r="C46" s="293">
        <f ca="1">ROUND((C33+C39)*F27,0)</f>
        <v>1486</v>
      </c>
      <c r="D46" s="307"/>
      <c r="E46" s="280"/>
      <c r="F46" s="290"/>
      <c r="G46" s="291"/>
    </row>
    <row r="47" spans="1:7" s="258" customFormat="1" ht="13.5" customHeight="1">
      <c r="A47" s="954" t="s">
        <v>792</v>
      </c>
      <c r="B47" s="292" t="s">
        <v>2421</v>
      </c>
      <c r="C47" s="282">
        <f ca="1">ROUND(C40*F27,4)</f>
        <v>4.4999999999999997E-3</v>
      </c>
      <c r="D47" s="307"/>
      <c r="E47" s="280"/>
      <c r="F47" s="290"/>
      <c r="G47" s="291"/>
    </row>
    <row r="48" spans="1:7" s="258" customFormat="1" ht="13.5" customHeight="1">
      <c r="A48" s="299" t="s">
        <v>2383</v>
      </c>
      <c r="B48" s="254" t="s">
        <v>2422</v>
      </c>
      <c r="C48" s="1726">
        <f>ROUND(F30/(1+'数据-取费表'!C42),4)</f>
        <v>5.2400000000000002E-2</v>
      </c>
      <c r="D48" s="280" t="s">
        <v>2410</v>
      </c>
      <c r="E48" s="276"/>
      <c r="F48" s="281"/>
      <c r="G48" s="278" t="s">
        <v>2423</v>
      </c>
    </row>
    <row r="49" spans="1:7" ht="16.5" customHeight="1">
      <c r="A49" s="299" t="s">
        <v>2389</v>
      </c>
      <c r="B49" s="254" t="s">
        <v>2424</v>
      </c>
      <c r="C49" s="276">
        <f ca="1">ROUND((C33+C39+C41+C45)/(1-C40-D41-D45-C48),0)</f>
        <v>12876</v>
      </c>
      <c r="D49" s="276"/>
      <c r="E49" s="276"/>
      <c r="F49" s="308"/>
      <c r="G49" s="278" t="s">
        <v>2425</v>
      </c>
    </row>
    <row r="50" spans="1:7" s="302" customFormat="1" ht="24">
      <c r="A50" s="299" t="s">
        <v>2426</v>
      </c>
      <c r="B50" s="254" t="s">
        <v>2427</v>
      </c>
      <c r="C50" s="276"/>
      <c r="D50" s="276"/>
      <c r="E50" s="276"/>
      <c r="F50" s="308">
        <f>IF('数据-取费表'!B24=0,'数据-取费表'!N16,1)</f>
        <v>0.88</v>
      </c>
      <c r="G50" s="291" t="s">
        <v>2428</v>
      </c>
    </row>
    <row r="51" spans="1:7" ht="16.5" customHeight="1">
      <c r="A51" s="299" t="s">
        <v>2429</v>
      </c>
      <c r="B51" s="254" t="s">
        <v>2430</v>
      </c>
      <c r="C51" s="276">
        <f ca="1">ROUND(C49*F50,0)</f>
        <v>11331</v>
      </c>
      <c r="D51" s="276"/>
      <c r="E51" s="276"/>
      <c r="F51" s="308"/>
      <c r="G51" s="278" t="s">
        <v>2431</v>
      </c>
    </row>
    <row r="52" spans="1:7" s="252" customFormat="1" ht="16.5" thickBot="1">
      <c r="A52" s="309" t="s">
        <v>2432</v>
      </c>
      <c r="B52" s="310"/>
      <c r="C52" s="311">
        <f ca="1">C31+C51</f>
        <v>18693</v>
      </c>
      <c r="D52" s="310"/>
      <c r="E52" s="310"/>
      <c r="F52" s="310"/>
      <c r="G52" s="312"/>
    </row>
    <row r="55" spans="1:7" ht="15">
      <c r="B55" s="314" t="s">
        <v>2433</v>
      </c>
      <c r="C55" s="315"/>
    </row>
    <row r="56" spans="1:7">
      <c r="B56" s="317" t="s">
        <v>1513</v>
      </c>
      <c r="C56" s="319">
        <f ca="1">1-C57</f>
        <v>0.39400000000000002</v>
      </c>
    </row>
    <row r="57" spans="1:7">
      <c r="B57" s="317" t="s">
        <v>1514</v>
      </c>
      <c r="C57" s="318">
        <f ca="1">ROUND(C51/C52,3)</f>
        <v>0.60599999999999998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山东省寿光市圣城街（益阳铁路改线后停用线路）370783001204GB11736W00000000号等7宗商业用地出让国有建设用地使用权及金海路西，农圣街南（文化中心）等28处办公用房房地产出让国有建设用地使用权及在建建筑物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38" t="str">
        <f>项目基本情况!B5</f>
        <v>华澳国际信托有限公司</v>
      </c>
    </row>
    <row r="41" spans="1:9">
      <c r="A41" s="1017"/>
      <c r="B41" s="1017"/>
    </row>
    <row r="42" spans="1:9">
      <c r="A42" s="1017" t="s">
        <v>818</v>
      </c>
      <c r="B42" s="1017" t="s">
        <v>821</v>
      </c>
    </row>
    <row r="43" spans="1:9">
      <c r="A43" s="1017"/>
      <c r="B43" s="1938" t="s">
        <v>822</v>
      </c>
    </row>
    <row r="44" spans="1:9">
      <c r="A44" s="1017"/>
      <c r="B44" s="1017"/>
    </row>
    <row r="45" spans="1:9">
      <c r="A45" s="1017" t="s">
        <v>818</v>
      </c>
      <c r="B45" s="1017" t="s">
        <v>823</v>
      </c>
    </row>
    <row r="46" spans="1:9" s="1017" customFormat="1" ht="12.75">
      <c r="B46" s="1938" t="str">
        <f ca="1">项目基本情况!K4</f>
        <v>吴薇（注册号：1419970001)、郑燚（注册号：1120070131)</v>
      </c>
    </row>
    <row r="47" spans="1:9">
      <c r="A47" s="1017"/>
      <c r="B47" s="1017" t="str">
        <f>项目基本情况!K5</f>
        <v/>
      </c>
    </row>
    <row r="48" spans="1:9">
      <c r="A48" s="1017" t="s">
        <v>818</v>
      </c>
      <c r="B48" s="1017"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9" zoomScale="80" zoomScaleNormal="80" workbookViewId="0">
      <selection activeCell="C117" sqref="C117:M118"/>
    </sheetView>
  </sheetViews>
  <sheetFormatPr defaultRowHeight="14.25"/>
  <cols>
    <col min="1" max="1" width="14.375" style="403" customWidth="1"/>
    <col min="2" max="2" width="15.75" style="403" customWidth="1"/>
    <col min="3" max="3" width="19.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4664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1200</v>
      </c>
      <c r="C3" s="247" t="s">
        <v>2752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2651</v>
      </c>
      <c r="B4" s="402"/>
      <c r="C4" s="3162" t="s">
        <v>2652</v>
      </c>
      <c r="D4" s="3175"/>
      <c r="E4" s="3176" t="s">
        <v>2653</v>
      </c>
      <c r="F4" s="3177"/>
      <c r="G4" s="3162" t="s">
        <v>2654</v>
      </c>
      <c r="H4" s="3175"/>
      <c r="I4" s="3162" t="s">
        <v>2655</v>
      </c>
      <c r="J4" s="3175"/>
      <c r="K4" s="610" t="s">
        <v>2656</v>
      </c>
      <c r="L4" s="1130"/>
      <c r="M4" s="1131"/>
      <c r="N4" s="1131"/>
      <c r="O4" s="1131"/>
      <c r="P4" s="3178" t="s">
        <v>2657</v>
      </c>
      <c r="Q4" s="3179"/>
      <c r="R4" s="3184" t="s">
        <v>2653</v>
      </c>
      <c r="S4" s="3185"/>
      <c r="T4" s="3184" t="s">
        <v>2654</v>
      </c>
      <c r="U4" s="3185"/>
      <c r="V4" s="3171" t="s">
        <v>2655</v>
      </c>
      <c r="W4" s="3171"/>
      <c r="X4" s="1809"/>
      <c r="Y4" s="3184" t="s">
        <v>2657</v>
      </c>
      <c r="Z4" s="3185"/>
      <c r="AA4" s="3172" t="s">
        <v>2653</v>
      </c>
      <c r="AB4" s="3173" t="s">
        <v>2654</v>
      </c>
      <c r="AC4" s="3172" t="s">
        <v>2655</v>
      </c>
    </row>
    <row r="5" spans="1:30" ht="15">
      <c r="A5" s="404"/>
      <c r="B5" s="405"/>
      <c r="C5" s="3192" t="s">
        <v>2548</v>
      </c>
      <c r="D5" s="3193"/>
      <c r="E5" s="3199" t="str">
        <f>Sheet1!A8</f>
        <v>寿光市元丰街以南、规划路以西</v>
      </c>
      <c r="F5" s="3200"/>
      <c r="G5" s="3192" t="str">
        <f>Sheet1!A9</f>
        <v>寿光市新兴街以北、北海路以东</v>
      </c>
      <c r="H5" s="3193"/>
      <c r="I5" s="3192" t="str">
        <f>Sheet1!A13</f>
        <v>寿光市广场街以南、银海路以东</v>
      </c>
      <c r="J5" s="3193"/>
      <c r="K5" s="610"/>
      <c r="L5" s="1130"/>
      <c r="M5" s="1131"/>
      <c r="N5" s="1131"/>
      <c r="O5" s="1131"/>
      <c r="P5" s="3180"/>
      <c r="Q5" s="3181"/>
      <c r="R5" s="3186"/>
      <c r="S5" s="3187"/>
      <c r="T5" s="3186"/>
      <c r="U5" s="3187"/>
      <c r="V5" s="3171"/>
      <c r="W5" s="3171"/>
      <c r="X5" s="1809"/>
      <c r="Y5" s="3186"/>
      <c r="Z5" s="3187"/>
      <c r="AA5" s="3173"/>
      <c r="AB5" s="3173"/>
      <c r="AC5" s="3173"/>
    </row>
    <row r="6" spans="1:30" ht="15.75" thickBot="1">
      <c r="A6" s="406"/>
      <c r="B6" s="407"/>
      <c r="C6" s="3190" t="s">
        <v>2552</v>
      </c>
      <c r="D6" s="3191"/>
      <c r="E6" s="3197" t="s">
        <v>2552</v>
      </c>
      <c r="F6" s="3198"/>
      <c r="G6" s="3190" t="s">
        <v>2552</v>
      </c>
      <c r="H6" s="3191"/>
      <c r="I6" s="3190" t="s">
        <v>2552</v>
      </c>
      <c r="J6" s="3191"/>
      <c r="K6" s="610" t="s">
        <v>2553</v>
      </c>
      <c r="L6" s="1130"/>
      <c r="M6" s="1131"/>
      <c r="N6" s="1131"/>
      <c r="O6" s="1131"/>
      <c r="P6" s="3182"/>
      <c r="Q6" s="3183"/>
      <c r="R6" s="3186"/>
      <c r="S6" s="3187"/>
      <c r="T6" s="3188"/>
      <c r="U6" s="3189"/>
      <c r="V6" s="3171"/>
      <c r="W6" s="3171"/>
      <c r="X6" s="1809"/>
      <c r="Y6" s="3188"/>
      <c r="Z6" s="3189"/>
      <c r="AA6" s="3174"/>
      <c r="AB6" s="3174"/>
      <c r="AC6" s="3174"/>
    </row>
    <row r="7" spans="1:30" s="117" customFormat="1" ht="15.75" thickBot="1">
      <c r="A7" s="408" t="s">
        <v>2554</v>
      </c>
      <c r="B7" s="409"/>
      <c r="C7" s="410">
        <f>'数据-取费表'!B2</f>
        <v>43417</v>
      </c>
      <c r="D7" s="411">
        <v>100</v>
      </c>
      <c r="E7" s="412" t="str">
        <f>Sheet1!H8</f>
        <v>2017-10-18</v>
      </c>
      <c r="F7" s="413">
        <f>SUMIF(70:70,YEAR(E7)&amp;"-"&amp;INT((MONTH(E7)+2)/3),71:71)</f>
        <v>96</v>
      </c>
      <c r="G7" s="2690" t="str">
        <f>Sheet1!H9</f>
        <v>2017-08-13</v>
      </c>
      <c r="H7" s="411">
        <f>SUMIF(70:70,YEAR(G7)&amp;"-"&amp;INT((MONTH(G7)+2)/3),71:71)</f>
        <v>95</v>
      </c>
      <c r="I7" s="2690" t="str">
        <f>Sheet1!H13</f>
        <v>2017-02-24</v>
      </c>
      <c r="J7" s="411">
        <f>SUMIF(70:70,YEAR(I7)&amp;"-"&amp;INT((MONTH(I7)+2)/3),71:71)</f>
        <v>93</v>
      </c>
      <c r="K7" s="611"/>
      <c r="L7" s="1132"/>
      <c r="M7" s="1133"/>
      <c r="N7" s="1133"/>
      <c r="O7" s="1133"/>
      <c r="P7" s="3194" t="s">
        <v>2555</v>
      </c>
      <c r="Q7" s="3196"/>
      <c r="R7" s="770" t="s">
        <v>17</v>
      </c>
      <c r="S7" s="771">
        <f t="shared" ref="S7:S15" si="0">F7</f>
        <v>96</v>
      </c>
      <c r="T7" s="770" t="s">
        <v>17</v>
      </c>
      <c r="U7" s="771">
        <f t="shared" ref="U7:U15" si="1">H7</f>
        <v>95</v>
      </c>
      <c r="V7" s="770" t="s">
        <v>17</v>
      </c>
      <c r="W7" s="771">
        <f t="shared" ref="W7:W15" si="2">J7</f>
        <v>93</v>
      </c>
      <c r="X7" s="772"/>
      <c r="Y7" s="3194" t="s">
        <v>2555</v>
      </c>
      <c r="Z7" s="3195"/>
      <c r="AA7" s="773">
        <f>D7/F7</f>
        <v>1.0416666666666667</v>
      </c>
      <c r="AB7" s="773">
        <f>D7/H7</f>
        <v>1.0526315789473684</v>
      </c>
      <c r="AC7" s="773">
        <f>D7/J7</f>
        <v>1.075268817204301</v>
      </c>
    </row>
    <row r="8" spans="1:30" s="117" customFormat="1" ht="15.75" thickBot="1">
      <c r="A8" s="408" t="s">
        <v>2556</v>
      </c>
      <c r="B8" s="409"/>
      <c r="C8" s="414" t="s">
        <v>2557</v>
      </c>
      <c r="D8" s="411">
        <v>100</v>
      </c>
      <c r="E8" s="414" t="s">
        <v>3121</v>
      </c>
      <c r="F8" s="413">
        <f>SUMIF(73:73,E8,74:74)-SUMIF(73:73,C8,74:74)+100</f>
        <v>100</v>
      </c>
      <c r="G8" s="414" t="s">
        <v>3121</v>
      </c>
      <c r="H8" s="411">
        <f>SUMIF(73:73,G8,74:74)-SUMIF(73:73,C8,74:74)+100</f>
        <v>100</v>
      </c>
      <c r="I8" s="414" t="s">
        <v>3121</v>
      </c>
      <c r="J8" s="411">
        <f>SUMIF(73:73,I8,74:74)-SUMIF(73:73,C8,74:74)+100</f>
        <v>100</v>
      </c>
      <c r="K8" s="611"/>
      <c r="L8" s="1132"/>
      <c r="M8" s="1133"/>
      <c r="N8" s="1133"/>
      <c r="O8" s="1133"/>
      <c r="P8" s="3194" t="s">
        <v>2558</v>
      </c>
      <c r="Q8" s="3195"/>
      <c r="R8" s="770" t="s">
        <v>17</v>
      </c>
      <c r="S8" s="771">
        <f t="shared" si="0"/>
        <v>100</v>
      </c>
      <c r="T8" s="770" t="s">
        <v>17</v>
      </c>
      <c r="U8" s="771">
        <f t="shared" si="1"/>
        <v>100</v>
      </c>
      <c r="V8" s="770" t="s">
        <v>17</v>
      </c>
      <c r="W8" s="771">
        <f t="shared" si="2"/>
        <v>100</v>
      </c>
      <c r="X8" s="772"/>
      <c r="Y8" s="3194" t="s">
        <v>2558</v>
      </c>
      <c r="Z8" s="3195"/>
      <c r="AA8" s="773">
        <f t="shared" ref="AA8:AA45" si="3">D8/F8</f>
        <v>1</v>
      </c>
      <c r="AB8" s="773">
        <f t="shared" ref="AB8:AB45" si="4">D8/H8</f>
        <v>1</v>
      </c>
      <c r="AC8" s="773">
        <f t="shared" ref="AC8:AC45" si="5">D8/J8</f>
        <v>1</v>
      </c>
    </row>
    <row r="9" spans="1:30" s="117" customFormat="1">
      <c r="A9" s="415" t="s">
        <v>2559</v>
      </c>
      <c r="B9" s="71" t="s">
        <v>2560</v>
      </c>
      <c r="C9" s="2693" t="s">
        <v>27</v>
      </c>
      <c r="D9" s="135">
        <v>100</v>
      </c>
      <c r="E9" s="2693" t="s">
        <v>27</v>
      </c>
      <c r="F9" s="135">
        <f>SUMIF(75:75,E9,76:76)-SUMIF(75:75,C9,76:76)+100</f>
        <v>100</v>
      </c>
      <c r="G9" s="2693" t="s">
        <v>27</v>
      </c>
      <c r="H9" s="135">
        <f>SUMIF(75:75,G9,76:76)-SUMIF(75:75,C9,76:76)+100</f>
        <v>100</v>
      </c>
      <c r="I9" s="2693" t="s">
        <v>27</v>
      </c>
      <c r="J9" s="135">
        <f>SUMIF(75:75,I9,76:76)-SUMIF(75:75,C9,76:76)+100</f>
        <v>100</v>
      </c>
      <c r="K9" s="611"/>
      <c r="L9" s="1132"/>
      <c r="M9" s="1133"/>
      <c r="N9" s="1133"/>
      <c r="O9" s="1134"/>
      <c r="P9" s="3165" t="s">
        <v>2561</v>
      </c>
      <c r="Q9" s="1791"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65"/>
      <c r="Q10" s="1791" t="str">
        <f t="shared" si="6"/>
        <v>土地使用年限（年）</v>
      </c>
      <c r="R10" s="770" t="s">
        <v>17</v>
      </c>
      <c r="S10" s="771">
        <f t="shared" si="0"/>
        <v>113</v>
      </c>
      <c r="T10" s="770" t="s">
        <v>17</v>
      </c>
      <c r="U10" s="771">
        <f t="shared" si="1"/>
        <v>113</v>
      </c>
      <c r="V10" s="770" t="s">
        <v>17</v>
      </c>
      <c r="W10" s="771">
        <f t="shared" si="2"/>
        <v>113</v>
      </c>
      <c r="X10" s="772"/>
      <c r="Y10" s="3013"/>
      <c r="Z10" s="55" t="str">
        <f t="shared" si="7"/>
        <v>土地使用年限（年）</v>
      </c>
      <c r="AA10" s="773">
        <f t="shared" si="3"/>
        <v>0.88495575221238942</v>
      </c>
      <c r="AB10" s="773">
        <f t="shared" si="4"/>
        <v>0.88495575221238942</v>
      </c>
      <c r="AC10" s="773">
        <f t="shared" si="5"/>
        <v>0.88495575221238942</v>
      </c>
    </row>
    <row r="11" spans="1:30" ht="15">
      <c r="A11" s="428"/>
      <c r="B11" s="422" t="s">
        <v>2564</v>
      </c>
      <c r="C11" s="429">
        <f>'数据-汇总表'!I5</f>
        <v>0.78</v>
      </c>
      <c r="D11" s="136">
        <v>100</v>
      </c>
      <c r="E11" s="429">
        <v>1</v>
      </c>
      <c r="F11" s="136">
        <f>LOOKUP(E11,80:80,81:81)-LOOKUP(C11,80:80,81:81)+100</f>
        <v>95</v>
      </c>
      <c r="G11" s="430">
        <v>3.5</v>
      </c>
      <c r="H11" s="136">
        <f>LOOKUP(G11,80:80,81:81)-LOOKUP(C11,80:80,81:81)+100</f>
        <v>85</v>
      </c>
      <c r="I11" s="429">
        <v>2</v>
      </c>
      <c r="J11" s="136">
        <f>LOOKUP(I11,80:80,81:81)-LOOKUP(C11,80:80,81:81)+100</f>
        <v>90</v>
      </c>
      <c r="K11" s="673">
        <v>5</v>
      </c>
      <c r="L11" s="1138"/>
      <c r="M11" s="1131"/>
      <c r="N11" s="1131"/>
      <c r="O11" s="1139"/>
      <c r="P11" s="3165"/>
      <c r="Q11" s="1791" t="str">
        <f t="shared" si="6"/>
        <v>容积率</v>
      </c>
      <c r="R11" s="770" t="s">
        <v>17</v>
      </c>
      <c r="S11" s="771">
        <f t="shared" si="0"/>
        <v>95</v>
      </c>
      <c r="T11" s="770" t="s">
        <v>17</v>
      </c>
      <c r="U11" s="771">
        <f t="shared" si="1"/>
        <v>85</v>
      </c>
      <c r="V11" s="770" t="s">
        <v>17</v>
      </c>
      <c r="W11" s="771">
        <f t="shared" si="2"/>
        <v>90</v>
      </c>
      <c r="X11" s="772"/>
      <c r="Y11" s="3013"/>
      <c r="Z11" s="55" t="str">
        <f t="shared" si="7"/>
        <v>容积率</v>
      </c>
      <c r="AA11" s="773">
        <f t="shared" si="3"/>
        <v>1.0526315789473684</v>
      </c>
      <c r="AB11" s="773">
        <f t="shared" si="4"/>
        <v>1.1764705882352942</v>
      </c>
      <c r="AC11" s="773">
        <f t="shared" si="5"/>
        <v>1.1111111111111112</v>
      </c>
    </row>
    <row r="12" spans="1:30" s="117" customFormat="1" ht="15">
      <c r="A12" s="431"/>
      <c r="B12" s="2594" t="s">
        <v>2753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5"/>
      <c r="Q12" s="1791"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5"/>
      <c r="Q13" s="1791">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5"/>
      <c r="Q14" s="1791">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71.25">
      <c r="A15" s="440" t="s">
        <v>2565</v>
      </c>
      <c r="B15" s="69" t="s">
        <v>2089</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167" t="s">
        <v>2566</v>
      </c>
      <c r="Q15" s="1806" t="str">
        <f t="shared" si="6"/>
        <v>居住社区成熟度</v>
      </c>
      <c r="R15" s="774" t="s">
        <v>17</v>
      </c>
      <c r="S15" s="775">
        <f t="shared" si="0"/>
        <v>100</v>
      </c>
      <c r="T15" s="774" t="s">
        <v>17</v>
      </c>
      <c r="U15" s="775">
        <f t="shared" si="1"/>
        <v>100</v>
      </c>
      <c r="V15" s="774" t="s">
        <v>17</v>
      </c>
      <c r="W15" s="775">
        <f t="shared" si="2"/>
        <v>100</v>
      </c>
      <c r="X15" s="1809"/>
      <c r="Y15" s="3167" t="s">
        <v>2566</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40"/>
      <c r="M16" s="1131"/>
      <c r="N16" s="1131"/>
      <c r="O16" s="1139"/>
      <c r="P16" s="3168"/>
      <c r="Q16" s="1806"/>
      <c r="R16" s="774"/>
      <c r="S16" s="775"/>
      <c r="T16" s="774"/>
      <c r="U16" s="775"/>
      <c r="V16" s="774"/>
      <c r="W16" s="775"/>
      <c r="X16" s="1809"/>
      <c r="Y16" s="3168"/>
      <c r="Z16" s="1810"/>
      <c r="AA16" s="1807">
        <v>1</v>
      </c>
      <c r="AB16" s="1807">
        <v>1</v>
      </c>
      <c r="AC16" s="1807">
        <v>1</v>
      </c>
    </row>
    <row r="17" spans="1:29" ht="57">
      <c r="A17" s="428"/>
      <c r="B17" s="451" t="s">
        <v>2659</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0"/>
      <c r="M17" s="1131"/>
      <c r="N17" s="1131"/>
      <c r="O17" s="1139"/>
      <c r="P17" s="3168"/>
      <c r="Q17" s="1806" t="str">
        <f>B17</f>
        <v>商业繁华度</v>
      </c>
      <c r="R17" s="774" t="s">
        <v>17</v>
      </c>
      <c r="S17" s="775">
        <f>F17</f>
        <v>100</v>
      </c>
      <c r="T17" s="774" t="s">
        <v>17</v>
      </c>
      <c r="U17" s="775">
        <f>H17</f>
        <v>100</v>
      </c>
      <c r="V17" s="774" t="s">
        <v>17</v>
      </c>
      <c r="W17" s="775">
        <f>J17</f>
        <v>100</v>
      </c>
      <c r="X17" s="1809"/>
      <c r="Y17" s="3168"/>
      <c r="Z17" s="1810" t="str">
        <f>Q17</f>
        <v>商业繁华度</v>
      </c>
      <c r="AA17" s="1807">
        <f t="shared" si="3"/>
        <v>1</v>
      </c>
      <c r="AB17" s="1807">
        <f t="shared" si="4"/>
        <v>1</v>
      </c>
      <c r="AC17" s="1807">
        <f t="shared" si="5"/>
        <v>1</v>
      </c>
    </row>
    <row r="18" spans="1:29" ht="15">
      <c r="A18" s="428"/>
      <c r="B18" s="456"/>
      <c r="C18" s="2602"/>
      <c r="D18" s="450"/>
      <c r="E18" s="2604"/>
      <c r="F18" s="450"/>
      <c r="G18" s="2604"/>
      <c r="H18" s="448"/>
      <c r="I18" s="2603"/>
      <c r="J18" s="448"/>
      <c r="K18" s="672"/>
      <c r="L18" s="1140"/>
      <c r="M18" s="1131"/>
      <c r="N18" s="1131"/>
      <c r="O18" s="1139"/>
      <c r="P18" s="3168"/>
      <c r="Q18" s="1806"/>
      <c r="R18" s="774"/>
      <c r="S18" s="775"/>
      <c r="T18" s="774"/>
      <c r="U18" s="775"/>
      <c r="V18" s="774"/>
      <c r="W18" s="775"/>
      <c r="X18" s="1809"/>
      <c r="Y18" s="3168"/>
      <c r="Z18" s="1810"/>
      <c r="AA18" s="1807">
        <v>1</v>
      </c>
      <c r="AB18" s="1807">
        <v>1</v>
      </c>
      <c r="AC18" s="1807">
        <v>1</v>
      </c>
    </row>
    <row r="19" spans="1:29" ht="57">
      <c r="A19" s="428"/>
      <c r="B19" s="451" t="s">
        <v>2693</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68"/>
      <c r="Q19" s="1806" t="str">
        <f>B19</f>
        <v>办公集聚程度</v>
      </c>
      <c r="R19" s="774" t="s">
        <v>17</v>
      </c>
      <c r="S19" s="775">
        <f>F19</f>
        <v>100</v>
      </c>
      <c r="T19" s="774" t="s">
        <v>17</v>
      </c>
      <c r="U19" s="775">
        <f>H19</f>
        <v>100</v>
      </c>
      <c r="V19" s="774" t="s">
        <v>17</v>
      </c>
      <c r="W19" s="775">
        <f>J19</f>
        <v>100</v>
      </c>
      <c r="X19" s="1809"/>
      <c r="Y19" s="3168"/>
      <c r="Z19" s="1810" t="str">
        <f>Q19</f>
        <v>办公集聚程度</v>
      </c>
      <c r="AA19" s="1807">
        <f t="shared" si="3"/>
        <v>1</v>
      </c>
      <c r="AB19" s="1807">
        <f t="shared" si="4"/>
        <v>1</v>
      </c>
      <c r="AC19" s="1807">
        <f t="shared" si="5"/>
        <v>1</v>
      </c>
    </row>
    <row r="20" spans="1:29" ht="15">
      <c r="A20" s="428"/>
      <c r="B20" s="456"/>
      <c r="C20" s="447" t="s">
        <v>3142</v>
      </c>
      <c r="D20" s="448"/>
      <c r="E20" s="2599" t="s">
        <v>3142</v>
      </c>
      <c r="F20" s="448"/>
      <c r="G20" s="2599" t="s">
        <v>3142</v>
      </c>
      <c r="H20" s="448"/>
      <c r="I20" s="2598" t="s">
        <v>3142</v>
      </c>
      <c r="J20" s="448"/>
      <c r="K20" s="672"/>
      <c r="L20" s="1140"/>
      <c r="M20" s="1131"/>
      <c r="N20" s="1131"/>
      <c r="O20" s="1139"/>
      <c r="P20" s="3168"/>
      <c r="Q20" s="1806"/>
      <c r="R20" s="774"/>
      <c r="S20" s="775"/>
      <c r="T20" s="774"/>
      <c r="U20" s="775"/>
      <c r="V20" s="774"/>
      <c r="W20" s="775"/>
      <c r="X20" s="1809"/>
      <c r="Y20" s="3168"/>
      <c r="Z20" s="1810"/>
      <c r="AA20" s="1807">
        <v>1</v>
      </c>
      <c r="AB20" s="1807">
        <v>1</v>
      </c>
      <c r="AC20" s="1807">
        <v>1</v>
      </c>
    </row>
    <row r="21" spans="1:29" ht="57">
      <c r="A21" s="428"/>
      <c r="B21" s="451" t="s">
        <v>2715</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68"/>
      <c r="Q21" s="1806" t="str">
        <f>B21</f>
        <v>交通便捷度</v>
      </c>
      <c r="R21" s="774" t="s">
        <v>17</v>
      </c>
      <c r="S21" s="775">
        <f>F21</f>
        <v>100</v>
      </c>
      <c r="T21" s="774" t="s">
        <v>17</v>
      </c>
      <c r="U21" s="775">
        <f>H21</f>
        <v>100</v>
      </c>
      <c r="V21" s="774" t="s">
        <v>17</v>
      </c>
      <c r="W21" s="775">
        <f>J21</f>
        <v>100</v>
      </c>
      <c r="X21" s="1809"/>
      <c r="Y21" s="3168"/>
      <c r="Z21" s="1810" t="str">
        <f>Q21</f>
        <v>交通便捷度</v>
      </c>
      <c r="AA21" s="1807">
        <f t="shared" si="3"/>
        <v>1</v>
      </c>
      <c r="AB21" s="1807">
        <f t="shared" si="4"/>
        <v>1</v>
      </c>
      <c r="AC21" s="1807">
        <f t="shared" si="5"/>
        <v>1</v>
      </c>
    </row>
    <row r="22" spans="1:29" ht="15">
      <c r="A22" s="428"/>
      <c r="B22" s="1383"/>
      <c r="C22" s="447" t="s">
        <v>3143</v>
      </c>
      <c r="D22" s="450"/>
      <c r="E22" s="2599" t="s">
        <v>3143</v>
      </c>
      <c r="F22" s="448"/>
      <c r="G22" s="2599" t="s">
        <v>3143</v>
      </c>
      <c r="H22" s="448"/>
      <c r="I22" s="2598" t="s">
        <v>3143</v>
      </c>
      <c r="J22" s="448"/>
      <c r="K22" s="672"/>
      <c r="L22" s="1140"/>
      <c r="M22" s="1131"/>
      <c r="N22" s="1131"/>
      <c r="O22" s="1139"/>
      <c r="P22" s="3168"/>
      <c r="Q22" s="1806"/>
      <c r="R22" s="774"/>
      <c r="S22" s="775"/>
      <c r="T22" s="774"/>
      <c r="U22" s="775"/>
      <c r="V22" s="774"/>
      <c r="W22" s="775"/>
      <c r="X22" s="1809"/>
      <c r="Y22" s="3168"/>
      <c r="Z22" s="1810"/>
      <c r="AA22" s="1807">
        <v>1</v>
      </c>
      <c r="AB22" s="1807">
        <v>1</v>
      </c>
      <c r="AC22" s="1807">
        <v>1</v>
      </c>
    </row>
    <row r="23" spans="1:29" ht="15">
      <c r="A23" s="404"/>
      <c r="B23" s="451" t="s">
        <v>2754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68"/>
      <c r="Q23" s="1806" t="str">
        <f t="shared" ref="Q23:Q37" si="8">B23</f>
        <v>区域土地利用方向</v>
      </c>
      <c r="R23" s="774" t="s">
        <v>17</v>
      </c>
      <c r="S23" s="775">
        <f>F23</f>
        <v>100</v>
      </c>
      <c r="T23" s="774" t="s">
        <v>17</v>
      </c>
      <c r="U23" s="775">
        <f>H23</f>
        <v>100</v>
      </c>
      <c r="V23" s="774" t="s">
        <v>17</v>
      </c>
      <c r="W23" s="775">
        <f>J23</f>
        <v>100</v>
      </c>
      <c r="X23" s="1809"/>
      <c r="Y23" s="3168"/>
      <c r="Z23" s="1810" t="str">
        <f>Q23</f>
        <v>区域土地利用方向</v>
      </c>
      <c r="AA23" s="1807">
        <f t="shared" si="3"/>
        <v>1</v>
      </c>
      <c r="AB23" s="1807">
        <f t="shared" si="4"/>
        <v>1</v>
      </c>
      <c r="AC23" s="1807">
        <f t="shared" si="5"/>
        <v>1</v>
      </c>
    </row>
    <row r="24" spans="1:29" ht="15">
      <c r="A24" s="404"/>
      <c r="B24" s="456"/>
      <c r="C24" s="616" t="s">
        <v>3143</v>
      </c>
      <c r="D24" s="448"/>
      <c r="E24" s="2599" t="s">
        <v>3143</v>
      </c>
      <c r="F24" s="448"/>
      <c r="G24" s="2598" t="s">
        <v>3143</v>
      </c>
      <c r="H24" s="448"/>
      <c r="I24" s="2598" t="s">
        <v>3143</v>
      </c>
      <c r="J24" s="448"/>
      <c r="K24" s="812"/>
      <c r="L24" s="1140"/>
      <c r="M24" s="1131"/>
      <c r="N24" s="1131"/>
      <c r="O24" s="1139"/>
      <c r="P24" s="3168"/>
      <c r="Q24" s="1806"/>
      <c r="R24" s="774"/>
      <c r="S24" s="775"/>
      <c r="T24" s="774"/>
      <c r="U24" s="775"/>
      <c r="V24" s="774"/>
      <c r="W24" s="775"/>
      <c r="X24" s="1809"/>
      <c r="Y24" s="3168"/>
      <c r="Z24" s="1810"/>
      <c r="AA24" s="1807"/>
      <c r="AB24" s="1807"/>
      <c r="AC24" s="1807"/>
    </row>
    <row r="25" spans="1:29" ht="42.75">
      <c r="A25" s="404"/>
      <c r="B25" s="1383" t="s">
        <v>2755</v>
      </c>
      <c r="C25" s="2658" t="str">
        <f>估价对象房地状况!C20</f>
        <v>区域自然环境：；人文环境；综合评价环境状况一般</v>
      </c>
      <c r="D25" s="450">
        <v>100</v>
      </c>
      <c r="E25" s="452"/>
      <c r="F25" s="450">
        <f>SUMIF(98:98,E26,99:99)-SUMIF(98:98,C26,99:99)+100</f>
        <v>100</v>
      </c>
      <c r="G25" s="452"/>
      <c r="H25" s="450">
        <f>SUMIF(98:98,G26,99:99)-SUMIF(98:98,C26,99:99)+100</f>
        <v>97</v>
      </c>
      <c r="I25" s="454"/>
      <c r="J25" s="450">
        <f>SUMIF(98:98,I26,99:99)-SUMIF(98:98,C26,99:99)+100</f>
        <v>100</v>
      </c>
      <c r="K25" s="673">
        <v>3</v>
      </c>
      <c r="L25" s="1140"/>
      <c r="M25" s="1131"/>
      <c r="N25" s="1131"/>
      <c r="O25" s="1139"/>
      <c r="P25" s="3168"/>
      <c r="Q25" s="1806" t="str">
        <f t="shared" si="8"/>
        <v>自然及人文环境状况</v>
      </c>
      <c r="R25" s="774" t="s">
        <v>17</v>
      </c>
      <c r="S25" s="775">
        <f>F25</f>
        <v>100</v>
      </c>
      <c r="T25" s="774" t="s">
        <v>17</v>
      </c>
      <c r="U25" s="775">
        <f>H25</f>
        <v>97</v>
      </c>
      <c r="V25" s="774" t="s">
        <v>17</v>
      </c>
      <c r="W25" s="775">
        <f>J25</f>
        <v>100</v>
      </c>
      <c r="X25" s="1809"/>
      <c r="Y25" s="3168"/>
      <c r="Z25" s="1810" t="str">
        <f>Q25</f>
        <v>自然及人文环境状况</v>
      </c>
      <c r="AA25" s="1807">
        <f t="shared" si="3"/>
        <v>1</v>
      </c>
      <c r="AB25" s="1807">
        <f t="shared" si="4"/>
        <v>1.0309278350515463</v>
      </c>
      <c r="AC25" s="1807">
        <f t="shared" si="5"/>
        <v>1</v>
      </c>
    </row>
    <row r="26" spans="1:29" ht="15">
      <c r="A26" s="404"/>
      <c r="B26" s="456"/>
      <c r="C26" s="447" t="s">
        <v>3143</v>
      </c>
      <c r="D26" s="448"/>
      <c r="E26" s="2605" t="s">
        <v>3143</v>
      </c>
      <c r="F26" s="448"/>
      <c r="G26" s="2605" t="s">
        <v>3142</v>
      </c>
      <c r="H26" s="448"/>
      <c r="I26" s="447" t="s">
        <v>3143</v>
      </c>
      <c r="J26" s="448"/>
      <c r="K26" s="672"/>
      <c r="L26" s="1140"/>
      <c r="M26" s="1131"/>
      <c r="N26" s="1131"/>
      <c r="O26" s="1139"/>
      <c r="P26" s="3168"/>
      <c r="Q26" s="1806"/>
      <c r="R26" s="774"/>
      <c r="S26" s="775"/>
      <c r="T26" s="774"/>
      <c r="U26" s="775"/>
      <c r="V26" s="774"/>
      <c r="W26" s="775"/>
      <c r="X26" s="1809"/>
      <c r="Y26" s="3168"/>
      <c r="Z26" s="1810"/>
      <c r="AA26" s="1807">
        <v>1</v>
      </c>
      <c r="AB26" s="1807">
        <v>1</v>
      </c>
      <c r="AC26" s="1807">
        <v>1</v>
      </c>
    </row>
    <row r="27" spans="1:29" s="117" customFormat="1" ht="28.5">
      <c r="A27" s="649"/>
      <c r="B27" s="1383" t="s">
        <v>2660</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68"/>
      <c r="Q27" s="1791" t="str">
        <f t="shared" si="8"/>
        <v>公共配套设施</v>
      </c>
      <c r="R27" s="770" t="s">
        <v>17</v>
      </c>
      <c r="S27" s="771">
        <f>F27</f>
        <v>100</v>
      </c>
      <c r="T27" s="770" t="s">
        <v>17</v>
      </c>
      <c r="U27" s="771">
        <f>H27</f>
        <v>100</v>
      </c>
      <c r="V27" s="770" t="s">
        <v>17</v>
      </c>
      <c r="W27" s="771">
        <f>J27</f>
        <v>100</v>
      </c>
      <c r="X27" s="772"/>
      <c r="Y27" s="3168"/>
      <c r="Z27" s="55" t="str">
        <f>Q27</f>
        <v>公共配套设施</v>
      </c>
      <c r="AA27" s="1807">
        <f>D27/F27</f>
        <v>1</v>
      </c>
      <c r="AB27" s="1807">
        <f>D27/H27</f>
        <v>1</v>
      </c>
      <c r="AC27" s="1807">
        <f>D27/J27</f>
        <v>1</v>
      </c>
    </row>
    <row r="28" spans="1:29" s="117" customFormat="1" ht="15">
      <c r="A28" s="649"/>
      <c r="B28" s="456"/>
      <c r="C28" s="2694" t="s">
        <v>3143</v>
      </c>
      <c r="D28" s="448"/>
      <c r="E28" s="2605" t="s">
        <v>3143</v>
      </c>
      <c r="F28" s="448"/>
      <c r="G28" s="2605" t="s">
        <v>3143</v>
      </c>
      <c r="H28" s="448"/>
      <c r="I28" s="447" t="s">
        <v>3143</v>
      </c>
      <c r="J28" s="448"/>
      <c r="K28" s="672"/>
      <c r="L28" s="1132"/>
      <c r="M28" s="1133"/>
      <c r="N28" s="1133"/>
      <c r="O28" s="1134"/>
      <c r="P28" s="3168"/>
      <c r="Q28" s="1791"/>
      <c r="R28" s="770"/>
      <c r="S28" s="771"/>
      <c r="T28" s="770"/>
      <c r="U28" s="771"/>
      <c r="V28" s="770"/>
      <c r="W28" s="771"/>
      <c r="X28" s="772"/>
      <c r="Y28" s="3168"/>
      <c r="Z28" s="55"/>
      <c r="AA28" s="1807">
        <v>1</v>
      </c>
      <c r="AB28" s="1807">
        <v>1</v>
      </c>
      <c r="AC28" s="1807">
        <v>1</v>
      </c>
    </row>
    <row r="29" spans="1:29" s="117" customFormat="1" ht="28.5">
      <c r="A29" s="649"/>
      <c r="B29" s="1383" t="s">
        <v>2661</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68"/>
      <c r="Q29" s="1791" t="str">
        <f t="shared" ref="Q29" si="9">B29</f>
        <v>基础设施水平</v>
      </c>
      <c r="R29" s="770" t="s">
        <v>17</v>
      </c>
      <c r="S29" s="771">
        <f>F29</f>
        <v>100</v>
      </c>
      <c r="T29" s="770" t="s">
        <v>17</v>
      </c>
      <c r="U29" s="771">
        <f>H29</f>
        <v>100</v>
      </c>
      <c r="V29" s="770" t="s">
        <v>17</v>
      </c>
      <c r="W29" s="771">
        <f>J29</f>
        <v>100</v>
      </c>
      <c r="X29" s="772"/>
      <c r="Y29" s="3168"/>
      <c r="Z29" s="55" t="str">
        <f>Q29</f>
        <v>基础设施水平</v>
      </c>
      <c r="AA29" s="1807">
        <f>D29/F29</f>
        <v>1</v>
      </c>
      <c r="AB29" s="1807">
        <f>D29/H29</f>
        <v>1</v>
      </c>
      <c r="AC29" s="1807">
        <f>D29/J29</f>
        <v>1</v>
      </c>
    </row>
    <row r="30" spans="1:29" s="117" customFormat="1" ht="15">
      <c r="A30" s="649"/>
      <c r="B30" s="456"/>
      <c r="C30" s="2694" t="s">
        <v>3144</v>
      </c>
      <c r="D30" s="448"/>
      <c r="E30" s="2695" t="s">
        <v>3144</v>
      </c>
      <c r="F30" s="448"/>
      <c r="G30" s="2695" t="s">
        <v>3144</v>
      </c>
      <c r="H30" s="448"/>
      <c r="I30" s="2695" t="s">
        <v>3144</v>
      </c>
      <c r="J30" s="448"/>
      <c r="K30" s="672"/>
      <c r="L30" s="1132"/>
      <c r="M30" s="1133"/>
      <c r="N30" s="1133"/>
      <c r="O30" s="1134"/>
      <c r="P30" s="3168"/>
      <c r="Q30" s="1791"/>
      <c r="R30" s="770"/>
      <c r="S30" s="771"/>
      <c r="T30" s="770"/>
      <c r="U30" s="771"/>
      <c r="V30" s="770"/>
      <c r="W30" s="771"/>
      <c r="X30" s="772"/>
      <c r="Y30" s="3168"/>
      <c r="Z30" s="55"/>
      <c r="AA30" s="1807">
        <v>1</v>
      </c>
      <c r="AB30" s="1807">
        <v>1</v>
      </c>
      <c r="AC30" s="1807">
        <v>1</v>
      </c>
    </row>
    <row r="31" spans="1:29" ht="15">
      <c r="A31" s="428"/>
      <c r="B31" s="456" t="s">
        <v>2662</v>
      </c>
      <c r="C31" s="616" t="s">
        <v>3145</v>
      </c>
      <c r="D31" s="435">
        <v>100</v>
      </c>
      <c r="E31" s="634" t="s">
        <v>3145</v>
      </c>
      <c r="F31" s="435">
        <f>SUMIF(104:104,E31,105:105)-SUMIF(104:104,C31,105:105)+100</f>
        <v>100</v>
      </c>
      <c r="G31" s="634" t="s">
        <v>3145</v>
      </c>
      <c r="H31" s="435">
        <f>SUMIF(104:104,G31,105:105)-SUMIF(104:104,C31,105:105)+100</f>
        <v>100</v>
      </c>
      <c r="I31" s="634" t="s">
        <v>3145</v>
      </c>
      <c r="J31" s="435">
        <f>SUMIF(104:104,I31,105:105)-SUMIF(104:104,C31,105:105)+100</f>
        <v>100</v>
      </c>
      <c r="K31" s="673">
        <v>2</v>
      </c>
      <c r="L31" s="1140"/>
      <c r="M31" s="1131"/>
      <c r="N31" s="1131"/>
      <c r="O31" s="1139"/>
      <c r="P31" s="3168"/>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168"/>
      <c r="Z31" s="1810" t="str">
        <f t="shared" ref="Z31:Z45" si="13">Q31</f>
        <v>临街状况</v>
      </c>
      <c r="AA31" s="1807">
        <f t="shared" si="3"/>
        <v>1</v>
      </c>
      <c r="AB31" s="1807">
        <f t="shared" si="4"/>
        <v>1</v>
      </c>
      <c r="AC31" s="1807">
        <f t="shared" si="5"/>
        <v>1</v>
      </c>
    </row>
    <row r="32" spans="1:29" ht="27">
      <c r="A32" s="428"/>
      <c r="B32" s="1383"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168"/>
      <c r="Q32" s="1806" t="str">
        <f t="shared" si="8"/>
        <v>毗邻道路的类型与等级</v>
      </c>
      <c r="R32" s="774" t="s">
        <v>17</v>
      </c>
      <c r="S32" s="775">
        <f t="shared" si="10"/>
        <v>100</v>
      </c>
      <c r="T32" s="774" t="s">
        <v>17</v>
      </c>
      <c r="U32" s="775">
        <f t="shared" si="11"/>
        <v>100</v>
      </c>
      <c r="V32" s="774" t="s">
        <v>17</v>
      </c>
      <c r="W32" s="775">
        <f t="shared" si="12"/>
        <v>100</v>
      </c>
      <c r="X32" s="1809"/>
      <c r="Y32" s="3168"/>
      <c r="Z32" s="1810" t="str">
        <f t="shared" si="13"/>
        <v>毗邻道路的类型与等级</v>
      </c>
      <c r="AA32" s="1807">
        <f t="shared" si="3"/>
        <v>1</v>
      </c>
      <c r="AB32" s="1807">
        <f t="shared" si="4"/>
        <v>1</v>
      </c>
      <c r="AC32" s="1807">
        <f t="shared" si="5"/>
        <v>1</v>
      </c>
    </row>
    <row r="33" spans="1:29" ht="15.75" thickBot="1">
      <c r="A33" s="428"/>
      <c r="B33" s="456"/>
      <c r="C33" s="447"/>
      <c r="D33" s="448"/>
      <c r="E33" s="2605"/>
      <c r="F33" s="448"/>
      <c r="G33" s="2605"/>
      <c r="H33" s="448"/>
      <c r="I33" s="447"/>
      <c r="J33" s="448"/>
      <c r="K33" s="613"/>
      <c r="L33" s="1140"/>
      <c r="M33" s="1131"/>
      <c r="N33" s="1131"/>
      <c r="O33" s="1139"/>
      <c r="P33" s="3168"/>
      <c r="Q33" s="1806"/>
      <c r="R33" s="774"/>
      <c r="S33" s="775"/>
      <c r="T33" s="774"/>
      <c r="U33" s="775"/>
      <c r="V33" s="774"/>
      <c r="W33" s="775"/>
      <c r="X33" s="1809"/>
      <c r="Y33" s="3168"/>
      <c r="Z33" s="1810"/>
      <c r="AA33" s="1807">
        <v>1</v>
      </c>
      <c r="AB33" s="1807">
        <v>1</v>
      </c>
      <c r="AC33" s="1807">
        <v>1</v>
      </c>
    </row>
    <row r="34" spans="1:29" ht="15" hidden="1">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8"/>
      <c r="Q34" s="1806" t="str">
        <f t="shared" si="8"/>
        <v>土地级别</v>
      </c>
      <c r="R34" s="774" t="s">
        <v>17</v>
      </c>
      <c r="S34" s="775">
        <f t="shared" si="10"/>
        <v>100</v>
      </c>
      <c r="T34" s="774" t="s">
        <v>17</v>
      </c>
      <c r="U34" s="775">
        <f t="shared" si="11"/>
        <v>100</v>
      </c>
      <c r="V34" s="774" t="s">
        <v>17</v>
      </c>
      <c r="W34" s="775">
        <f t="shared" si="12"/>
        <v>100</v>
      </c>
      <c r="X34" s="1809"/>
      <c r="Y34" s="3168"/>
      <c r="Z34" s="1810" t="str">
        <f t="shared" si="13"/>
        <v>土地级别</v>
      </c>
      <c r="AA34" s="1807">
        <f t="shared" si="3"/>
        <v>1</v>
      </c>
      <c r="AB34" s="1807">
        <f t="shared" si="4"/>
        <v>1</v>
      </c>
      <c r="AC34" s="1807">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8"/>
      <c r="Q35" s="1806">
        <f t="shared" si="8"/>
        <v>111</v>
      </c>
      <c r="R35" s="774" t="s">
        <v>17</v>
      </c>
      <c r="S35" s="775">
        <f t="shared" si="10"/>
        <v>100</v>
      </c>
      <c r="T35" s="774" t="s">
        <v>17</v>
      </c>
      <c r="U35" s="775">
        <f t="shared" si="11"/>
        <v>100</v>
      </c>
      <c r="V35" s="774" t="s">
        <v>17</v>
      </c>
      <c r="W35" s="775">
        <f t="shared" si="12"/>
        <v>100</v>
      </c>
      <c r="X35" s="1809"/>
      <c r="Y35" s="3168"/>
      <c r="Z35" s="1810">
        <f t="shared" si="13"/>
        <v>111</v>
      </c>
      <c r="AA35" s="1807">
        <f t="shared" si="3"/>
        <v>1</v>
      </c>
      <c r="AB35" s="1807">
        <f t="shared" si="4"/>
        <v>1</v>
      </c>
      <c r="AC35" s="1807">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9" t="s">
        <v>2571</v>
      </c>
      <c r="Q36" s="1806">
        <f t="shared" si="8"/>
        <v>111</v>
      </c>
      <c r="R36" s="774" t="s">
        <v>17</v>
      </c>
      <c r="S36" s="775">
        <f t="shared" si="10"/>
        <v>100</v>
      </c>
      <c r="T36" s="774" t="s">
        <v>17</v>
      </c>
      <c r="U36" s="775">
        <f t="shared" si="11"/>
        <v>100</v>
      </c>
      <c r="V36" s="774" t="s">
        <v>17</v>
      </c>
      <c r="W36" s="775">
        <f t="shared" si="12"/>
        <v>100</v>
      </c>
      <c r="X36" s="1809"/>
      <c r="Y36" s="3170" t="s">
        <v>2571</v>
      </c>
      <c r="Z36" s="1810">
        <f t="shared" si="13"/>
        <v>111</v>
      </c>
      <c r="AA36" s="1807">
        <f t="shared" si="3"/>
        <v>1</v>
      </c>
      <c r="AB36" s="1807">
        <f t="shared" si="4"/>
        <v>1</v>
      </c>
      <c r="AC36" s="1807">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0"/>
      <c r="Q37" s="1806">
        <f t="shared" si="8"/>
        <v>111</v>
      </c>
      <c r="R37" s="777" t="s">
        <v>17</v>
      </c>
      <c r="S37" s="778">
        <f t="shared" si="10"/>
        <v>100</v>
      </c>
      <c r="T37" s="777" t="s">
        <v>17</v>
      </c>
      <c r="U37" s="778">
        <f t="shared" si="11"/>
        <v>100</v>
      </c>
      <c r="V37" s="777" t="s">
        <v>17</v>
      </c>
      <c r="W37" s="778">
        <f t="shared" si="12"/>
        <v>100</v>
      </c>
      <c r="X37" s="779"/>
      <c r="Y37" s="3170"/>
      <c r="Z37" s="780">
        <f t="shared" si="13"/>
        <v>111</v>
      </c>
      <c r="AA37" s="1807">
        <f t="shared" si="3"/>
        <v>1</v>
      </c>
      <c r="AB37" s="1807">
        <f t="shared" si="4"/>
        <v>1</v>
      </c>
      <c r="AC37" s="1807">
        <f t="shared" si="5"/>
        <v>1</v>
      </c>
    </row>
    <row r="38" spans="1:29" ht="15">
      <c r="A38" s="472" t="s">
        <v>2569</v>
      </c>
      <c r="B38" s="456" t="s">
        <v>2757</v>
      </c>
      <c r="C38" s="679">
        <f>'数据-汇总表'!D3</f>
        <v>49727</v>
      </c>
      <c r="D38" s="467">
        <v>100</v>
      </c>
      <c r="E38" s="679">
        <f>Sheet1!D8</f>
        <v>16178</v>
      </c>
      <c r="F38" s="467">
        <f>LOOKUP(E38,117:117,118:118)-LOOKUP(C38,117:117,118:118)+100</f>
        <v>97</v>
      </c>
      <c r="G38" s="679">
        <f>Sheet1!D9</f>
        <v>29174</v>
      </c>
      <c r="H38" s="467">
        <f>LOOKUP(G38,117:117,118:118)-LOOKUP(C38,117:117,118:118)+100</f>
        <v>98</v>
      </c>
      <c r="I38" s="530">
        <f>Sheet1!D13</f>
        <v>4022</v>
      </c>
      <c r="J38" s="467">
        <f>LOOKUP(I38,117:117,118:118)-LOOKUP(C38,117:117,118:118)+100</f>
        <v>96</v>
      </c>
      <c r="K38" s="613"/>
      <c r="L38" s="1140"/>
      <c r="M38" s="1131"/>
      <c r="N38" s="1131"/>
      <c r="O38" s="1139"/>
      <c r="P38" s="3170"/>
      <c r="Q38" s="1806" t="str">
        <f>B38</f>
        <v>宗地面积</v>
      </c>
      <c r="R38" s="774" t="s">
        <v>17</v>
      </c>
      <c r="S38" s="775">
        <f t="shared" si="10"/>
        <v>97</v>
      </c>
      <c r="T38" s="774" t="s">
        <v>17</v>
      </c>
      <c r="U38" s="775">
        <f t="shared" si="11"/>
        <v>98</v>
      </c>
      <c r="V38" s="774" t="s">
        <v>17</v>
      </c>
      <c r="W38" s="775">
        <f t="shared" si="12"/>
        <v>96</v>
      </c>
      <c r="X38" s="1809"/>
      <c r="Y38" s="3170"/>
      <c r="Z38" s="1810" t="str">
        <f t="shared" si="13"/>
        <v>宗地面积</v>
      </c>
      <c r="AA38" s="1807">
        <f t="shared" si="3"/>
        <v>1.0309278350515463</v>
      </c>
      <c r="AB38" s="1807">
        <f t="shared" si="4"/>
        <v>1.0204081632653061</v>
      </c>
      <c r="AC38" s="1807">
        <f t="shared" si="5"/>
        <v>1.0416666666666667</v>
      </c>
    </row>
    <row r="39" spans="1:29" ht="15">
      <c r="A39" s="472"/>
      <c r="B39" s="422" t="s">
        <v>2758</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170"/>
      <c r="Q39" s="1806" t="str">
        <f t="shared" ref="Q39:Q45" si="14">B39</f>
        <v>宗地形状</v>
      </c>
      <c r="R39" s="774" t="s">
        <v>17</v>
      </c>
      <c r="S39" s="775">
        <f t="shared" si="10"/>
        <v>100</v>
      </c>
      <c r="T39" s="774" t="s">
        <v>17</v>
      </c>
      <c r="U39" s="775">
        <f t="shared" si="11"/>
        <v>100</v>
      </c>
      <c r="V39" s="774" t="s">
        <v>17</v>
      </c>
      <c r="W39" s="775">
        <f t="shared" si="12"/>
        <v>100</v>
      </c>
      <c r="X39" s="1809"/>
      <c r="Y39" s="3170"/>
      <c r="Z39" s="1810" t="str">
        <f t="shared" si="13"/>
        <v>宗地形状</v>
      </c>
      <c r="AA39" s="1807">
        <f t="shared" si="3"/>
        <v>1</v>
      </c>
      <c r="AB39" s="1807">
        <f t="shared" si="4"/>
        <v>1</v>
      </c>
      <c r="AC39" s="1807">
        <f t="shared" si="5"/>
        <v>1</v>
      </c>
    </row>
    <row r="40" spans="1:29" ht="15">
      <c r="A40" s="472"/>
      <c r="B40" s="422" t="s">
        <v>2759</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170"/>
      <c r="Q40" s="1806" t="str">
        <f t="shared" si="14"/>
        <v>临街宽度及深度</v>
      </c>
      <c r="R40" s="774" t="s">
        <v>17</v>
      </c>
      <c r="S40" s="775">
        <f t="shared" si="10"/>
        <v>100</v>
      </c>
      <c r="T40" s="774" t="s">
        <v>17</v>
      </c>
      <c r="U40" s="775">
        <f t="shared" si="11"/>
        <v>100</v>
      </c>
      <c r="V40" s="774" t="s">
        <v>17</v>
      </c>
      <c r="W40" s="775">
        <f t="shared" si="12"/>
        <v>100</v>
      </c>
      <c r="X40" s="1809"/>
      <c r="Y40" s="3170"/>
      <c r="Z40" s="1810" t="str">
        <f t="shared" si="13"/>
        <v>临街宽度及深度</v>
      </c>
      <c r="AA40" s="1807">
        <f t="shared" si="3"/>
        <v>1</v>
      </c>
      <c r="AB40" s="1807">
        <f t="shared" si="4"/>
        <v>1</v>
      </c>
      <c r="AC40" s="1807">
        <f t="shared" si="5"/>
        <v>1</v>
      </c>
    </row>
    <row r="41" spans="1:29" s="117" customFormat="1" ht="15">
      <c r="A41" s="473"/>
      <c r="B41" s="422" t="s">
        <v>2760</v>
      </c>
      <c r="C41" s="2696" t="s">
        <v>3140</v>
      </c>
      <c r="D41" s="136">
        <v>100</v>
      </c>
      <c r="E41" s="2696" t="s">
        <v>3141</v>
      </c>
      <c r="F41" s="435">
        <f>SUMIF(123:123,E41,124:124)-SUMIF(123:123,C41,124:124)+100</f>
        <v>96</v>
      </c>
      <c r="G41" s="2696" t="s">
        <v>3141</v>
      </c>
      <c r="H41" s="435">
        <f>SUMIF(123:123,G41,124:124)-SUMIF(123:123,C41,124:124)+100</f>
        <v>96</v>
      </c>
      <c r="I41" s="2696" t="s">
        <v>3141</v>
      </c>
      <c r="J41" s="435">
        <f>SUMIF(123:123,I41,124:124)-SUMIF(123:123,C41,124:124)+100</f>
        <v>96</v>
      </c>
      <c r="K41" s="612">
        <v>2</v>
      </c>
      <c r="L41" s="1132"/>
      <c r="M41" s="1133"/>
      <c r="N41" s="1133"/>
      <c r="O41" s="1134"/>
      <c r="P41" s="3170"/>
      <c r="Q41" s="1806" t="str">
        <f t="shared" si="14"/>
        <v>宗地开发程度</v>
      </c>
      <c r="R41" s="770" t="s">
        <v>17</v>
      </c>
      <c r="S41" s="771">
        <f t="shared" si="10"/>
        <v>96</v>
      </c>
      <c r="T41" s="770" t="s">
        <v>17</v>
      </c>
      <c r="U41" s="771">
        <f t="shared" si="11"/>
        <v>96</v>
      </c>
      <c r="V41" s="770" t="s">
        <v>17</v>
      </c>
      <c r="W41" s="771">
        <f t="shared" si="12"/>
        <v>96</v>
      </c>
      <c r="X41" s="772"/>
      <c r="Y41" s="3170"/>
      <c r="Z41" s="55" t="str">
        <f t="shared" si="13"/>
        <v>宗地开发程度</v>
      </c>
      <c r="AA41" s="773">
        <f t="shared" si="3"/>
        <v>1.0416666666666667</v>
      </c>
      <c r="AB41" s="773">
        <f t="shared" si="4"/>
        <v>1.0416666666666667</v>
      </c>
      <c r="AC41" s="773">
        <f t="shared" si="5"/>
        <v>1.0416666666666667</v>
      </c>
    </row>
    <row r="42" spans="1:29" ht="15">
      <c r="A42" s="472"/>
      <c r="B42" s="422" t="s">
        <v>2761</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170" t="s">
        <v>2571</v>
      </c>
      <c r="Q42" s="1806" t="str">
        <f t="shared" si="14"/>
        <v>工程地质条件</v>
      </c>
      <c r="R42" s="774" t="s">
        <v>17</v>
      </c>
      <c r="S42" s="775">
        <f t="shared" si="10"/>
        <v>100</v>
      </c>
      <c r="T42" s="774" t="s">
        <v>17</v>
      </c>
      <c r="U42" s="775">
        <f t="shared" si="11"/>
        <v>100</v>
      </c>
      <c r="V42" s="774" t="s">
        <v>17</v>
      </c>
      <c r="W42" s="775">
        <f t="shared" si="12"/>
        <v>100</v>
      </c>
      <c r="X42" s="1809"/>
      <c r="Y42" s="3170" t="s">
        <v>2571</v>
      </c>
      <c r="Z42" s="1810" t="str">
        <f t="shared" si="13"/>
        <v>工程地质条件</v>
      </c>
      <c r="AA42" s="1807">
        <f t="shared" si="3"/>
        <v>1</v>
      </c>
      <c r="AB42" s="1807">
        <f t="shared" si="4"/>
        <v>1</v>
      </c>
      <c r="AC42" s="1807">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0"/>
      <c r="Q43" s="1806">
        <f t="shared" si="14"/>
        <v>111</v>
      </c>
      <c r="R43" s="774" t="s">
        <v>17</v>
      </c>
      <c r="S43" s="775">
        <f t="shared" si="10"/>
        <v>100</v>
      </c>
      <c r="T43" s="774" t="s">
        <v>17</v>
      </c>
      <c r="U43" s="775">
        <f t="shared" si="11"/>
        <v>100</v>
      </c>
      <c r="V43" s="774" t="s">
        <v>17</v>
      </c>
      <c r="W43" s="775">
        <f t="shared" si="12"/>
        <v>100</v>
      </c>
      <c r="X43" s="1809"/>
      <c r="Y43" s="3170"/>
      <c r="Z43" s="1810">
        <f t="shared" si="13"/>
        <v>111</v>
      </c>
      <c r="AA43" s="1807">
        <f t="shared" si="3"/>
        <v>1</v>
      </c>
      <c r="AB43" s="1807">
        <f t="shared" si="4"/>
        <v>1</v>
      </c>
      <c r="AC43" s="1807">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0"/>
      <c r="Q44" s="1806">
        <f t="shared" si="14"/>
        <v>111</v>
      </c>
      <c r="R44" s="774" t="s">
        <v>17</v>
      </c>
      <c r="S44" s="775">
        <f t="shared" si="10"/>
        <v>100</v>
      </c>
      <c r="T44" s="774" t="s">
        <v>17</v>
      </c>
      <c r="U44" s="775">
        <f t="shared" si="11"/>
        <v>100</v>
      </c>
      <c r="V44" s="774" t="s">
        <v>17</v>
      </c>
      <c r="W44" s="775">
        <f t="shared" si="12"/>
        <v>100</v>
      </c>
      <c r="X44" s="1809"/>
      <c r="Y44" s="3170"/>
      <c r="Z44" s="1810">
        <f t="shared" si="13"/>
        <v>111</v>
      </c>
      <c r="AA44" s="1807">
        <f t="shared" si="3"/>
        <v>1</v>
      </c>
      <c r="AB44" s="1807">
        <f t="shared" si="4"/>
        <v>1</v>
      </c>
      <c r="AC44" s="1807">
        <f t="shared" si="5"/>
        <v>1</v>
      </c>
    </row>
    <row r="45" spans="1:29" s="471" customFormat="1" ht="15.75" thickBot="1">
      <c r="A45" s="468"/>
      <c r="B45" s="1386">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0"/>
      <c r="Q45" s="1806">
        <f t="shared" si="14"/>
        <v>111</v>
      </c>
      <c r="R45" s="777" t="s">
        <v>17</v>
      </c>
      <c r="S45" s="778">
        <f t="shared" si="10"/>
        <v>100</v>
      </c>
      <c r="T45" s="777" t="s">
        <v>17</v>
      </c>
      <c r="U45" s="778">
        <f t="shared" si="11"/>
        <v>100</v>
      </c>
      <c r="V45" s="777" t="s">
        <v>17</v>
      </c>
      <c r="W45" s="778">
        <f t="shared" si="12"/>
        <v>100</v>
      </c>
      <c r="X45" s="779"/>
      <c r="Y45" s="3170"/>
      <c r="Z45" s="780">
        <f t="shared" si="13"/>
        <v>111</v>
      </c>
      <c r="AA45" s="1807">
        <f t="shared" si="3"/>
        <v>1</v>
      </c>
      <c r="AB45" s="1807">
        <f t="shared" si="4"/>
        <v>1</v>
      </c>
      <c r="AC45" s="1807">
        <f t="shared" si="5"/>
        <v>1</v>
      </c>
    </row>
    <row r="46" spans="1:29" ht="15">
      <c r="A46" s="479" t="s">
        <v>2726</v>
      </c>
      <c r="B46" s="2698" t="s">
        <v>2762</v>
      </c>
      <c r="C46" s="682" t="s">
        <v>1</v>
      </c>
      <c r="D46" s="481"/>
      <c r="E46" s="482">
        <v>979</v>
      </c>
      <c r="F46" s="483"/>
      <c r="G46" s="484">
        <v>1021</v>
      </c>
      <c r="H46" s="485"/>
      <c r="I46" s="482">
        <v>1181</v>
      </c>
      <c r="J46" s="485"/>
      <c r="K46" s="783"/>
      <c r="L46" s="1143"/>
      <c r="M46" s="1144"/>
      <c r="N46" s="1131"/>
      <c r="O46" s="1144"/>
      <c r="P46" s="3165" t="str">
        <f>A46</f>
        <v>成交单价</v>
      </c>
      <c r="Q46" s="3165"/>
      <c r="R46" s="3171">
        <f>E46</f>
        <v>979</v>
      </c>
      <c r="S46" s="3171"/>
      <c r="T46" s="3171">
        <f>G46</f>
        <v>1021</v>
      </c>
      <c r="U46" s="3171"/>
      <c r="V46" s="3171">
        <f>I46</f>
        <v>1181</v>
      </c>
      <c r="W46" s="3171"/>
      <c r="X46" s="759"/>
      <c r="Y46" s="781"/>
      <c r="Z46" s="759"/>
      <c r="AA46" s="759"/>
      <c r="AB46" s="759"/>
      <c r="AC46" s="759"/>
    </row>
    <row r="47" spans="1:29" ht="15.75" thickBot="1">
      <c r="A47" s="486" t="s">
        <v>2675</v>
      </c>
      <c r="B47" s="683"/>
      <c r="C47" s="490">
        <f>R48</f>
        <v>1200</v>
      </c>
      <c r="D47" s="489"/>
      <c r="E47" s="490">
        <f>R47</f>
        <v>1020</v>
      </c>
      <c r="F47" s="491"/>
      <c r="G47" s="488">
        <f>T47</f>
        <v>1226</v>
      </c>
      <c r="H47" s="489"/>
      <c r="I47" s="490">
        <f>V47</f>
        <v>1355</v>
      </c>
      <c r="J47" s="489"/>
      <c r="K47" s="784"/>
      <c r="L47" s="1143"/>
      <c r="M47" s="1144"/>
      <c r="N47" s="1144"/>
      <c r="O47" s="1144"/>
      <c r="P47" s="3165" t="str">
        <f>A47</f>
        <v>比较价值（元/平方米）</v>
      </c>
      <c r="Q47" s="3165"/>
      <c r="R47" s="3158">
        <f>ROUND(PRODUCT(R46,AA7:AA45),0)</f>
        <v>1020</v>
      </c>
      <c r="S47" s="3158"/>
      <c r="T47" s="3158">
        <f>ROUND(PRODUCT(T46,AB7:AB45),0)</f>
        <v>1226</v>
      </c>
      <c r="U47" s="3158"/>
      <c r="V47" s="3158">
        <f>ROUND(PRODUCT(V46,AC7:AC45),0)</f>
        <v>1355</v>
      </c>
      <c r="W47" s="3158"/>
      <c r="X47" s="759"/>
      <c r="Y47" s="759"/>
      <c r="Z47" s="759"/>
      <c r="AA47" s="759"/>
      <c r="AB47" s="759"/>
      <c r="AC47" s="759"/>
    </row>
    <row r="48" spans="1:29" ht="15.75" thickBot="1">
      <c r="A48" s="492" t="s">
        <v>2763</v>
      </c>
      <c r="B48" s="493"/>
      <c r="C48" s="494">
        <f>R48</f>
        <v>1200</v>
      </c>
      <c r="D48" s="494"/>
      <c r="E48" s="494"/>
      <c r="F48" s="494"/>
      <c r="G48" s="494"/>
      <c r="H48" s="494"/>
      <c r="I48" s="494"/>
      <c r="J48" s="494"/>
      <c r="K48" s="785"/>
      <c r="L48" s="1143"/>
      <c r="M48" s="1144"/>
      <c r="N48" s="1144"/>
      <c r="O48" s="1144"/>
      <c r="P48" s="3159" t="str">
        <f>A48</f>
        <v>估价对象XX用房的比较价值（楼面单价，元/平方米）</v>
      </c>
      <c r="Q48" s="3160"/>
      <c r="R48" s="3161">
        <f>ROUND(AVERAGE(R47:V47),0)</f>
        <v>1200</v>
      </c>
      <c r="S48" s="3161"/>
      <c r="T48" s="3161"/>
      <c r="U48" s="3161"/>
      <c r="V48" s="3161"/>
      <c r="W48" s="3161"/>
      <c r="X48" s="759"/>
      <c r="Y48" s="759"/>
      <c r="Z48" s="759"/>
      <c r="AA48" s="759"/>
      <c r="AB48" s="759"/>
      <c r="AC48" s="759"/>
    </row>
    <row r="49" spans="1:15">
      <c r="A49" s="1144"/>
      <c r="B49" s="1144"/>
      <c r="C49" s="1144"/>
      <c r="D49" s="1144"/>
      <c r="E49" s="1144"/>
      <c r="F49" s="1144"/>
      <c r="G49" s="1147"/>
      <c r="H49" s="1144"/>
      <c r="I49" s="1144"/>
      <c r="J49" s="1144"/>
      <c r="K49" s="1108"/>
      <c r="L49" s="1109"/>
      <c r="M49" s="1144"/>
      <c r="N49" s="1144"/>
      <c r="O49" s="1144"/>
    </row>
    <row r="50" spans="1:15">
      <c r="A50" s="1144"/>
      <c r="B50" s="1144"/>
      <c r="C50" s="1144"/>
      <c r="D50" s="1144"/>
      <c r="E50" s="1144"/>
      <c r="F50" s="1144"/>
      <c r="G50" s="1144"/>
      <c r="H50" s="1144"/>
      <c r="I50" s="1144"/>
      <c r="J50" s="1144"/>
      <c r="K50" s="1108"/>
      <c r="L50" s="1109"/>
      <c r="M50" s="1144"/>
      <c r="N50" s="1144"/>
      <c r="O50" s="1144"/>
    </row>
    <row r="51" spans="1:15" ht="13.5" customHeight="1">
      <c r="A51" s="1144"/>
      <c r="B51" s="1144"/>
      <c r="C51" s="497" t="s">
        <v>2677</v>
      </c>
      <c r="D51" s="498"/>
      <c r="E51" s="499">
        <f>IF(E46&lt;E47,E47/E46-1,E46/E47-1)</f>
        <v>4.1879468845760881E-2</v>
      </c>
      <c r="F51" s="500" t="str">
        <f>IF(OR(E51&gt;=0.3,E51&lt;=-0.3),"超过30%","")</f>
        <v/>
      </c>
      <c r="G51" s="499">
        <f>IF(G46&lt;G47,G47/G46-1,G46/G47-1)</f>
        <v>0.20078354554358468</v>
      </c>
      <c r="H51" s="500" t="str">
        <f>IF(OR(G51&gt;=0.3,G51&lt;=-0.3),"超过30%","")</f>
        <v/>
      </c>
      <c r="I51" s="499">
        <f>IF(I46&lt;I47,I47/I46-1,I46/I47-1)</f>
        <v>0.14733276883996616</v>
      </c>
      <c r="J51" s="500" t="str">
        <f>IF(OR(I51&gt;=0.3,I51&lt;=-0.3),"超过30%","")</f>
        <v/>
      </c>
      <c r="K51" s="1108"/>
      <c r="L51" s="1109"/>
      <c r="M51" s="1144"/>
      <c r="N51" s="1144"/>
      <c r="O51" s="1144"/>
    </row>
    <row r="52" spans="1:15" ht="13.5" customHeight="1">
      <c r="A52" s="1144"/>
      <c r="B52" s="1144"/>
      <c r="C52" s="497" t="s">
        <v>2678</v>
      </c>
      <c r="D52" s="501"/>
      <c r="E52" s="499">
        <f>IF(E47&lt;G47,G47/E47-1,E47/G47-1)</f>
        <v>0.20196078431372544</v>
      </c>
      <c r="F52" s="500" t="str">
        <f>IF(OR(E52&gt;=0.2,E52&lt;=-0.2),"超过20%","")</f>
        <v>超过20%</v>
      </c>
      <c r="G52" s="499">
        <f>IF(G47&lt;I47,I47/G47-1,G47/I47-1)</f>
        <v>0.1052202283849919</v>
      </c>
      <c r="H52" s="500" t="str">
        <f>IF(OR(G52&gt;=0.2,G52&lt;=-0.2),"超过20%","")</f>
        <v/>
      </c>
      <c r="I52" s="499">
        <f>IF(I47&lt;E47,E47/I47-1,I47/E47-1)</f>
        <v>0.32843137254901955</v>
      </c>
      <c r="J52" s="500" t="str">
        <f>IF(OR(I52&gt;=0.2,I52&lt;=-0.2),"超过20%","")</f>
        <v>超过20%</v>
      </c>
      <c r="K52" s="1108"/>
      <c r="L52" s="1109"/>
      <c r="M52" s="1144"/>
      <c r="N52" s="1144"/>
      <c r="O52" s="1144"/>
    </row>
    <row r="53" spans="1:15" s="502" customFormat="1" ht="13.5" customHeight="1">
      <c r="A53" s="1145"/>
      <c r="B53" s="1145"/>
      <c r="C53" s="497" t="s">
        <v>2679</v>
      </c>
      <c r="D53" s="501"/>
      <c r="E53" s="499">
        <f>IF(E46&lt;G46,G46/E46-1,E46/G46-1)</f>
        <v>4.2900919305413732E-2</v>
      </c>
      <c r="F53" s="500" t="str">
        <f>IF(OR(E53&gt;=0.3,E53&lt;=-0.3),"超过30%","")</f>
        <v/>
      </c>
      <c r="G53" s="499">
        <f>IF(G46&lt;I46,I46/G46-1,G46/I46-1)</f>
        <v>0.1567091087169441</v>
      </c>
      <c r="H53" s="500" t="str">
        <f>IF(OR(G53&gt;=0.3,G53&lt;=-0.3),"超过30%","")</f>
        <v/>
      </c>
      <c r="I53" s="499">
        <f>IF(I46&lt;E46,E46/I46-1,I46/E46-1)</f>
        <v>0.20633299284984674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2764</v>
      </c>
      <c r="B55" s="685" t="s">
        <v>2765</v>
      </c>
      <c r="C55" s="2699" t="s">
        <v>2766</v>
      </c>
      <c r="D55" s="2700" t="s">
        <v>2767</v>
      </c>
      <c r="E55" s="686" t="s">
        <v>2768</v>
      </c>
      <c r="F55" s="1110" t="s">
        <v>2769</v>
      </c>
      <c r="G55" s="3162" t="s">
        <v>2770</v>
      </c>
      <c r="H55" s="3163"/>
      <c r="I55" s="144" t="s">
        <v>2771</v>
      </c>
      <c r="J55" s="2701" t="str">
        <f>项目基本情况!F35</f>
        <v>山东省</v>
      </c>
      <c r="K55" s="2702" t="s">
        <v>2772</v>
      </c>
      <c r="L55" s="1109"/>
      <c r="M55" s="1144"/>
      <c r="N55" s="1144"/>
      <c r="O55" s="1144"/>
    </row>
    <row r="56" spans="1:15" s="692" customFormat="1">
      <c r="A56" s="688" t="s">
        <v>2773</v>
      </c>
      <c r="B56" s="689">
        <f>C48</f>
        <v>1200</v>
      </c>
      <c r="C56" s="690">
        <v>1</v>
      </c>
      <c r="D56" s="1163">
        <v>1</v>
      </c>
      <c r="E56" s="690">
        <f>'数据-汇总表'!E8+'数据-汇总表'!E9</f>
        <v>38865.599999999999</v>
      </c>
      <c r="F56" s="1106">
        <f t="shared" ref="F56:F65" si="15">ROUND(B56*E56/10000,0)</f>
        <v>4664</v>
      </c>
      <c r="G56" s="3164"/>
      <c r="H56" s="3165"/>
      <c r="I56" s="1111">
        <v>1</v>
      </c>
      <c r="J56" s="1114">
        <v>1</v>
      </c>
      <c r="K56" s="1145"/>
      <c r="L56" s="944"/>
      <c r="M56" s="944"/>
      <c r="N56" s="944"/>
      <c r="O56" s="944"/>
    </row>
    <row r="57" spans="1:15" s="692" customFormat="1">
      <c r="A57" s="693" t="s">
        <v>2774</v>
      </c>
      <c r="B57" s="262">
        <f>ROUND($C$48*C57*D57,0)</f>
        <v>0</v>
      </c>
      <c r="C57" s="200">
        <f t="shared" ref="C57:C65" si="16">IF($C$55="北京市系数",I57,J57)</f>
        <v>0</v>
      </c>
      <c r="D57" s="1164">
        <v>0.25</v>
      </c>
      <c r="E57" s="694"/>
      <c r="F57" s="1106">
        <f t="shared" si="15"/>
        <v>0</v>
      </c>
      <c r="G57" s="3166" t="s">
        <v>2775</v>
      </c>
      <c r="H57" s="1107">
        <f>项目基本情况!B37</f>
        <v>0</v>
      </c>
      <c r="I57" s="1111">
        <f>SUMIF(修正!A45:A56,H57,修正!B45:B56)</f>
        <v>0</v>
      </c>
      <c r="J57" s="1115"/>
      <c r="K57" s="1144"/>
      <c r="L57" s="944"/>
      <c r="M57" s="944"/>
      <c r="N57" s="944"/>
      <c r="O57" s="944"/>
    </row>
    <row r="58" spans="1:15" s="692" customFormat="1">
      <c r="A58" s="693" t="s">
        <v>2776</v>
      </c>
      <c r="B58" s="262">
        <f t="shared" ref="B58:B65" si="17">ROUND($C$48*C58*D58,0)</f>
        <v>0</v>
      </c>
      <c r="C58" s="200">
        <f t="shared" si="16"/>
        <v>0</v>
      </c>
      <c r="D58" s="1164">
        <v>0.25</v>
      </c>
      <c r="E58" s="694"/>
      <c r="F58" s="1106">
        <f t="shared" si="15"/>
        <v>0</v>
      </c>
      <c r="G58" s="3166"/>
      <c r="H58" s="1107">
        <f>项目基本情况!B37</f>
        <v>0</v>
      </c>
      <c r="I58" s="1111">
        <f>SUMIF(修正!A45:A56,H58,修正!C45:C56)</f>
        <v>0</v>
      </c>
      <c r="J58" s="1115"/>
      <c r="K58" s="1145"/>
      <c r="L58" s="944"/>
      <c r="M58" s="944"/>
      <c r="N58" s="944"/>
      <c r="O58" s="944"/>
    </row>
    <row r="59" spans="1:15" s="692" customFormat="1">
      <c r="A59" s="693" t="s">
        <v>2777</v>
      </c>
      <c r="B59" s="262">
        <f t="shared" si="17"/>
        <v>0</v>
      </c>
      <c r="C59" s="200">
        <f t="shared" si="16"/>
        <v>0</v>
      </c>
      <c r="D59" s="1164">
        <v>0.25</v>
      </c>
      <c r="E59" s="694"/>
      <c r="F59" s="1106">
        <f t="shared" si="15"/>
        <v>0</v>
      </c>
      <c r="G59" s="3166"/>
      <c r="H59" s="1107">
        <f>项目基本情况!B37</f>
        <v>0</v>
      </c>
      <c r="I59" s="1111">
        <f>SUMIF(修正!A45:A56,H59,修正!D45:D56)</f>
        <v>0</v>
      </c>
      <c r="J59" s="1115"/>
      <c r="K59" s="1144"/>
      <c r="L59" s="944"/>
      <c r="M59" s="944"/>
      <c r="N59" s="944"/>
      <c r="O59" s="944"/>
    </row>
    <row r="60" spans="1:15" s="692" customFormat="1">
      <c r="A60" s="693" t="s">
        <v>2778</v>
      </c>
      <c r="B60" s="262">
        <f t="shared" si="17"/>
        <v>0</v>
      </c>
      <c r="C60" s="200">
        <f t="shared" si="16"/>
        <v>0</v>
      </c>
      <c r="D60" s="1164">
        <v>0.25</v>
      </c>
      <c r="E60" s="694"/>
      <c r="F60" s="1106">
        <f t="shared" si="15"/>
        <v>0</v>
      </c>
      <c r="G60" s="3166"/>
      <c r="H60" s="1107">
        <f>项目基本情况!B37</f>
        <v>0</v>
      </c>
      <c r="I60" s="1111">
        <f>SUMIF(修正!A45:A56,H60,修正!E45:E56)</f>
        <v>0</v>
      </c>
      <c r="J60" s="1115"/>
      <c r="K60" s="1145"/>
      <c r="L60" s="944"/>
      <c r="M60" s="944"/>
      <c r="N60" s="944"/>
      <c r="O60" s="944"/>
    </row>
    <row r="61" spans="1:15" s="692" customFormat="1">
      <c r="A61" s="693" t="s">
        <v>2779</v>
      </c>
      <c r="B61" s="262">
        <f t="shared" si="17"/>
        <v>0</v>
      </c>
      <c r="C61" s="200">
        <f t="shared" si="16"/>
        <v>0</v>
      </c>
      <c r="D61" s="1164">
        <v>0.25</v>
      </c>
      <c r="E61" s="261">
        <f>'数据-汇总表'!E11</f>
        <v>0</v>
      </c>
      <c r="F61" s="1106">
        <f t="shared" si="15"/>
        <v>0</v>
      </c>
      <c r="G61" s="2703" t="s">
        <v>2780</v>
      </c>
      <c r="H61" s="1107">
        <f>项目基本情况!C37</f>
        <v>0</v>
      </c>
      <c r="I61" s="1111">
        <f>SUMIF(修正!A45:A56,H61,修正!F45:F56)</f>
        <v>0</v>
      </c>
      <c r="J61" s="1115"/>
      <c r="K61" s="1144"/>
      <c r="L61" s="944"/>
      <c r="M61" s="944"/>
      <c r="N61" s="944"/>
      <c r="O61" s="944"/>
    </row>
    <row r="62" spans="1:15" s="692" customFormat="1">
      <c r="A62" s="693" t="s">
        <v>2781</v>
      </c>
      <c r="B62" s="262">
        <f t="shared" si="17"/>
        <v>0</v>
      </c>
      <c r="C62" s="200">
        <f t="shared" si="16"/>
        <v>0</v>
      </c>
      <c r="D62" s="1164">
        <v>0.25</v>
      </c>
      <c r="E62" s="261">
        <f>'数据-汇总表'!E12</f>
        <v>0</v>
      </c>
      <c r="F62" s="1106">
        <f t="shared" si="15"/>
        <v>0</v>
      </c>
      <c r="G62" s="1112" t="s">
        <v>2782</v>
      </c>
      <c r="H62" s="1107">
        <f>IF(G62="商业",项目基本情况!B37,IF(G62="办公",项目基本情况!C37,IF(G62="住宅",项目基本情况!D37,项目基本情况!E37)))</f>
        <v>0</v>
      </c>
      <c r="I62" s="1111">
        <f>SUMIF(修正!A45:A56,H62,修正!G45:G56)</f>
        <v>0</v>
      </c>
      <c r="J62" s="1115"/>
      <c r="K62" s="1145"/>
      <c r="L62" s="944"/>
      <c r="M62" s="944"/>
      <c r="N62" s="944"/>
      <c r="O62" s="944"/>
    </row>
    <row r="63" spans="1:15" s="692" customFormat="1">
      <c r="A63" s="693" t="s">
        <v>2783</v>
      </c>
      <c r="B63" s="262">
        <f t="shared" si="17"/>
        <v>0</v>
      </c>
      <c r="C63" s="200">
        <f t="shared" si="16"/>
        <v>0</v>
      </c>
      <c r="D63" s="1164">
        <v>0.25</v>
      </c>
      <c r="E63" s="261">
        <f>'数据-汇总表'!E13</f>
        <v>0</v>
      </c>
      <c r="F63" s="1106">
        <f t="shared" si="15"/>
        <v>0</v>
      </c>
      <c r="G63" s="1112" t="s">
        <v>2784</v>
      </c>
      <c r="H63" s="1107">
        <f>IF(G63="商业",项目基本情况!B37,IF(G63="办公",项目基本情况!C37,IF(G63="住宅",项目基本情况!D37,项目基本情况!E37)))</f>
        <v>0</v>
      </c>
      <c r="I63" s="1111">
        <f>SUMIF(修正!A45:A56,H63,修正!H45:H56)</f>
        <v>0</v>
      </c>
      <c r="J63" s="1115"/>
      <c r="K63" s="1144"/>
      <c r="L63" s="944"/>
      <c r="M63" s="944"/>
      <c r="N63" s="944"/>
      <c r="O63" s="944"/>
    </row>
    <row r="64" spans="1:15" s="692" customFormat="1">
      <c r="A64" s="693" t="s">
        <v>2785</v>
      </c>
      <c r="B64" s="262">
        <f t="shared" si="17"/>
        <v>0</v>
      </c>
      <c r="C64" s="200">
        <f t="shared" si="16"/>
        <v>0</v>
      </c>
      <c r="D64" s="1164">
        <v>0.25</v>
      </c>
      <c r="E64" s="261">
        <f>'数据-汇总表'!E14</f>
        <v>0</v>
      </c>
      <c r="F64" s="1106">
        <f t="shared" si="15"/>
        <v>0</v>
      </c>
      <c r="G64" s="2703" t="s">
        <v>2775</v>
      </c>
      <c r="H64" s="1107">
        <f>项目基本情况!B37</f>
        <v>0</v>
      </c>
      <c r="I64" s="1111">
        <f>SUMIF(修正!A45:A56,H64,修正!H45:H56)</f>
        <v>0</v>
      </c>
      <c r="J64" s="1115"/>
      <c r="K64" s="1145"/>
      <c r="L64" s="944"/>
      <c r="M64" s="944"/>
      <c r="N64" s="944"/>
      <c r="O64" s="944"/>
    </row>
    <row r="65" spans="1:17" s="692" customFormat="1" ht="15" thickBot="1">
      <c r="A65" s="693" t="s">
        <v>2786</v>
      </c>
      <c r="B65" s="262">
        <f t="shared" si="17"/>
        <v>0</v>
      </c>
      <c r="C65" s="200">
        <f t="shared" si="16"/>
        <v>0</v>
      </c>
      <c r="D65" s="1164">
        <v>0.25</v>
      </c>
      <c r="E65" s="261">
        <f>'数据-汇总表'!E15</f>
        <v>0</v>
      </c>
      <c r="F65" s="1106">
        <f t="shared" si="15"/>
        <v>0</v>
      </c>
      <c r="G65" s="2704" t="s">
        <v>2780</v>
      </c>
      <c r="H65" s="1117">
        <f>项目基本情况!C37</f>
        <v>0</v>
      </c>
      <c r="I65" s="1113">
        <f>SUMIF(修正!A45:A56,H65,修正!H45:H56)</f>
        <v>0</v>
      </c>
      <c r="J65" s="1116"/>
      <c r="K65" s="1144"/>
      <c r="L65" s="944"/>
      <c r="M65" s="944"/>
      <c r="N65" s="944"/>
      <c r="O65" s="944"/>
    </row>
    <row r="66" spans="1:17" s="692" customFormat="1" ht="13.5" thickBot="1">
      <c r="A66" s="695" t="s">
        <v>2787</v>
      </c>
      <c r="B66" s="696" t="s">
        <v>28</v>
      </c>
      <c r="C66" s="696" t="s">
        <v>29</v>
      </c>
      <c r="D66" s="696" t="s">
        <v>1029</v>
      </c>
      <c r="E66" s="696">
        <f>IF(B46="楼面地价",SUM(E56:E65),'数据-汇总表'!D3)</f>
        <v>38865.599999999999</v>
      </c>
      <c r="F66" s="697">
        <f>IF(B46="楼面地价",SUM(F56:F65),ROUND(C48*E66/10000,0))</f>
        <v>4664</v>
      </c>
      <c r="G66" s="787"/>
      <c r="H66" s="787"/>
      <c r="I66" s="787"/>
      <c r="J66" s="787"/>
      <c r="K66" s="1158"/>
      <c r="L66" s="944"/>
      <c r="M66" s="944"/>
      <c r="N66" s="944"/>
      <c r="O66" s="944"/>
    </row>
    <row r="67" spans="1:17">
      <c r="A67" s="759"/>
      <c r="B67" s="761"/>
      <c r="C67" s="762"/>
      <c r="D67" s="759"/>
      <c r="E67" s="759"/>
      <c r="F67" s="759"/>
      <c r="G67" s="759"/>
      <c r="H67" s="759"/>
      <c r="I67" s="759"/>
      <c r="J67" s="1144"/>
      <c r="K67" s="1108"/>
      <c r="L67" s="1109"/>
      <c r="M67" s="1144"/>
      <c r="N67" s="1144"/>
      <c r="O67" s="1144"/>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2680</v>
      </c>
      <c r="B69" s="759"/>
      <c r="C69" s="764"/>
      <c r="D69" s="764"/>
      <c r="E69" s="764"/>
      <c r="F69" s="765"/>
      <c r="G69" s="765"/>
      <c r="H69" s="764"/>
      <c r="I69" s="764"/>
      <c r="J69" s="1159"/>
      <c r="K69" s="1160"/>
      <c r="L69" s="1161"/>
      <c r="M69" s="1159"/>
      <c r="N69" s="1159"/>
      <c r="O69" s="1159"/>
      <c r="P69" s="503"/>
      <c r="Q69" s="504"/>
    </row>
    <row r="70" spans="1:17" s="508" customFormat="1" ht="15">
      <c r="A70" s="2705" t="s">
        <v>2788</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6" t="s">
        <v>2789</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1566"/>
      <c r="N71" s="595"/>
      <c r="O71" s="1567"/>
      <c r="P71" s="504"/>
    </row>
    <row r="72" spans="1:17" s="117" customFormat="1" ht="15.75" thickBot="1">
      <c r="A72" s="515" t="s">
        <v>2591</v>
      </c>
      <c r="B72" s="516"/>
      <c r="C72" s="517"/>
      <c r="D72" s="518"/>
      <c r="E72" s="518"/>
      <c r="F72" s="518"/>
      <c r="G72" s="518"/>
      <c r="H72" s="518"/>
      <c r="I72" s="518"/>
      <c r="J72" s="518"/>
      <c r="K72" s="518"/>
      <c r="L72" s="518"/>
      <c r="M72" s="519"/>
      <c r="N72" s="518"/>
      <c r="O72" s="1162"/>
      <c r="P72" s="504"/>
      <c r="Q72" s="504"/>
    </row>
    <row r="73" spans="1:17" s="117" customFormat="1" ht="15">
      <c r="A73" s="521" t="s">
        <v>2556</v>
      </c>
      <c r="B73" s="510"/>
      <c r="C73" s="522" t="s">
        <v>2658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2594</v>
      </c>
      <c r="B75" s="528" t="s">
        <v>2560</v>
      </c>
      <c r="C75" s="2944" t="s">
        <v>3120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2563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2564</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4"/>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4"/>
      <c r="O103" s="1154"/>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2697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thickTop="1">
      <c r="A108" s="534"/>
      <c r="B108" s="538" t="s">
        <v>2756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2569</v>
      </c>
      <c r="B116" s="528" t="s">
        <v>2797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2"/>
      <c r="O116" s="1152"/>
      <c r="P116" s="45"/>
      <c r="Q116" s="504"/>
    </row>
    <row r="117" spans="1:17" ht="15">
      <c r="A117" s="534"/>
      <c r="B117" s="546"/>
      <c r="C117" s="595">
        <v>0</v>
      </c>
      <c r="D117" s="595">
        <v>10000</v>
      </c>
      <c r="E117" s="595">
        <v>20000</v>
      </c>
      <c r="F117" s="595">
        <v>30000</v>
      </c>
      <c r="G117" s="595">
        <v>40000</v>
      </c>
      <c r="H117" s="595">
        <v>50000</v>
      </c>
      <c r="I117" s="595">
        <v>60000</v>
      </c>
      <c r="J117" s="2945">
        <v>70000</v>
      </c>
      <c r="K117" s="2945">
        <v>80000</v>
      </c>
      <c r="L117" s="2946">
        <v>90000</v>
      </c>
      <c r="M117" s="2947">
        <v>100000</v>
      </c>
      <c r="N117" s="1152"/>
      <c r="O117" s="1152"/>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v>110</v>
      </c>
      <c r="N118" s="1153"/>
      <c r="O118" s="1153"/>
      <c r="P118" s="45"/>
      <c r="Q118" s="504"/>
    </row>
    <row r="119" spans="1:17" ht="15" thickTop="1">
      <c r="A119" s="599"/>
      <c r="B119" s="538" t="s">
        <v>2798</v>
      </c>
      <c r="C119" s="2948" t="s">
        <v>3122</v>
      </c>
      <c r="D119" s="2948" t="s">
        <v>3123</v>
      </c>
      <c r="E119" s="2948" t="s">
        <v>3124</v>
      </c>
      <c r="F119" s="2948" t="s">
        <v>3125</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2799</v>
      </c>
      <c r="C121" s="2949" t="s">
        <v>3126</v>
      </c>
      <c r="D121" s="2949" t="s">
        <v>3127</v>
      </c>
      <c r="E121" s="2949" t="s">
        <v>3128</v>
      </c>
      <c r="F121" s="2948" t="s">
        <v>3129</v>
      </c>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2800</v>
      </c>
      <c r="C123" s="2950" t="s">
        <v>3130</v>
      </c>
      <c r="D123" s="2950" t="s">
        <v>3131</v>
      </c>
      <c r="E123" s="2950" t="s">
        <v>3132</v>
      </c>
      <c r="F123" s="2950" t="s">
        <v>3133</v>
      </c>
      <c r="G123" s="2950" t="s">
        <v>3134</v>
      </c>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2801</v>
      </c>
      <c r="C125" s="2949" t="s">
        <v>3135</v>
      </c>
      <c r="D125" s="2949" t="s">
        <v>3136</v>
      </c>
      <c r="E125" s="2948" t="s">
        <v>3137</v>
      </c>
      <c r="F125" s="2948" t="s">
        <v>3138</v>
      </c>
      <c r="G125" s="2948" t="s">
        <v>3139</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3"/>
      <c r="C1" s="2547" t="s">
        <v>2434</v>
      </c>
      <c r="D1" s="242"/>
      <c r="E1" s="242"/>
      <c r="F1" s="242"/>
      <c r="G1" s="1378">
        <f>MATCH(B1,'数据-取费表'!A6:A16,0)+5</f>
        <v>7</v>
      </c>
      <c r="H1" s="1281" t="str">
        <f>IF(ISERROR(FIND("住宅",B1)),"非住宅","住宅")</f>
        <v>非住宅</v>
      </c>
    </row>
    <row r="2" spans="1:8" s="244" customFormat="1" ht="18" customHeight="1">
      <c r="A2" s="245" t="s">
        <v>2333</v>
      </c>
      <c r="B2" s="246">
        <f ca="1">ROUND(IF(D2="——",C52/10000,C52/10000-E2),0)</f>
        <v>13190</v>
      </c>
      <c r="C2" s="243" t="s">
        <v>2334</v>
      </c>
      <c r="D2" s="2541" t="s">
        <v>70</v>
      </c>
      <c r="E2" s="1439" t="e">
        <f ca="1">SUMIF(INDIRECT("'"&amp;G2&amp;"'"&amp;"!A:A"),"承租人权益价值",INDIRECT("'"&amp;G2&amp;"'"&amp;"!c:c"))</f>
        <v>#REF!</v>
      </c>
      <c r="F2" s="2542" t="s">
        <v>2334</v>
      </c>
      <c r="G2" s="2543"/>
    </row>
    <row r="3" spans="1:8" s="244" customFormat="1" ht="18" customHeight="1" thickBot="1">
      <c r="A3" s="247" t="s">
        <v>2335</v>
      </c>
      <c r="B3" s="248">
        <f ca="1">ROUND(B2*10000/(IF(B1="",'数据-汇总表'!E3,INDIRECT("'数据-取费表'!k"&amp;$G$1))),0)</f>
        <v>3394</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5829840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5829840</v>
      </c>
      <c r="D8" s="266"/>
      <c r="E8" s="264"/>
      <c r="F8" s="265"/>
      <c r="G8" s="2544"/>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5829840</v>
      </c>
      <c r="D10" s="1035">
        <f ca="1">IF(B1="",'数据-汇总表'!E6,IF(INDIRECT("'数据-取费表'!c"&amp;$G$1)="住宅",INDIRECT("'数据-取费表'!s"&amp;$G$1),INDIRECT("'数据-取费表'!k"&amp;$G$1)+INDIRECT("'数据-取费表'!s"&amp;$G$1)))</f>
        <v>38865.599999999999</v>
      </c>
      <c r="E10" s="269">
        <f>'数据-取费表'!B28</f>
        <v>150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7773120</v>
      </c>
      <c r="D19" s="1039">
        <f ca="1">D9+D10</f>
        <v>38865.599999999999</v>
      </c>
      <c r="E19" s="255">
        <f>'数据-取费表'!B31</f>
        <v>200</v>
      </c>
      <c r="F19" s="275"/>
      <c r="G19" s="2544"/>
    </row>
    <row r="20" spans="1:7" s="258" customFormat="1" ht="13.5" customHeight="1">
      <c r="A20" s="299" t="s">
        <v>2445</v>
      </c>
      <c r="B20" s="254" t="s">
        <v>2446</v>
      </c>
      <c r="C20" s="276">
        <f ca="1">ROUND((C5+C19)*F20,0)</f>
        <v>272059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9">
        <f ca="1">ROUND(SUM(C23:C25),0)</f>
        <v>990266</v>
      </c>
      <c r="D22" s="279">
        <f ca="1">C26</f>
        <v>1.1000000000000001E-3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0">
        <f ca="1">ROUND(IF('数据-取费表'!B22&lt;=1,C5*F22*'数据-取费表'!B22,C5*(POWER((1+F22),'数据-取费表'!B22)-1)),0)</f>
        <v>420270</v>
      </c>
      <c r="D23" s="282"/>
      <c r="E23" s="282"/>
      <c r="F23" s="283"/>
      <c r="G23" s="284" t="s">
        <v>2455</v>
      </c>
    </row>
    <row r="24" spans="1:7" s="258" customFormat="1" ht="13.5" customHeight="1">
      <c r="A24" s="954" t="s">
        <v>2345</v>
      </c>
      <c r="B24" s="259" t="s">
        <v>2456</v>
      </c>
      <c r="C24" s="1380">
        <f ca="1">ROUND(IF('数据-取费表'!B22&lt;=1,C19*F22*('数据-取费表'!B19/2+'数据-取费表'!B20),C19*(POWER((1+F22),('数据-取费表'!B19/2+'数据-取费表'!B20))-1)),0)</f>
        <v>560360</v>
      </c>
      <c r="D24" s="282"/>
      <c r="E24" s="282"/>
      <c r="F24" s="283"/>
      <c r="G24" s="284" t="s">
        <v>2457</v>
      </c>
    </row>
    <row r="25" spans="1:7" s="258" customFormat="1" ht="24">
      <c r="A25" s="954" t="s">
        <v>2347</v>
      </c>
      <c r="B25" s="259" t="s">
        <v>2458</v>
      </c>
      <c r="C25" s="1380">
        <f ca="1">ROUND(IF('数据-取费表'!B22&lt;=1,C20*F22*'数据-取费表'!B22/2,C20*(POWER((1+F22),'数据-取费表'!B22/2)-1)),0)</f>
        <v>9636</v>
      </c>
      <c r="D25" s="282"/>
      <c r="E25" s="285"/>
      <c r="F25" s="283"/>
      <c r="G25" s="286" t="s">
        <v>2459</v>
      </c>
    </row>
    <row r="26" spans="1:7" s="258" customFormat="1">
      <c r="A26" s="954" t="s">
        <v>795</v>
      </c>
      <c r="B26" s="259" t="s">
        <v>2382</v>
      </c>
      <c r="C26" s="282">
        <f ca="1">ROUND(IF('数据-取费表'!B22&lt;=1,F21*F22*'数据-取费表'!B22/2,F21*(POWER((1+F22),'数据-取费表'!B22/2)-1)),4)</f>
        <v>1.1000000000000001E-3</v>
      </c>
      <c r="D26" s="282"/>
      <c r="E26" s="285"/>
      <c r="F26" s="283"/>
      <c r="G26" s="287"/>
    </row>
    <row r="27" spans="1:7" s="258" customFormat="1" ht="24.75">
      <c r="A27" s="299" t="s">
        <v>2383</v>
      </c>
      <c r="B27" s="288" t="s">
        <v>2384</v>
      </c>
      <c r="C27" s="289">
        <f ca="1">C28</f>
        <v>2081253</v>
      </c>
      <c r="D27" s="279">
        <f ca="1">C29</f>
        <v>4.4999999999999997E-3</v>
      </c>
      <c r="E27" s="280" t="s">
        <v>2385</v>
      </c>
      <c r="F27" s="290">
        <f ca="1">IF(B1="",'数据-取费表'!Q16,INDIRECT("'数据-取费表'!q"&amp;$G$1))</f>
        <v>0.15</v>
      </c>
      <c r="G27" s="291" t="s">
        <v>2386</v>
      </c>
    </row>
    <row r="28" spans="1:7" s="258" customFormat="1" ht="13.5" customHeight="1">
      <c r="A28" s="954" t="s">
        <v>791</v>
      </c>
      <c r="B28" s="292" t="s">
        <v>2387</v>
      </c>
      <c r="C28" s="293">
        <f ca="1">ROUND((C5+C19+C20)*F27,0)</f>
        <v>2081253</v>
      </c>
      <c r="D28" s="279"/>
      <c r="E28" s="280"/>
      <c r="F28" s="290"/>
      <c r="G28" s="291"/>
    </row>
    <row r="29" spans="1:7" s="258" customFormat="1" ht="13.5" customHeight="1">
      <c r="A29" s="954"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18581730</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97125135</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85504320</v>
      </c>
      <c r="D34" s="261"/>
      <c r="E34" s="264"/>
      <c r="F34" s="301"/>
      <c r="G34" s="263"/>
    </row>
    <row r="35" spans="1:7" ht="13.5" customHeight="1">
      <c r="A35" s="954" t="s">
        <v>796</v>
      </c>
      <c r="B35" s="259" t="s">
        <v>2398</v>
      </c>
      <c r="C35" s="264">
        <f ca="1">ROUND(C34*F35,0)</f>
        <v>2565130</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7773120</v>
      </c>
      <c r="D37" s="261">
        <f ca="1">D19</f>
        <v>38865.599999999999</v>
      </c>
      <c r="E37" s="293">
        <f>'数据-取费表'!B35</f>
        <v>200</v>
      </c>
      <c r="F37" s="303"/>
      <c r="G37" s="305"/>
    </row>
    <row r="38" spans="1:7" ht="13.5" customHeight="1">
      <c r="A38" s="954" t="s">
        <v>799</v>
      </c>
      <c r="B38" s="259" t="s">
        <v>2404</v>
      </c>
      <c r="C38" s="264">
        <f ca="1">ROUND(C34*F38,0)</f>
        <v>1282565</v>
      </c>
      <c r="D38" s="264"/>
      <c r="E38" s="264"/>
      <c r="F38" s="303">
        <f>'数据-取费表'!B36</f>
        <v>1.4999999999999999E-2</v>
      </c>
      <c r="G38" s="263" t="s">
        <v>2399</v>
      </c>
    </row>
    <row r="39" spans="1:7" s="258" customFormat="1" ht="13.5" customHeight="1">
      <c r="A39" s="299" t="s">
        <v>2405</v>
      </c>
      <c r="B39" s="254" t="s">
        <v>2406</v>
      </c>
      <c r="C39" s="276">
        <f ca="1">ROUND(C33*F20,0)</f>
        <v>1942503</v>
      </c>
      <c r="D39" s="276"/>
      <c r="E39" s="276"/>
      <c r="F39" s="277"/>
      <c r="G39" s="278" t="s">
        <v>2407</v>
      </c>
    </row>
    <row r="40" spans="1:7" s="258" customFormat="1" ht="13.5" customHeight="1">
      <c r="A40" s="299" t="s">
        <v>2408</v>
      </c>
      <c r="B40" s="254" t="s">
        <v>2409</v>
      </c>
      <c r="C40" s="1726">
        <f>F21</f>
        <v>0.03</v>
      </c>
      <c r="D40" s="280" t="s">
        <v>2410</v>
      </c>
      <c r="E40" s="276"/>
      <c r="F40" s="277"/>
      <c r="G40" s="278" t="s">
        <v>2411</v>
      </c>
    </row>
    <row r="41" spans="1:7" s="258" customFormat="1" ht="13.5" customHeight="1">
      <c r="A41" s="299" t="s">
        <v>2412</v>
      </c>
      <c r="B41" s="254" t="s">
        <v>2413</v>
      </c>
      <c r="C41" s="276">
        <f ca="1">ROUND(SUM(C42:C43),0)</f>
        <v>3508734</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3439935</v>
      </c>
      <c r="D42" s="282"/>
      <c r="E42" s="282"/>
      <c r="F42" s="283"/>
      <c r="G42" s="3155" t="s">
        <v>2462</v>
      </c>
    </row>
    <row r="43" spans="1:7" ht="13.5" customHeight="1">
      <c r="A43" s="954" t="s">
        <v>792</v>
      </c>
      <c r="B43" s="259" t="s">
        <v>2416</v>
      </c>
      <c r="C43" s="282">
        <f ca="1">ROUND(IF('数据-取费表'!B22&lt;=1,C39*F22*'数据-取费表'!B20/2,C39*(POWER((1+F22),'数据-取费表'!B20/2)-1)),0)</f>
        <v>68799</v>
      </c>
      <c r="D43" s="282"/>
      <c r="E43" s="282"/>
      <c r="F43" s="283"/>
      <c r="G43" s="3156"/>
    </row>
    <row r="44" spans="1:7" ht="13.5" customHeight="1">
      <c r="A44" s="954" t="s">
        <v>793</v>
      </c>
      <c r="B44" s="259" t="s">
        <v>2417</v>
      </c>
      <c r="C44" s="282">
        <f ca="1">ROUND(IF('数据-取费表'!B22&lt;=1,C40*F22*'数据-取费表'!B20/2,C40*(POWER((1+F22),'数据-取费表'!B20/2)-1)),4)</f>
        <v>1.1000000000000001E-3</v>
      </c>
      <c r="D44" s="282"/>
      <c r="E44" s="282"/>
      <c r="F44" s="283"/>
      <c r="G44" s="3157"/>
    </row>
    <row r="45" spans="1:7" s="258" customFormat="1" ht="13.5" customHeight="1">
      <c r="A45" s="299" t="s">
        <v>2418</v>
      </c>
      <c r="B45" s="288" t="s">
        <v>2384</v>
      </c>
      <c r="C45" s="289">
        <f ca="1">C46</f>
        <v>14860146</v>
      </c>
      <c r="D45" s="279">
        <f ca="1">C47</f>
        <v>4.4999999999999997E-3</v>
      </c>
      <c r="E45" s="280" t="s">
        <v>2410</v>
      </c>
      <c r="F45" s="290"/>
      <c r="G45" s="291" t="s">
        <v>2419</v>
      </c>
    </row>
    <row r="46" spans="1:7" s="258" customFormat="1" ht="13.5" customHeight="1">
      <c r="A46" s="954" t="s">
        <v>791</v>
      </c>
      <c r="B46" s="292" t="s">
        <v>2420</v>
      </c>
      <c r="C46" s="293">
        <f ca="1">ROUND((C33+C39)*F27,0)</f>
        <v>14860146</v>
      </c>
      <c r="D46" s="307"/>
      <c r="E46" s="280"/>
      <c r="F46" s="290"/>
      <c r="G46" s="291"/>
    </row>
    <row r="47" spans="1:7" s="258" customFormat="1" ht="13.5" customHeight="1">
      <c r="A47" s="954"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128768112</v>
      </c>
      <c r="D49" s="276"/>
      <c r="E49" s="276"/>
      <c r="F49" s="308"/>
      <c r="G49" s="278" t="s">
        <v>2425</v>
      </c>
    </row>
    <row r="50" spans="1:7" s="302" customFormat="1">
      <c r="A50" s="299" t="s">
        <v>2426</v>
      </c>
      <c r="B50" s="254" t="s">
        <v>2427</v>
      </c>
      <c r="C50" s="276"/>
      <c r="D50" s="276"/>
      <c r="E50" s="276"/>
      <c r="F50" s="308">
        <f>IF('数据-取费表'!B24=0,'数据-取费表'!N16,1)</f>
        <v>0.88</v>
      </c>
      <c r="G50" s="291"/>
    </row>
    <row r="51" spans="1:7" ht="16.5" customHeight="1">
      <c r="A51" s="299" t="s">
        <v>2429</v>
      </c>
      <c r="B51" s="254" t="s">
        <v>2464</v>
      </c>
      <c r="C51" s="276">
        <f ca="1">ROUND(C49*F50,0)</f>
        <v>113315939</v>
      </c>
      <c r="D51" s="276"/>
      <c r="E51" s="276"/>
      <c r="F51" s="308"/>
      <c r="G51" s="278" t="s">
        <v>2431</v>
      </c>
    </row>
    <row r="52" spans="1:7" s="252" customFormat="1" ht="16.5" thickBot="1">
      <c r="A52" s="309" t="s">
        <v>2432</v>
      </c>
      <c r="B52" s="310"/>
      <c r="C52" s="311">
        <f ca="1">C31+C51</f>
        <v>131897669</v>
      </c>
      <c r="D52" s="310"/>
      <c r="E52" s="310"/>
      <c r="F52" s="310"/>
      <c r="G52" s="312"/>
    </row>
    <row r="55" spans="1:7" ht="15">
      <c r="B55" s="314" t="s">
        <v>2433</v>
      </c>
      <c r="C55" s="315"/>
    </row>
    <row r="56" spans="1:7">
      <c r="B56" s="317" t="s">
        <v>1513</v>
      </c>
      <c r="C56" s="319">
        <f ca="1">1-C57</f>
        <v>0.14100000000000001</v>
      </c>
    </row>
    <row r="57" spans="1:7">
      <c r="B57" s="317" t="s">
        <v>1514</v>
      </c>
      <c r="C57" s="318">
        <f ca="1">ROUND(C51/C52,3)</f>
        <v>0.85899999999999999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0"/>
      <c r="C1" s="1581"/>
      <c r="D1" s="1579"/>
      <c r="E1" s="320"/>
      <c r="F1" s="320"/>
      <c r="G1" s="1580"/>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48" t="s">
        <v>2471</v>
      </c>
      <c r="D5" s="2548" t="s">
        <v>2472</v>
      </c>
      <c r="E5" s="2548" t="s">
        <v>2473</v>
      </c>
      <c r="F5" s="2548"/>
      <c r="G5" s="2548"/>
      <c r="H5" s="2548"/>
      <c r="I5" s="2548"/>
      <c r="J5" s="2548"/>
      <c r="K5" s="254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49"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38865.599999999999</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77"/>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38865.599999999999</v>
      </c>
      <c r="E17" s="24">
        <f>'数据-取费表'!B32</f>
        <v>0</v>
      </c>
      <c r="F17" s="981"/>
      <c r="G17" s="140" t="s">
        <v>2497</v>
      </c>
      <c r="H17" s="1577"/>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50"/>
      <c r="H18" s="1576"/>
      <c r="I18" s="2551"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78"/>
      <c r="I19" s="984"/>
      <c r="J19" s="984"/>
      <c r="K19" s="985"/>
    </row>
    <row r="20" spans="1:33" s="978" customFormat="1" ht="13.5" customHeight="1">
      <c r="A20" s="974" t="s">
        <v>806</v>
      </c>
      <c r="B20" s="975" t="s">
        <v>2501</v>
      </c>
      <c r="C20" s="24">
        <f ca="1">ROUND(D20*E20/10000,0)</f>
        <v>583</v>
      </c>
      <c r="D20" s="1036">
        <f ca="1">IF(C1="",'数据-汇总表'!E6,IF(INDIRECT("'数据-取费表'!c"&amp;$K$1)="住宅",INDIRECT("'数据-取费表'!s"&amp;$K$1),INDIRECT("'数据-取费表'!k"&amp;$K$1)+INDIRECT("'数据-取费表'!s"&amp;$K$1)))</f>
        <v>38865.599999999999</v>
      </c>
      <c r="E20" s="24">
        <f>'数据-取费表'!B28</f>
        <v>150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56">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57">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82"/>
      <c r="I27" s="982"/>
      <c r="J27" s="982"/>
      <c r="K27" s="983"/>
    </row>
    <row r="28" spans="1:33" s="333" customFormat="1" ht="13.5" customHeight="1">
      <c r="A28" s="964" t="s">
        <v>2515</v>
      </c>
      <c r="B28" s="2553" t="s">
        <v>2516</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54"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2"/>
      <c r="C1" s="1833" t="s">
        <v>27</v>
      </c>
      <c r="D1" s="1816" t="s">
        <v>70</v>
      </c>
      <c r="E1" s="1817" t="s">
        <v>1387</v>
      </c>
      <c r="F1" s="1282">
        <f ca="1">J53</f>
        <v>29.04</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1515</v>
      </c>
      <c r="B2" s="1840">
        <f ca="1">C40+J29+L46</f>
        <v>18797</v>
      </c>
      <c r="C2" s="1841" t="s">
        <v>1516</v>
      </c>
      <c r="D2" s="1841"/>
      <c r="E2" s="1842"/>
      <c r="F2" s="1843"/>
      <c r="G2" s="1844"/>
      <c r="H2" s="1836"/>
      <c r="I2" s="1836"/>
      <c r="J2" s="1836"/>
      <c r="K2" s="1837"/>
      <c r="L2" s="1836"/>
      <c r="M2" s="1836"/>
    </row>
    <row r="3" spans="1:37" ht="18" customHeight="1" thickBot="1">
      <c r="A3" s="1845" t="s">
        <v>1517</v>
      </c>
      <c r="B3" s="1846">
        <f ca="1">IF(ISERROR(B2*10000/F43),0,ROUND(B2*10000/F43,0))</f>
        <v>4836</v>
      </c>
      <c r="C3" s="1841" t="s">
        <v>1518</v>
      </c>
      <c r="D3" s="1841"/>
      <c r="E3" s="1842"/>
      <c r="F3" s="1843"/>
      <c r="G3" s="1844"/>
      <c r="H3" s="744"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91">
        <f ca="1">C6+C10+C12</f>
        <v>1534</v>
      </c>
      <c r="D5" s="1818" t="s">
        <v>1402</v>
      </c>
      <c r="E5" s="1292"/>
      <c r="F5" s="1293"/>
      <c r="G5" s="1847"/>
      <c r="H5" s="344">
        <v>1</v>
      </c>
      <c r="I5" s="345" t="s">
        <v>1401</v>
      </c>
      <c r="J5" s="1291">
        <f ca="1">J6+J10+J12</f>
        <v>0</v>
      </c>
      <c r="K5" s="1818" t="s">
        <v>1402</v>
      </c>
      <c r="L5" s="1292"/>
      <c r="M5" s="1293"/>
    </row>
    <row r="6" spans="1:37" ht="18" customHeight="1">
      <c r="A6" s="1290" t="s">
        <v>1035</v>
      </c>
      <c r="B6" s="3203" t="s">
        <v>1403</v>
      </c>
      <c r="C6" s="1295">
        <f ca="1">ROUND(F6*F8*F7*(1-F9)/10000,0)</f>
        <v>1532</v>
      </c>
      <c r="D6" s="164" t="s">
        <v>3032</v>
      </c>
      <c r="E6" s="347" t="s">
        <v>1405</v>
      </c>
      <c r="F6" s="348">
        <f ca="1">INDIRECT("'数据-取费表'!u"&amp;$G$1)</f>
        <v>1.2</v>
      </c>
      <c r="G6" s="1847"/>
      <c r="H6" s="1290" t="s">
        <v>1035</v>
      </c>
      <c r="I6" s="3203" t="s">
        <v>1403</v>
      </c>
      <c r="J6" s="346">
        <f ca="1">ROUND(M6*M8*M7*(1-M9)/10000,0)</f>
        <v>0</v>
      </c>
      <c r="K6" s="164" t="s">
        <v>3031</v>
      </c>
      <c r="L6" s="347" t="s">
        <v>1405</v>
      </c>
      <c r="M6" s="348">
        <f ca="1">INDIRECT("'数据-取费表'!z"&amp;$G$1)</f>
        <v>0</v>
      </c>
    </row>
    <row r="7" spans="1:37" ht="18" customHeight="1">
      <c r="A7" s="1294"/>
      <c r="B7" s="3204"/>
      <c r="C7" s="1296"/>
      <c r="D7" s="352"/>
      <c r="E7" s="1297" t="s">
        <v>1406</v>
      </c>
      <c r="F7" s="348">
        <f ca="1">IF(INDIRECT("'数据-取费表'!ah"&amp;$G$1)="",INDIRECT("'数据-取费表'!k"&amp;$G$1),INDIRECT("'数据-取费表'!ah"&amp;$G$1))</f>
        <v>38865.599999999999</v>
      </c>
      <c r="G7" s="1847"/>
      <c r="H7" s="349"/>
      <c r="I7" s="3204"/>
      <c r="J7" s="351"/>
      <c r="K7" s="352"/>
      <c r="L7" s="347" t="s">
        <v>1406</v>
      </c>
      <c r="M7" s="348">
        <f ca="1">F7</f>
        <v>38865.599999999999</v>
      </c>
    </row>
    <row r="8" spans="1:37" ht="18" customHeight="1">
      <c r="A8" s="349"/>
      <c r="B8" s="3204"/>
      <c r="C8" s="351"/>
      <c r="D8" s="352"/>
      <c r="E8" s="347" t="s">
        <v>1407</v>
      </c>
      <c r="F8" s="348">
        <f ca="1">INDIRECT("'数据-取费表'!ai"&amp;$G$1)</f>
        <v>365</v>
      </c>
      <c r="G8" s="1847"/>
      <c r="H8" s="349"/>
      <c r="I8" s="3204"/>
      <c r="J8" s="351"/>
      <c r="K8" s="352"/>
      <c r="L8" s="347" t="s">
        <v>1407</v>
      </c>
      <c r="M8" s="348">
        <f ca="1">INDIRECT("'数据-取费表'!ai"&amp;$G$1)</f>
        <v>365</v>
      </c>
    </row>
    <row r="9" spans="1:37" ht="18" customHeight="1">
      <c r="A9" s="349"/>
      <c r="B9" s="3205"/>
      <c r="C9" s="351"/>
      <c r="D9" s="352"/>
      <c r="E9" s="347" t="s">
        <v>1408</v>
      </c>
      <c r="F9" s="357">
        <f ca="1">INDIRECT("'数据-取费表'!w"&amp;$G$1)</f>
        <v>0.1</v>
      </c>
      <c r="G9" s="1847"/>
      <c r="H9" s="349"/>
      <c r="I9" s="3205"/>
      <c r="J9" s="351"/>
      <c r="K9" s="352"/>
      <c r="L9" s="358" t="s">
        <v>1408</v>
      </c>
      <c r="M9" s="359">
        <f ca="1">INDIRECT("'数据-取费表'!ab"&amp;$G$1)</f>
        <v>0</v>
      </c>
    </row>
    <row r="10" spans="1:37" ht="18" customHeight="1">
      <c r="A10" s="1290" t="s">
        <v>1039</v>
      </c>
      <c r="B10" s="1819" t="s">
        <v>1409</v>
      </c>
      <c r="C10" s="361">
        <f ca="1">ROUND(IF(F10="押一",C6/12*F11,IF(F10="押二",C6/12*2*F11,IF(F10="押三",C6/12*3*F11,C11*F11))),0)</f>
        <v>2</v>
      </c>
      <c r="D10" s="1820" t="s">
        <v>3041</v>
      </c>
      <c r="E10" s="358" t="s">
        <v>1410</v>
      </c>
      <c r="F10" s="1365" t="s">
        <v>3150</v>
      </c>
      <c r="G10" s="1847"/>
      <c r="H10" s="1290" t="s">
        <v>1039</v>
      </c>
      <c r="I10" s="1819" t="s">
        <v>1409</v>
      </c>
      <c r="J10" s="346">
        <f ca="1">ROUND(IF(M10="押一",J6/12*M11,IF(M10="押二",J6/12*2*M11,IF(M10="押三",J6/12*3*M11,J11*M11))),0)</f>
        <v>0</v>
      </c>
      <c r="K10" s="1820" t="s">
        <v>3040</v>
      </c>
      <c r="L10" s="358" t="s">
        <v>1410</v>
      </c>
      <c r="M10" s="1365" t="s">
        <v>1411</v>
      </c>
    </row>
    <row r="11" spans="1:37" ht="18" customHeight="1">
      <c r="A11" s="353"/>
      <c r="B11" s="1821" t="s">
        <v>1388</v>
      </c>
      <c r="C11" s="1178"/>
      <c r="D11" s="1822"/>
      <c r="E11" s="358" t="s">
        <v>1412</v>
      </c>
      <c r="F11" s="359">
        <f ca="1">'数据-取费表'!B39</f>
        <v>1.4999999999999999E-2</v>
      </c>
      <c r="G11" s="1847"/>
      <c r="H11" s="1298"/>
      <c r="I11" s="1821" t="s">
        <v>1388</v>
      </c>
      <c r="J11" s="1178"/>
      <c r="K11" s="748"/>
      <c r="L11" s="358" t="s">
        <v>1412</v>
      </c>
      <c r="M11" s="1059">
        <f ca="1">'数据-取费表'!B39</f>
        <v>1.4999999999999999E-2</v>
      </c>
    </row>
    <row r="12" spans="1:37" ht="18" customHeight="1" thickBot="1">
      <c r="A12" s="1332" t="s">
        <v>1075</v>
      </c>
      <c r="B12" s="1823" t="s">
        <v>1413</v>
      </c>
      <c r="C12" s="1333"/>
      <c r="D12" s="1334"/>
      <c r="E12" s="1339"/>
      <c r="F12" s="1335"/>
      <c r="G12" s="1847"/>
      <c r="H12" s="1332" t="s">
        <v>1075</v>
      </c>
      <c r="I12" s="1823" t="s">
        <v>1413</v>
      </c>
      <c r="J12" s="1333"/>
      <c r="K12" s="1347"/>
      <c r="L12" s="1339"/>
      <c r="M12" s="1348"/>
    </row>
    <row r="13" spans="1:37" ht="18" customHeight="1" thickTop="1">
      <c r="A13" s="1328">
        <v>2</v>
      </c>
      <c r="B13" s="1329" t="s">
        <v>1414</v>
      </c>
      <c r="C13" s="355">
        <f ca="1">ROUND(C29*F13,0)</f>
        <v>11331</v>
      </c>
      <c r="D13" s="1330" t="s">
        <v>1415</v>
      </c>
      <c r="E13" s="1330" t="s">
        <v>1416</v>
      </c>
      <c r="F13" s="1331">
        <f ca="1">INDIRECT("'数据-取费表'!y"&amp;$G$1)</f>
        <v>0.88</v>
      </c>
      <c r="G13" s="1847"/>
      <c r="H13" s="1328">
        <v>2</v>
      </c>
      <c r="I13" s="1329" t="s">
        <v>1414</v>
      </c>
      <c r="J13" s="1289">
        <f ca="1">ROUND(J14*J15,0)</f>
        <v>0</v>
      </c>
      <c r="K13" s="1336" t="s">
        <v>1415</v>
      </c>
      <c r="L13" s="1848"/>
      <c r="M13" s="1849"/>
    </row>
    <row r="14" spans="1:37" ht="18" customHeight="1">
      <c r="A14" s="1201" t="s">
        <v>1034</v>
      </c>
      <c r="B14" s="347" t="s">
        <v>1417</v>
      </c>
      <c r="C14" s="363">
        <f ca="1">INDIRECT("'数据-取费表'!m"&amp;$G$1)+INDIRECT("'数据-取费表'!t"&amp;$G$1)</f>
        <v>8550</v>
      </c>
      <c r="D14" s="1796" t="s">
        <v>1418</v>
      </c>
      <c r="E14" s="1790"/>
      <c r="F14" s="364"/>
      <c r="G14" s="1847"/>
      <c r="H14" s="1201" t="s">
        <v>1035</v>
      </c>
      <c r="I14" s="347" t="s">
        <v>1419</v>
      </c>
      <c r="J14" s="24">
        <f ca="1">C29</f>
        <v>12876</v>
      </c>
      <c r="K14" s="15"/>
      <c r="L14" s="982"/>
      <c r="M14" s="983"/>
    </row>
    <row r="15" spans="1:37" s="1854" customFormat="1" ht="18" customHeight="1" thickBot="1">
      <c r="A15" s="1201" t="s">
        <v>1036</v>
      </c>
      <c r="B15" s="347" t="s">
        <v>1420</v>
      </c>
      <c r="C15" s="24">
        <f ca="1">ROUND(C14*F15,0)</f>
        <v>257</v>
      </c>
      <c r="D15" s="365" t="s">
        <v>1421</v>
      </c>
      <c r="E15" s="365" t="s">
        <v>1422</v>
      </c>
      <c r="F15" s="366">
        <f>'数据-取费表'!B33</f>
        <v>0.03</v>
      </c>
      <c r="G15" s="1850"/>
      <c r="H15" s="1338" t="s">
        <v>1039</v>
      </c>
      <c r="I15" s="1339" t="s">
        <v>1416</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7"/>
      <c r="H16" s="1328" t="s">
        <v>1030</v>
      </c>
      <c r="I16" s="1329" t="s">
        <v>1424</v>
      </c>
      <c r="J16" s="355">
        <f ca="1">ROUND(J17+J22+J23+J24,0)</f>
        <v>351</v>
      </c>
      <c r="K16" s="1336" t="s">
        <v>1425</v>
      </c>
      <c r="L16" s="1337"/>
      <c r="M16" s="1293"/>
    </row>
    <row r="17" spans="1:37" s="1854" customFormat="1" ht="18" customHeight="1">
      <c r="A17" s="1201" t="s">
        <v>1390</v>
      </c>
      <c r="B17" s="347" t="s">
        <v>1426</v>
      </c>
      <c r="C17" s="24">
        <f ca="1">ROUND(F17*(F43+INDIRECT("'数据-取费表'!S"&amp;$G$1))/10000,0)</f>
        <v>777</v>
      </c>
      <c r="D17" s="347" t="s">
        <v>1427</v>
      </c>
      <c r="E17" s="347" t="s">
        <v>1428</v>
      </c>
      <c r="F17" s="26">
        <f>'数据-取费表'!B35</f>
        <v>200</v>
      </c>
      <c r="G17" s="1850"/>
      <c r="H17" s="1201" t="s">
        <v>1035</v>
      </c>
      <c r="I17" s="347" t="s">
        <v>1429</v>
      </c>
      <c r="J17" s="24">
        <f ca="1">ROUND(IF(项目基本情况!B11="自然人",J5*M17,J18+J19+J20),1)</f>
        <v>157.9</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1" t="s">
        <v>1391</v>
      </c>
      <c r="B18" s="347" t="s">
        <v>1432</v>
      </c>
      <c r="C18" s="24">
        <f ca="1">ROUND(C14*F18,0)</f>
        <v>128</v>
      </c>
      <c r="D18" s="347" t="s">
        <v>1421</v>
      </c>
      <c r="E18" s="347" t="s">
        <v>1422</v>
      </c>
      <c r="F18" s="367">
        <f>'数据-取费表'!B36</f>
        <v>1.4999999999999999E-2</v>
      </c>
      <c r="G18" s="1850"/>
      <c r="H18" s="1201" t="s">
        <v>1034</v>
      </c>
      <c r="I18" s="347" t="s">
        <v>1433</v>
      </c>
      <c r="J18" s="24">
        <f ca="1">ROUND(J5*M18/(1+'数据-取费表'!C42),2)</f>
        <v>0</v>
      </c>
      <c r="K18" s="1794" t="s">
        <v>1434</v>
      </c>
      <c r="L18" s="347" t="s">
        <v>1422</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1" t="s">
        <v>1035</v>
      </c>
      <c r="B19" s="347" t="s">
        <v>1435</v>
      </c>
      <c r="C19" s="24">
        <f ca="1">SUM(C14:C18)</f>
        <v>9712</v>
      </c>
      <c r="D19" s="140" t="s">
        <v>1436</v>
      </c>
      <c r="E19" s="1814"/>
      <c r="F19" s="26"/>
      <c r="G19" s="1847"/>
      <c r="H19" s="1201" t="s">
        <v>1036</v>
      </c>
      <c r="I19" s="347" t="s">
        <v>1437</v>
      </c>
      <c r="J19" s="24">
        <f ca="1">IF(K19="按租金收入计税",ROUND(J5*M19,2),ROUND(C29*M19*0.7,2))</f>
        <v>108.16</v>
      </c>
      <c r="K19" s="1824" t="s">
        <v>1438</v>
      </c>
      <c r="L19" s="347" t="s">
        <v>1422</v>
      </c>
      <c r="M19" s="367">
        <f>IF(K19="按租金收入计税",'数据-取费表'!B51,'数据-取费表'!B50)</f>
        <v>1.2E-2</v>
      </c>
    </row>
    <row r="20" spans="1:37" s="1854" customFormat="1" ht="18" customHeight="1">
      <c r="A20" s="1201" t="s">
        <v>1039</v>
      </c>
      <c r="B20" s="347" t="s">
        <v>1439</v>
      </c>
      <c r="C20" s="24">
        <f ca="1">ROUND(C19*F20,0)</f>
        <v>194</v>
      </c>
      <c r="D20" s="369" t="s">
        <v>1440</v>
      </c>
      <c r="E20" s="347" t="s">
        <v>1422</v>
      </c>
      <c r="F20" s="367">
        <f>'数据-取费表'!B37</f>
        <v>0.02</v>
      </c>
      <c r="G20" s="1850"/>
      <c r="H20" s="1201" t="s">
        <v>1389</v>
      </c>
      <c r="I20" s="164" t="s">
        <v>1441</v>
      </c>
      <c r="J20" s="25">
        <f ca="1">ROUND(M20*M21/10000,2)</f>
        <v>49.73</v>
      </c>
      <c r="K20" s="370" t="s">
        <v>1442</v>
      </c>
      <c r="L20" s="347" t="s">
        <v>1443</v>
      </c>
      <c r="M20" s="371">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1" t="s">
        <v>1075</v>
      </c>
      <c r="B21" s="347" t="s">
        <v>1444</v>
      </c>
      <c r="C21" s="24" t="s">
        <v>18</v>
      </c>
      <c r="D21" s="369" t="s">
        <v>1445</v>
      </c>
      <c r="E21" s="347" t="s">
        <v>1446</v>
      </c>
      <c r="F21" s="367">
        <f>'数据-取费表'!B38</f>
        <v>0.03</v>
      </c>
      <c r="G21" s="1850"/>
      <c r="H21" s="372"/>
      <c r="I21" s="356"/>
      <c r="J21" s="29"/>
      <c r="K21" s="373"/>
      <c r="L21" s="347" t="s">
        <v>1447</v>
      </c>
      <c r="M21" s="348">
        <f ca="1">INDIRECT("'数据-取费表'!r"&amp;$G$1)</f>
        <v>49727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4"/>
      <c r="F22" s="26"/>
      <c r="G22" s="1847"/>
      <c r="H22" s="1201" t="s">
        <v>1039</v>
      </c>
      <c r="I22" s="347" t="s">
        <v>1449</v>
      </c>
      <c r="J22" s="24">
        <f ca="1">ROUND(J14*M22,1)</f>
        <v>193.1</v>
      </c>
      <c r="K22" s="1794" t="s">
        <v>1450</v>
      </c>
      <c r="L22" s="347" t="s">
        <v>1422</v>
      </c>
      <c r="M22" s="374">
        <f ca="1">INDIRECT("'数据-取费表'!Ak"&amp;$G$1)</f>
        <v>1.4999999999999999E-2</v>
      </c>
    </row>
    <row r="23" spans="1:37" s="1854" customFormat="1" ht="18" customHeight="1">
      <c r="A23" s="1201" t="s">
        <v>1034</v>
      </c>
      <c r="B23" s="347" t="s">
        <v>1451</v>
      </c>
      <c r="C23" s="24">
        <f ca="1">IF('数据-取费表'!B22&lt;=1,ROUND(C19*F24*F23/2,0)+ROUND(C20*F24*F23/2,0),ROUND(C19*(POWER((1+F24),F23/2)-1),0)+ROUND(C20*(POWER((1+F24),F23/2)-1),0))</f>
        <v>351</v>
      </c>
      <c r="D23" s="375" t="str">
        <f>IF(F23&lt;=1,"(建造成本+管理费用)×利率×(建设周期÷2)","(建造成本+管理费用)×((1+利率)^(建设周期÷2)-1)")</f>
        <v>(建造成本+管理费用)×((1+利率)^(建设周期÷2)-1)</v>
      </c>
      <c r="E23" s="347" t="s">
        <v>1452</v>
      </c>
      <c r="F23" s="371">
        <f>'数据-取费表'!B20</f>
        <v>1.5</v>
      </c>
      <c r="G23" s="1850"/>
      <c r="H23" s="1201" t="s">
        <v>1075</v>
      </c>
      <c r="I23" s="347" t="s">
        <v>1453</v>
      </c>
      <c r="J23" s="24">
        <f ca="1">ROUND(J13*M23,1)</f>
        <v>0</v>
      </c>
      <c r="K23" s="1794" t="s">
        <v>1454</v>
      </c>
      <c r="L23" s="347" t="s">
        <v>1455</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1"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0"/>
      <c r="H24" s="1338" t="s">
        <v>1393</v>
      </c>
      <c r="I24" s="1339" t="s">
        <v>1439</v>
      </c>
      <c r="J24" s="1340">
        <f ca="1">ROUND(J5*M24,1)</f>
        <v>0</v>
      </c>
      <c r="K24" s="1341" t="s">
        <v>1459</v>
      </c>
      <c r="L24" s="1339" t="s">
        <v>1455</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1" t="s">
        <v>1460</v>
      </c>
      <c r="B25" s="347" t="s">
        <v>1461</v>
      </c>
      <c r="C25" s="24"/>
      <c r="D25" s="140" t="s">
        <v>1462</v>
      </c>
      <c r="E25" s="1814"/>
      <c r="F25" s="26"/>
      <c r="G25" s="1847"/>
      <c r="H25" s="1328" t="s">
        <v>1031</v>
      </c>
      <c r="I25" s="1343" t="s">
        <v>1463</v>
      </c>
      <c r="J25" s="355">
        <f ca="1">J5-J16</f>
        <v>-351</v>
      </c>
      <c r="K25" s="1344" t="s">
        <v>1464</v>
      </c>
      <c r="L25" s="1345"/>
      <c r="M25" s="1346"/>
    </row>
    <row r="26" spans="1:37">
      <c r="A26" s="1201" t="s">
        <v>1034</v>
      </c>
      <c r="B26" s="347" t="s">
        <v>1465</v>
      </c>
      <c r="C26" s="24">
        <f ca="1">ROUND((C19+C20)*F26,0)</f>
        <v>1486</v>
      </c>
      <c r="D26" s="369" t="s">
        <v>1466</v>
      </c>
      <c r="E26" s="358" t="s">
        <v>1467</v>
      </c>
      <c r="F26" s="357">
        <f ca="1">INDIRECT("'数据-取费表'!q"&amp;$G$1)</f>
        <v>0.15</v>
      </c>
      <c r="G26" s="1847"/>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4.4999999999999997E-3</v>
      </c>
      <c r="D27" s="369" t="s">
        <v>1472</v>
      </c>
      <c r="E27" s="365"/>
      <c r="F27" s="366"/>
      <c r="G27" s="1847"/>
      <c r="H27" s="349"/>
      <c r="I27" s="350"/>
      <c r="J27" s="351"/>
      <c r="K27" s="378" t="s">
        <v>1473</v>
      </c>
      <c r="L27" s="347" t="s">
        <v>1474</v>
      </c>
      <c r="M27" s="379">
        <f ca="1">INDIRECT("'数据-取费表'!ag"&amp;$G$1)</f>
        <v>0</v>
      </c>
    </row>
    <row r="28" spans="1:37" s="1854" customFormat="1" ht="18" customHeight="1">
      <c r="A28" s="1201" t="s">
        <v>1037</v>
      </c>
      <c r="B28" s="347" t="s">
        <v>1475</v>
      </c>
      <c r="C28" s="24">
        <f>ROUND(F28/(1+'数据-取费表'!C42),4)</f>
        <v>5.2400000000000002E-2</v>
      </c>
      <c r="D28" s="369" t="s">
        <v>1476</v>
      </c>
      <c r="E28" s="347" t="s">
        <v>1422</v>
      </c>
      <c r="F28" s="367">
        <f>'数据-取费表'!B41</f>
        <v>5.5000000000000007E-2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1038</v>
      </c>
      <c r="B29" s="1339" t="s">
        <v>1478</v>
      </c>
      <c r="C29" s="1340">
        <f ca="1">ROUND((C19+C20+C23+C26)/(1-F21-C24-C27-C28),0)</f>
        <v>12876</v>
      </c>
      <c r="D29" s="1341"/>
      <c r="E29" s="1339"/>
      <c r="F29" s="1342"/>
      <c r="G29" s="1850"/>
      <c r="H29" s="380" t="s">
        <v>1033</v>
      </c>
      <c r="I29" s="381" t="s">
        <v>1479</v>
      </c>
      <c r="J29" s="382">
        <f ca="1">ROUND(J26/(1+F40)^F41,0)</f>
        <v>0</v>
      </c>
      <c r="K29" s="383" t="s">
        <v>1480</v>
      </c>
      <c r="L29" s="384"/>
      <c r="M29" s="385">
        <f ca="1">INDIRECT("'数据-取费表'!k"&amp;$G$1)</f>
        <v>38865.599999999999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1030</v>
      </c>
      <c r="B30" s="1329" t="s">
        <v>1424</v>
      </c>
      <c r="C30" s="355">
        <f ca="1">ROUND(C31+C36+C37+C38,0)</f>
        <v>540</v>
      </c>
      <c r="D30" s="1336" t="s">
        <v>1425</v>
      </c>
      <c r="E30" s="1337"/>
      <c r="F30" s="1293"/>
      <c r="G30" s="1847"/>
      <c r="H30" s="745"/>
      <c r="I30" s="746"/>
      <c r="J30" s="747"/>
      <c r="K30" s="748"/>
      <c r="L30" s="749"/>
      <c r="M30" s="750"/>
    </row>
    <row r="31" spans="1:37" ht="18" customHeight="1">
      <c r="A31" s="1201" t="s">
        <v>1035</v>
      </c>
      <c r="B31" s="347" t="s">
        <v>1429</v>
      </c>
      <c r="C31" s="24">
        <f ca="1">ROUND(IF(项目基本情况!B11="自然人",C5*F31,C32+C33+C34),1)</f>
        <v>314.2</v>
      </c>
      <c r="D31" s="1796" t="s">
        <v>1430</v>
      </c>
      <c r="E31" s="1794" t="s">
        <v>1481</v>
      </c>
      <c r="F31" s="368" t="str">
        <f ca="1">IF(项目基本情况!B11="企业","",IF(INDIRECT("'数据-取费表'!c"&amp;$G$1)="住宅",5%,IF(F6*F7*F8/12/(1+'数据-取费表'!C42)&gt;20000,12%,7%)))</f>
        <v/>
      </c>
      <c r="G31" s="1847"/>
      <c r="H31" s="745"/>
      <c r="I31" s="746"/>
      <c r="J31" s="747"/>
      <c r="K31" s="748"/>
      <c r="L31" s="749"/>
      <c r="M31" s="750"/>
    </row>
    <row r="32" spans="1:37" ht="18" customHeight="1">
      <c r="A32" s="1201" t="s">
        <v>1034</v>
      </c>
      <c r="B32" s="347" t="s">
        <v>1433</v>
      </c>
      <c r="C32" s="24">
        <f ca="1">IF(项目基本情况!B11="自然人","——",ROUND(C5*F32/(1+'数据-取费表'!C42),2))</f>
        <v>80.349999999999994</v>
      </c>
      <c r="D32" s="1794" t="s">
        <v>1434</v>
      </c>
      <c r="E32" s="347" t="s">
        <v>1422</v>
      </c>
      <c r="F32" s="377">
        <f>'数据-取费表'!B41</f>
        <v>5.5000000000000007E-2</v>
      </c>
      <c r="G32" s="1847"/>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184.08</v>
      </c>
      <c r="D33" s="1824" t="s">
        <v>3149</v>
      </c>
      <c r="E33" s="347" t="s">
        <v>1422</v>
      </c>
      <c r="F33" s="367">
        <f>IF(D33="按票据","——",IF(D33="按租金收入计税",'数据-取费表'!B51,'数据-取费表'!B50))</f>
        <v>0.12</v>
      </c>
      <c r="G33" s="1847"/>
      <c r="H33" s="1855"/>
      <c r="I33" s="1856"/>
      <c r="J33" s="1857"/>
      <c r="K33" s="1858"/>
      <c r="L33" s="1855"/>
      <c r="M33" s="1855"/>
    </row>
    <row r="34" spans="1:18" ht="18" customHeight="1">
      <c r="A34" s="1290" t="s">
        <v>1389</v>
      </c>
      <c r="B34" s="164" t="s">
        <v>1441</v>
      </c>
      <c r="C34" s="25">
        <f ca="1">IF(项目基本情况!B11="自然人","——",ROUND(F34*F35/10000,2))</f>
        <v>49.73</v>
      </c>
      <c r="D34" s="370" t="s">
        <v>1442</v>
      </c>
      <c r="E34" s="347" t="s">
        <v>1443</v>
      </c>
      <c r="F34" s="371">
        <f>'数据-取费表'!B52</f>
        <v>10</v>
      </c>
      <c r="G34" s="1847"/>
      <c r="H34" s="745"/>
      <c r="I34" s="1856"/>
      <c r="J34" s="1857"/>
      <c r="K34" s="1859"/>
      <c r="L34" s="1860"/>
      <c r="M34" s="1860"/>
    </row>
    <row r="35" spans="1:18" ht="18" customHeight="1">
      <c r="A35" s="1352"/>
      <c r="B35" s="1350"/>
      <c r="C35" s="29"/>
      <c r="D35" s="373"/>
      <c r="E35" s="347" t="s">
        <v>1447</v>
      </c>
      <c r="F35" s="348">
        <f ca="1">INDIRECT("'数据-取费表'!r"&amp;$G$1)</f>
        <v>49727</v>
      </c>
      <c r="G35" s="1847"/>
      <c r="H35" s="745"/>
      <c r="I35" s="1856"/>
      <c r="J35" s="1857"/>
      <c r="K35" s="1858"/>
      <c r="L35" s="1855"/>
      <c r="M35" s="1855"/>
    </row>
    <row r="36" spans="1:18" ht="18" customHeight="1">
      <c r="A36" s="1351" t="s">
        <v>1039</v>
      </c>
      <c r="B36" s="347" t="s">
        <v>1449</v>
      </c>
      <c r="C36" s="24">
        <f ca="1">ROUND(C29*F36,1)</f>
        <v>193.1</v>
      </c>
      <c r="D36" s="1794" t="s">
        <v>1482</v>
      </c>
      <c r="E36" s="347" t="s">
        <v>1422</v>
      </c>
      <c r="F36" s="374">
        <f ca="1">INDIRECT("'数据-取费表'!Ak"&amp;$G$1)</f>
        <v>1.4999999999999999E-2</v>
      </c>
      <c r="G36" s="1847"/>
      <c r="H36" s="1855"/>
      <c r="I36" s="1856"/>
      <c r="J36" s="1857"/>
      <c r="K36" s="751"/>
      <c r="L36" s="1855"/>
      <c r="M36" s="1855"/>
    </row>
    <row r="37" spans="1:18" ht="18" customHeight="1">
      <c r="A37" s="1201" t="s">
        <v>1075</v>
      </c>
      <c r="B37" s="347" t="s">
        <v>1453</v>
      </c>
      <c r="C37" s="24">
        <f ca="1">ROUND(C13*F37,1)</f>
        <v>17</v>
      </c>
      <c r="D37" s="1794" t="s">
        <v>1454</v>
      </c>
      <c r="E37" s="347" t="s">
        <v>1455</v>
      </c>
      <c r="F37" s="376">
        <f ca="1">INDIRECT("'数据-取费表'!Al"&amp;$G$1)</f>
        <v>1.5E-3</v>
      </c>
      <c r="G37" s="1847"/>
      <c r="H37" s="1855"/>
      <c r="I37" s="1856"/>
      <c r="J37" s="1857"/>
      <c r="K37" s="751"/>
      <c r="L37" s="1855"/>
      <c r="M37" s="1855"/>
    </row>
    <row r="38" spans="1:18" ht="18" customHeight="1" thickBot="1">
      <c r="A38" s="1338" t="s">
        <v>1393</v>
      </c>
      <c r="B38" s="1339" t="s">
        <v>1439</v>
      </c>
      <c r="C38" s="1340">
        <f ca="1">ROUND(C5*F38,1)</f>
        <v>15.3</v>
      </c>
      <c r="D38" s="1341" t="s">
        <v>1459</v>
      </c>
      <c r="E38" s="1339" t="s">
        <v>1455</v>
      </c>
      <c r="F38" s="1335">
        <f ca="1">INDIRECT("'数据-取费表'!Am"&amp;$G$1)</f>
        <v>0.01</v>
      </c>
      <c r="G38" s="1847"/>
      <c r="H38" s="1855"/>
      <c r="I38" s="1856"/>
      <c r="J38" s="1857"/>
      <c r="K38" s="1861"/>
      <c r="L38" s="1855"/>
      <c r="M38" s="1855"/>
    </row>
    <row r="39" spans="1:18" ht="24.6" customHeight="1" thickTop="1">
      <c r="A39" s="1328" t="s">
        <v>1031</v>
      </c>
      <c r="B39" s="1343" t="s">
        <v>1483</v>
      </c>
      <c r="C39" s="355">
        <f ca="1">C5-C30</f>
        <v>994</v>
      </c>
      <c r="D39" s="1344" t="s">
        <v>1484</v>
      </c>
      <c r="E39" s="1345"/>
      <c r="F39" s="1346"/>
      <c r="G39" s="1847"/>
      <c r="H39" s="1855"/>
      <c r="I39" s="1856"/>
      <c r="J39" s="1857"/>
      <c r="K39" s="1861"/>
      <c r="L39" s="1855"/>
      <c r="M39" s="1855"/>
    </row>
    <row r="40" spans="1:18" ht="18" customHeight="1">
      <c r="A40" s="344" t="s">
        <v>1032</v>
      </c>
      <c r="B40" s="345" t="s">
        <v>1485</v>
      </c>
      <c r="C40" s="346">
        <f ca="1">ROUND(C39*(1-((1+F42)/(1+F40))^F41)/(F40-F42),0)</f>
        <v>18797</v>
      </c>
      <c r="D40" s="370" t="s">
        <v>1469</v>
      </c>
      <c r="E40" s="347" t="s">
        <v>1470</v>
      </c>
      <c r="F40" s="357">
        <f ca="1">INDIRECT("'数据-取费表'!I"&amp;$G$1)</f>
        <v>5.5E-2</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29.04</v>
      </c>
      <c r="G41" s="1847"/>
      <c r="H41" s="732"/>
      <c r="I41" s="1856"/>
      <c r="J41" s="1857"/>
      <c r="K41" s="751"/>
      <c r="L41" s="732"/>
      <c r="M41" s="732"/>
    </row>
    <row r="42" spans="1:18" ht="18" customHeight="1">
      <c r="A42" s="353"/>
      <c r="B42" s="354"/>
      <c r="C42" s="355"/>
      <c r="D42" s="373"/>
      <c r="E42" s="347" t="s">
        <v>1477</v>
      </c>
      <c r="F42" s="357">
        <f ca="1">INDIRECT("'数据-取费表'!v"&amp;$G$1)</f>
        <v>2.5000000000000001E-2</v>
      </c>
      <c r="G42" s="1847"/>
      <c r="H42" s="732"/>
      <c r="I42" s="1856"/>
      <c r="J42" s="1857"/>
      <c r="K42" s="751"/>
      <c r="L42" s="732"/>
      <c r="M42" s="732"/>
    </row>
    <row r="43" spans="1:18" ht="18" customHeight="1" thickBot="1">
      <c r="A43" s="380" t="s">
        <v>1033</v>
      </c>
      <c r="B43" s="381" t="s">
        <v>1487</v>
      </c>
      <c r="C43" s="382">
        <f ca="1">ROUND(C40*10000/F43,0)</f>
        <v>4836</v>
      </c>
      <c r="D43" s="383" t="s">
        <v>1488</v>
      </c>
      <c r="E43" s="384" t="s">
        <v>1489</v>
      </c>
      <c r="F43" s="385">
        <f ca="1">INDIRECT("'数据-取费表'!k"&amp;$G$1)</f>
        <v>38865.599999999999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1519</v>
      </c>
      <c r="P45" s="1835"/>
      <c r="Q45" s="1835"/>
      <c r="R45" s="1835"/>
    </row>
    <row r="46" spans="1:18" s="1838" customFormat="1" ht="13.5" thickBot="1">
      <c r="A46" s="1866" t="s">
        <v>1520</v>
      </c>
      <c r="C46" s="1867">
        <f ca="1">C68-C40</f>
        <v>-38029</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5" t="s">
        <v>1396</v>
      </c>
      <c r="B47" s="1197" t="s">
        <v>1397</v>
      </c>
      <c r="C47" s="1366" t="s">
        <v>1398</v>
      </c>
      <c r="D47" s="1197" t="s">
        <v>1399</v>
      </c>
      <c r="E47" s="1278" t="s">
        <v>1400</v>
      </c>
      <c r="F47" s="1279"/>
      <c r="G47" s="792"/>
      <c r="I47" s="1876" t="s">
        <v>1526</v>
      </c>
      <c r="J47" s="1877" t="s">
        <v>3151</v>
      </c>
      <c r="K47" s="1878" t="s">
        <v>1527</v>
      </c>
      <c r="L47" s="1879">
        <f ca="1">INDIRECT("'数据-取费表'!d"&amp;$G$1)</f>
        <v>40</v>
      </c>
      <c r="M47" s="1834" t="str">
        <f>IF(ISNUMBER(FIND("住宅",C1)),"住宅","非住宅")</f>
        <v>非住宅</v>
      </c>
      <c r="O47" s="1880" t="s">
        <v>1040</v>
      </c>
      <c r="P47" s="1881" t="s">
        <v>1528</v>
      </c>
      <c r="Q47" s="1882">
        <f ca="1">C40+J29</f>
        <v>18797</v>
      </c>
      <c r="R47" s="1882" t="s">
        <v>1529</v>
      </c>
    </row>
    <row r="48" spans="1:18" s="1838" customFormat="1" ht="28.5" thickBot="1">
      <c r="A48" s="1359" t="s">
        <v>1135</v>
      </c>
      <c r="B48" s="345" t="s">
        <v>1401</v>
      </c>
      <c r="C48" s="1813">
        <f ca="1">C49+C53+C55</f>
        <v>0</v>
      </c>
      <c r="D48" s="1361"/>
      <c r="E48" s="1362"/>
      <c r="F48" s="1181"/>
      <c r="G48" s="792"/>
      <c r="H48" s="793"/>
      <c r="I48" s="1883" t="s">
        <v>1530</v>
      </c>
      <c r="J48" s="1884" t="s">
        <v>3152</v>
      </c>
      <c r="K48" s="1885" t="s">
        <v>1531</v>
      </c>
      <c r="L48" s="1886">
        <f ca="1">INDIRECT("'数据-取费表'!f"&amp;$G$1)</f>
        <v>29.04</v>
      </c>
      <c r="O48" s="1880" t="s">
        <v>1041</v>
      </c>
      <c r="P48" s="1881" t="s">
        <v>1532</v>
      </c>
      <c r="Q48" s="1882" t="str">
        <f ca="1">J60</f>
        <v>0</v>
      </c>
      <c r="R48" s="1882" t="s">
        <v>1533</v>
      </c>
    </row>
    <row r="49" spans="1:18" s="1838" customFormat="1" ht="13.5" thickBot="1">
      <c r="A49" s="1194" t="s">
        <v>1136</v>
      </c>
      <c r="B49" s="1825" t="s">
        <v>1490</v>
      </c>
      <c r="C49" s="1363">
        <f ca="1">ROUND(F49*F51*F50*(1-F52)/10000,0)</f>
        <v>0</v>
      </c>
      <c r="D49" s="1275" t="s">
        <v>3033</v>
      </c>
      <c r="E49" s="1826" t="s">
        <v>1491</v>
      </c>
      <c r="F49" s="1280"/>
      <c r="G49" s="1887"/>
      <c r="H49" s="793"/>
      <c r="I49" s="1883" t="s">
        <v>1534</v>
      </c>
      <c r="J49" s="1888"/>
      <c r="K49" s="1885" t="s">
        <v>1535</v>
      </c>
      <c r="L49" s="1889"/>
      <c r="O49" s="1890" t="s">
        <v>1042</v>
      </c>
      <c r="P49" s="1881" t="s">
        <v>1536</v>
      </c>
      <c r="Q49" s="1882">
        <f ca="1">C29</f>
        <v>12876</v>
      </c>
      <c r="R49" s="1882" t="s">
        <v>1529</v>
      </c>
    </row>
    <row r="50" spans="1:18" s="1838" customFormat="1" ht="13.5" thickBot="1">
      <c r="A50" s="1195"/>
      <c r="B50" s="1198"/>
      <c r="C50" s="1367"/>
      <c r="D50" s="1172"/>
      <c r="E50" s="1276" t="s">
        <v>1406</v>
      </c>
      <c r="F50" s="1277">
        <f ca="1">F7</f>
        <v>38865.599999999999</v>
      </c>
      <c r="H50" s="793"/>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6"/>
      <c r="B51" s="1198"/>
      <c r="C51" s="1199"/>
      <c r="D51" s="1172"/>
      <c r="E51" s="1200" t="s">
        <v>1407</v>
      </c>
      <c r="F51" s="348">
        <f ca="1">F8</f>
        <v>365</v>
      </c>
      <c r="I51" s="1894" t="s">
        <v>1540</v>
      </c>
      <c r="J51" s="1895">
        <f>IF(J49="",J50,J49+J50-YEAR('数据-取费表'!B2))</f>
        <v>60</v>
      </c>
      <c r="K51" s="1896" t="s">
        <v>1541</v>
      </c>
      <c r="L51" s="1897">
        <f ca="1">ROUND(-PV(INDIRECT("'数据-取费表'!h"&amp;$G$1),L48,(C39-C13*C76),0),0)</f>
        <v>1326</v>
      </c>
      <c r="M51" s="1898"/>
      <c r="O51" s="1890" t="s">
        <v>1044</v>
      </c>
      <c r="P51" s="1881" t="s">
        <v>1542</v>
      </c>
      <c r="Q51" s="1893">
        <f>J52</f>
        <v>0</v>
      </c>
      <c r="R51" s="1882"/>
    </row>
    <row r="52" spans="1:18" s="1838" customFormat="1" ht="13.5" thickBot="1">
      <c r="A52" s="1196"/>
      <c r="B52" s="1198"/>
      <c r="C52" s="1199"/>
      <c r="D52" s="1172"/>
      <c r="E52" s="1200" t="s">
        <v>1408</v>
      </c>
      <c r="F52" s="1274"/>
      <c r="I52" s="1899" t="s">
        <v>1543</v>
      </c>
      <c r="J52" s="1900"/>
      <c r="K52" s="1899" t="s">
        <v>1544</v>
      </c>
      <c r="L52" s="1900"/>
      <c r="O52" s="1890" t="s">
        <v>1045</v>
      </c>
      <c r="P52" s="1881" t="s">
        <v>1545</v>
      </c>
      <c r="Q52" s="1882">
        <f ca="1">J53</f>
        <v>29.04</v>
      </c>
      <c r="R52" s="1882" t="s">
        <v>1546</v>
      </c>
    </row>
    <row r="53" spans="1:18" s="1838" customFormat="1" ht="24.75" thickBot="1">
      <c r="A53" s="1404" t="s">
        <v>1137</v>
      </c>
      <c r="B53" s="1827" t="s">
        <v>1409</v>
      </c>
      <c r="C53" s="361">
        <f ca="1">ROUND(IF(F53="押一",C49/12*F11,IF(F53="押二",C49/12*2*F11,IF(F53="押三",C49/12*3*F11,C54*F11))),0)</f>
        <v>0</v>
      </c>
      <c r="D53" s="1820" t="s">
        <v>3040</v>
      </c>
      <c r="E53" s="358" t="s">
        <v>1410</v>
      </c>
      <c r="F53" s="1365"/>
      <c r="I53" s="1901" t="s">
        <v>1547</v>
      </c>
      <c r="J53" s="1902">
        <f ca="1">IF(M47="住宅",IF(D1="——",MAX(J51,L48),IF(D1="在建（套用方法）",MAX(J51,L48-'数据-取费表'!B24),MAX(J51,L48-'数据-取费表'!B20))),IF(D1="——",MIN(J51,L48),IF(D1="在建（套用方法）",MIN(J51,L48-'数据-取费表'!B24),IF(D1="土地（套用方法）",MIN(J51,L48-'数据-取费表'!B20)))))</f>
        <v>29.04</v>
      </c>
      <c r="K53" s="3201" t="s">
        <v>1548</v>
      </c>
      <c r="L53" s="3202"/>
      <c r="O53" s="1880" t="s">
        <v>1046</v>
      </c>
      <c r="P53" s="1881" t="s">
        <v>1549</v>
      </c>
      <c r="Q53" s="1882">
        <f ca="1">Q47+Q48</f>
        <v>18797</v>
      </c>
      <c r="R53" s="1882" t="s">
        <v>1047</v>
      </c>
    </row>
    <row r="54" spans="1:18" s="1838" customFormat="1" ht="13.5" thickBot="1">
      <c r="A54" s="1405"/>
      <c r="B54" s="1821" t="s">
        <v>1388</v>
      </c>
      <c r="C54" s="1178"/>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2" t="s">
        <v>1075</v>
      </c>
      <c r="B55" s="1823" t="s">
        <v>1413</v>
      </c>
      <c r="C55" s="1333"/>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6">
        <v>2</v>
      </c>
      <c r="B56" s="1177" t="s">
        <v>1414</v>
      </c>
      <c r="C56" s="276">
        <f ca="1">C13</f>
        <v>11331</v>
      </c>
      <c r="D56" s="1910"/>
      <c r="E56" s="1911"/>
      <c r="F56" s="1903"/>
      <c r="I56" s="1912" t="s">
        <v>1554</v>
      </c>
      <c r="J56" s="1913" t="s">
        <v>3051</v>
      </c>
      <c r="K56" s="1883" t="s">
        <v>1555</v>
      </c>
      <c r="L56" s="1886" t="str">
        <f ca="1">IF(L48&lt;J51,"——",L48-J53)</f>
        <v>——</v>
      </c>
      <c r="O56" s="1880" t="s">
        <v>1040</v>
      </c>
      <c r="P56" s="1881" t="s">
        <v>1528</v>
      </c>
      <c r="Q56" s="1882">
        <f ca="1">C40+J29</f>
        <v>18797</v>
      </c>
      <c r="R56" s="1882" t="s">
        <v>1529</v>
      </c>
    </row>
    <row r="57" spans="1:18" s="1838" customFormat="1" ht="24.75" thickBot="1">
      <c r="A57" s="1914"/>
      <c r="B57" s="1169" t="s">
        <v>1478</v>
      </c>
      <c r="C57" s="282">
        <f ca="1">C29</f>
        <v>12876</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7" t="s">
        <v>1424</v>
      </c>
      <c r="C58" s="361">
        <f ca="1">ROUND(C59+C64+C65+C66,0)</f>
        <v>1341</v>
      </c>
      <c r="D58" s="1179" t="s">
        <v>1425</v>
      </c>
      <c r="E58" s="1180"/>
      <c r="F58" s="1181"/>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201" t="s">
        <v>1035</v>
      </c>
      <c r="B59" s="1169" t="s">
        <v>1429</v>
      </c>
      <c r="C59" s="24">
        <f ca="1">ROUND(IF(项目基本情况!B11="自然人",C48*F59,C60+C61+C62),1)</f>
        <v>1131.3</v>
      </c>
      <c r="D59" s="1182" t="s">
        <v>1430</v>
      </c>
      <c r="E59" s="1183" t="s">
        <v>1431</v>
      </c>
      <c r="F59" s="368"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201" t="s">
        <v>1492</v>
      </c>
      <c r="B61" s="1169" t="s">
        <v>1493</v>
      </c>
      <c r="C61" s="24">
        <f ca="1">IF(项目基本情况!B11="自然人","——",IF(D61="按租金收入计税",ROUND(C48*F61,2),IF(D61="按房产原值计税",ROUND(C57*F61*0.7,2),INDIRECT("'数据-取费表'!Aj"&amp;$G$1))))</f>
        <v>1081.58</v>
      </c>
      <c r="D61" s="1824" t="s">
        <v>1438</v>
      </c>
      <c r="E61" s="1169" t="s">
        <v>1494</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201" t="s">
        <v>1495</v>
      </c>
      <c r="B62" s="1168" t="s">
        <v>1496</v>
      </c>
      <c r="C62" s="25">
        <f ca="1">IF(项目基本情况!B11="自然人","——",ROUND(F62*F63/10000,2))</f>
        <v>49.73</v>
      </c>
      <c r="D62" s="1184" t="s">
        <v>1497</v>
      </c>
      <c r="E62" s="1169" t="s">
        <v>1498</v>
      </c>
      <c r="F62" s="371">
        <f t="shared" si="0"/>
        <v>10</v>
      </c>
      <c r="I62" s="1925" t="s">
        <v>1570</v>
      </c>
      <c r="J62" s="1926" t="s">
        <v>1571</v>
      </c>
      <c r="K62" s="1926" t="s">
        <v>1572</v>
      </c>
      <c r="L62" s="1926" t="s">
        <v>1573</v>
      </c>
      <c r="M62" s="1927" t="s">
        <v>1574</v>
      </c>
      <c r="O62" s="1880" t="s">
        <v>1046</v>
      </c>
      <c r="P62" s="1881" t="s">
        <v>1575</v>
      </c>
      <c r="Q62" s="1882">
        <f ca="1">Q56+Q57</f>
        <v>18797</v>
      </c>
      <c r="R62" s="1882" t="s">
        <v>1047</v>
      </c>
    </row>
    <row r="63" spans="1:18" s="1838" customFormat="1" ht="13.5" thickBot="1">
      <c r="A63" s="372"/>
      <c r="B63" s="1175"/>
      <c r="C63" s="29"/>
      <c r="D63" s="1185"/>
      <c r="E63" s="1169" t="s">
        <v>1499</v>
      </c>
      <c r="F63" s="348">
        <f t="shared" ca="1" si="0"/>
        <v>49727</v>
      </c>
      <c r="I63" s="1925" t="s">
        <v>1576</v>
      </c>
      <c r="J63" s="1926">
        <v>70</v>
      </c>
      <c r="K63" s="1926">
        <v>50</v>
      </c>
      <c r="L63" s="1926">
        <v>80</v>
      </c>
      <c r="M63" s="1928">
        <v>0.02</v>
      </c>
      <c r="O63" s="1865" t="s">
        <v>1577</v>
      </c>
      <c r="P63" s="1835"/>
      <c r="Q63" s="1835"/>
      <c r="R63" s="1835"/>
    </row>
    <row r="64" spans="1:18" s="1838" customFormat="1" ht="13.5" thickBot="1">
      <c r="A64" s="1201" t="s">
        <v>1500</v>
      </c>
      <c r="B64" s="1169" t="s">
        <v>1501</v>
      </c>
      <c r="C64" s="24">
        <f ca="1">ROUND(C57*F64,1)</f>
        <v>193.1</v>
      </c>
      <c r="D64" s="1183" t="s">
        <v>1502</v>
      </c>
      <c r="E64" s="1169" t="s">
        <v>1494</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201" t="s">
        <v>1503</v>
      </c>
      <c r="B65" s="1169" t="s">
        <v>1453</v>
      </c>
      <c r="C65" s="24">
        <f ca="1">ROUND(C56*F65,1)</f>
        <v>17</v>
      </c>
      <c r="D65" s="1183" t="s">
        <v>1454</v>
      </c>
      <c r="E65" s="1169" t="s">
        <v>1455</v>
      </c>
      <c r="F65" s="376">
        <f t="shared" ca="1" si="0"/>
        <v>1.5E-3</v>
      </c>
      <c r="I65" s="1925" t="s">
        <v>1579</v>
      </c>
      <c r="J65" s="1926">
        <v>40</v>
      </c>
      <c r="K65" s="1926">
        <v>30</v>
      </c>
      <c r="L65" s="1926">
        <v>50</v>
      </c>
      <c r="M65" s="1928">
        <v>0.02</v>
      </c>
      <c r="O65" s="1880" t="s">
        <v>1040</v>
      </c>
      <c r="P65" s="1881" t="s">
        <v>1580</v>
      </c>
      <c r="Q65" s="1882">
        <f ca="1">C40+J29</f>
        <v>18797</v>
      </c>
      <c r="R65" s="1882" t="s">
        <v>1529</v>
      </c>
    </row>
    <row r="66" spans="1:18" s="1838" customFormat="1" ht="16.5" thickBot="1">
      <c r="A66" s="1201" t="s">
        <v>1504</v>
      </c>
      <c r="B66" s="1169" t="s">
        <v>1439</v>
      </c>
      <c r="C66" s="24">
        <f ca="1">ROUND(C48*F66,1)</f>
        <v>0</v>
      </c>
      <c r="D66" s="1183" t="s">
        <v>1505</v>
      </c>
      <c r="E66" s="1169" t="s">
        <v>1422</v>
      </c>
      <c r="F66" s="357">
        <f t="shared" ca="1" si="0"/>
        <v>0.01</v>
      </c>
      <c r="O66" s="1880" t="s">
        <v>1041</v>
      </c>
      <c r="P66" s="1881" t="s">
        <v>1558</v>
      </c>
      <c r="Q66" s="1882">
        <f ca="1">L60</f>
        <v>0</v>
      </c>
      <c r="R66" s="1882" t="s">
        <v>1581</v>
      </c>
    </row>
    <row r="67" spans="1:18" s="1838" customFormat="1" ht="16.5" thickBot="1">
      <c r="A67" s="1176" t="s">
        <v>1031</v>
      </c>
      <c r="B67" s="1186" t="s">
        <v>1463</v>
      </c>
      <c r="C67" s="361">
        <f ca="1">C48-C58</f>
        <v>-1341</v>
      </c>
      <c r="D67" s="1182" t="s">
        <v>1464</v>
      </c>
      <c r="E67" s="1187"/>
      <c r="F67" s="1188"/>
      <c r="O67" s="1890" t="s">
        <v>1042</v>
      </c>
      <c r="P67" s="1881" t="s">
        <v>1562</v>
      </c>
      <c r="Q67" s="1929">
        <f ca="1">L51</f>
        <v>1326</v>
      </c>
      <c r="R67" s="1882" t="s">
        <v>1582</v>
      </c>
    </row>
    <row r="68" spans="1:18" s="1838" customFormat="1" ht="16.5" thickBot="1">
      <c r="A68" s="1166" t="s">
        <v>1032</v>
      </c>
      <c r="B68" s="1167" t="s">
        <v>1485</v>
      </c>
      <c r="C68" s="346">
        <f ca="1">ROUND(C67*(1-((1+F70)/(1+F68))^F69)/(F68-F70),0)</f>
        <v>-19232</v>
      </c>
      <c r="D68" s="1184" t="s">
        <v>1469</v>
      </c>
      <c r="E68" s="1169" t="s">
        <v>1470</v>
      </c>
      <c r="F68" s="357">
        <f ca="1">F40</f>
        <v>5.5E-2</v>
      </c>
      <c r="O68" s="1890" t="s">
        <v>1043</v>
      </c>
      <c r="P68" s="1930" t="s">
        <v>1583</v>
      </c>
      <c r="Q68" s="1882">
        <f ca="1">ROUND(Q69-Q70*Q71,0)</f>
        <v>88</v>
      </c>
      <c r="R68" s="1882" t="s">
        <v>1051</v>
      </c>
    </row>
    <row r="69" spans="1:18" s="1838" customFormat="1" ht="13.5" thickBot="1">
      <c r="A69" s="1170"/>
      <c r="B69" s="1171"/>
      <c r="C69" s="351"/>
      <c r="D69" s="1189" t="s">
        <v>1473</v>
      </c>
      <c r="E69" s="1169" t="s">
        <v>1474</v>
      </c>
      <c r="F69" s="379">
        <f ca="1">F41</f>
        <v>29.04</v>
      </c>
      <c r="O69" s="1890" t="s">
        <v>1048</v>
      </c>
      <c r="P69" s="1930" t="s">
        <v>1584</v>
      </c>
      <c r="Q69" s="1882">
        <f ca="1">C39</f>
        <v>994</v>
      </c>
      <c r="R69" s="1882" t="s">
        <v>1529</v>
      </c>
    </row>
    <row r="70" spans="1:18" s="1838" customFormat="1" ht="13.5" thickBot="1">
      <c r="A70" s="1173"/>
      <c r="B70" s="1174"/>
      <c r="C70" s="355"/>
      <c r="D70" s="1185"/>
      <c r="E70" s="1169" t="s">
        <v>1477</v>
      </c>
      <c r="F70" s="1274"/>
      <c r="O70" s="1890" t="s">
        <v>1049</v>
      </c>
      <c r="P70" s="1930" t="s">
        <v>1585</v>
      </c>
      <c r="Q70" s="1882">
        <f ca="1">C13</f>
        <v>11331</v>
      </c>
      <c r="R70" s="1882" t="s">
        <v>1529</v>
      </c>
    </row>
    <row r="71" spans="1:18" s="1838" customFormat="1" ht="13.5" thickBot="1">
      <c r="A71" s="1190" t="s">
        <v>1033</v>
      </c>
      <c r="B71" s="1191" t="s">
        <v>1487</v>
      </c>
      <c r="C71" s="382">
        <f ca="1">ROUND(C68*10000/F71,0)</f>
        <v>-4948</v>
      </c>
      <c r="D71" s="1192" t="s">
        <v>1488</v>
      </c>
      <c r="E71" s="1193" t="s">
        <v>1489</v>
      </c>
      <c r="F71" s="385">
        <f ca="1">F43</f>
        <v>38865.599999999999</v>
      </c>
      <c r="O71" s="1890" t="s">
        <v>1050</v>
      </c>
      <c r="P71" s="1930" t="s">
        <v>1586</v>
      </c>
      <c r="Q71" s="1893">
        <f ca="1">C76</f>
        <v>0.08</v>
      </c>
      <c r="R71" s="1882"/>
    </row>
    <row r="72" spans="1:18" s="1838" customFormat="1" ht="13.5" thickBot="1">
      <c r="B72" s="796"/>
      <c r="C72" s="796"/>
      <c r="O72" s="1890" t="s">
        <v>1044</v>
      </c>
      <c r="P72" s="1881" t="s">
        <v>1564</v>
      </c>
      <c r="Q72" s="1893">
        <f>L52</f>
        <v>0</v>
      </c>
      <c r="R72" s="1882"/>
    </row>
    <row r="73" spans="1:18" ht="16.5" thickBot="1">
      <c r="A73" s="1838"/>
      <c r="B73" s="796"/>
      <c r="C73" s="796"/>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906</v>
      </c>
      <c r="D75" s="1838"/>
      <c r="E75" s="1838"/>
      <c r="F75" s="1838"/>
      <c r="K75" s="1864"/>
      <c r="L75" s="1838"/>
      <c r="O75" s="1880" t="s">
        <v>1046</v>
      </c>
      <c r="P75" s="1881" t="s">
        <v>1549</v>
      </c>
      <c r="Q75" s="1882">
        <f ca="1">Q65+Q66</f>
        <v>18797</v>
      </c>
      <c r="R75" s="1882" t="s">
        <v>1047</v>
      </c>
    </row>
    <row r="76" spans="1:18">
      <c r="B76" s="388" t="s">
        <v>1507</v>
      </c>
      <c r="C76" s="389">
        <f ca="1">INDIRECT("'数据-取费表'!j"&amp;$G$1)</f>
        <v>0.08</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8.8999999999999968E-2</v>
      </c>
    </row>
    <row r="80" spans="1:18">
      <c r="B80" s="386" t="s">
        <v>1511</v>
      </c>
      <c r="C80" s="318">
        <f ca="1">ROUND(C75/C39,3)</f>
        <v>0.91100000000000003</v>
      </c>
    </row>
    <row r="81" spans="2:3">
      <c r="B81" s="314" t="s">
        <v>1512</v>
      </c>
      <c r="C81" s="282"/>
    </row>
    <row r="82" spans="2:3">
      <c r="B82" s="317" t="s">
        <v>1513</v>
      </c>
      <c r="C82" s="319">
        <f ca="1">1-C83</f>
        <v>0.39700000000000002</v>
      </c>
    </row>
    <row r="83" spans="2:3">
      <c r="B83" s="317" t="s">
        <v>1514</v>
      </c>
      <c r="C83" s="318">
        <f ca="1">ROUND(C13/C40,3)</f>
        <v>0.60299999999999998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2"/>
      <c r="C1" s="1833"/>
      <c r="D1" s="1816"/>
      <c r="E1" s="1817" t="s">
        <v>1387</v>
      </c>
      <c r="F1" s="1282" t="b">
        <f>J53</f>
        <v>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4" t="s">
        <v>1588</v>
      </c>
      <c r="I3" s="1836"/>
      <c r="J3" s="1836"/>
      <c r="K3" s="1837"/>
      <c r="L3" s="1836"/>
      <c r="M3" s="1836"/>
    </row>
    <row r="4" spans="1:37" ht="18" customHeight="1">
      <c r="A4" s="340" t="s">
        <v>1595</v>
      </c>
      <c r="B4" s="341" t="s">
        <v>1596</v>
      </c>
      <c r="C4" s="341" t="s">
        <v>1597</v>
      </c>
      <c r="D4" s="341" t="s">
        <v>1598</v>
      </c>
      <c r="E4" s="342" t="s">
        <v>1599</v>
      </c>
      <c r="F4" s="343"/>
      <c r="G4" s="1847"/>
      <c r="H4" s="340" t="s">
        <v>1595</v>
      </c>
      <c r="I4" s="341" t="s">
        <v>1596</v>
      </c>
      <c r="J4" s="341" t="s">
        <v>1597</v>
      </c>
      <c r="K4" s="341" t="s">
        <v>1598</v>
      </c>
      <c r="L4" s="342" t="s">
        <v>1599</v>
      </c>
      <c r="M4" s="343"/>
    </row>
    <row r="5" spans="1:37" ht="18" customHeight="1">
      <c r="A5" s="344">
        <v>1</v>
      </c>
      <c r="B5" s="345" t="s">
        <v>1600</v>
      </c>
      <c r="C5" s="1291">
        <f ca="1">C6+C10+C12</f>
        <v>0</v>
      </c>
      <c r="D5" s="1818" t="s">
        <v>1601</v>
      </c>
      <c r="E5" s="1292"/>
      <c r="F5" s="1293"/>
      <c r="G5" s="1847"/>
      <c r="H5" s="344">
        <v>1</v>
      </c>
      <c r="I5" s="345" t="s">
        <v>1600</v>
      </c>
      <c r="J5" s="1291">
        <f ca="1">J6+J10+J12</f>
        <v>0</v>
      </c>
      <c r="K5" s="1818" t="s">
        <v>1601</v>
      </c>
      <c r="L5" s="1292"/>
      <c r="M5" s="1293"/>
    </row>
    <row r="6" spans="1:37" ht="18" customHeight="1">
      <c r="A6" s="1290" t="s">
        <v>1035</v>
      </c>
      <c r="B6" s="3203" t="s">
        <v>1403</v>
      </c>
      <c r="C6" s="1295">
        <f ca="1">ROUND(F6*F8*F7*(1-F9),0)</f>
        <v>0</v>
      </c>
      <c r="D6" s="164" t="s">
        <v>3029</v>
      </c>
      <c r="E6" s="347" t="s">
        <v>1405</v>
      </c>
      <c r="F6" s="348">
        <f ca="1">INDIRECT("'数据-取费表'!u"&amp;$G$1)</f>
        <v>0</v>
      </c>
      <c r="G6" s="1847"/>
      <c r="H6" s="1290" t="s">
        <v>1035</v>
      </c>
      <c r="I6" s="3203" t="s">
        <v>1403</v>
      </c>
      <c r="J6" s="346">
        <f ca="1">ROUND(M6*M8*M7*(1-M9),0)</f>
        <v>0</v>
      </c>
      <c r="K6" s="1830" t="s">
        <v>3030</v>
      </c>
      <c r="L6" s="347" t="s">
        <v>1405</v>
      </c>
      <c r="M6" s="348">
        <f ca="1">INDIRECT("'数据-取费表'!z"&amp;$G$1)</f>
        <v>0</v>
      </c>
    </row>
    <row r="7" spans="1:37" ht="18" customHeight="1">
      <c r="A7" s="1294"/>
      <c r="B7" s="3204"/>
      <c r="C7" s="1296"/>
      <c r="D7" s="352"/>
      <c r="E7" s="1297" t="s">
        <v>1406</v>
      </c>
      <c r="F7" s="348">
        <f ca="1">IF(INDIRECT("'数据-取费表'!ah"&amp;$G$1)="",INDIRECT("'数据-取费表'!k"&amp;$G$1),INDIRECT("'数据-取费表'!ah"&amp;$G$1))</f>
        <v>0</v>
      </c>
      <c r="G7" s="1847"/>
      <c r="H7" s="349"/>
      <c r="I7" s="3204"/>
      <c r="J7" s="351"/>
      <c r="K7" s="352"/>
      <c r="L7" s="347" t="s">
        <v>1406</v>
      </c>
      <c r="M7" s="348">
        <f ca="1">F7</f>
        <v>0</v>
      </c>
    </row>
    <row r="8" spans="1:37" ht="18" customHeight="1">
      <c r="A8" s="349"/>
      <c r="B8" s="3204"/>
      <c r="C8" s="351"/>
      <c r="D8" s="352"/>
      <c r="E8" s="347" t="s">
        <v>1407</v>
      </c>
      <c r="F8" s="348">
        <f ca="1">INDIRECT("'数据-取费表'!ai"&amp;$G$1)</f>
        <v>0</v>
      </c>
      <c r="G8" s="1847"/>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47"/>
      <c r="H9" s="349"/>
      <c r="I9" s="3205"/>
      <c r="J9" s="351"/>
      <c r="K9" s="352"/>
      <c r="L9" s="358" t="s">
        <v>1408</v>
      </c>
      <c r="M9" s="359">
        <f ca="1">INDIRECT("'数据-取费表'!ab"&amp;$G$1)</f>
        <v>0</v>
      </c>
    </row>
    <row r="10" spans="1:37" ht="18" customHeight="1">
      <c r="A10" s="1290" t="s">
        <v>1039</v>
      </c>
      <c r="B10" s="1819" t="s">
        <v>1409</v>
      </c>
      <c r="C10" s="361">
        <f ca="1">ROUND(IF(F10="押一",C6/12*F11,IF(F10="押二",C6/12*2*F11,IF(F10="押三",C6/12*3*F11,C11*F11))),0)</f>
        <v>0</v>
      </c>
      <c r="D10" s="1820" t="s">
        <v>3040</v>
      </c>
      <c r="E10" s="358" t="s">
        <v>1410</v>
      </c>
      <c r="F10" s="1365"/>
      <c r="G10" s="1847"/>
      <c r="H10" s="1290" t="s">
        <v>1039</v>
      </c>
      <c r="I10" s="1819" t="s">
        <v>1409</v>
      </c>
      <c r="J10" s="346">
        <f ca="1">ROUND(IF(M10="押一",J6/12*M11,IF(M10="押二",J6/12*2*M11,IF(M10="押三",J6/12*3*M11,J11*M11))),0)</f>
        <v>0</v>
      </c>
      <c r="K10" s="1831" t="s">
        <v>3042</v>
      </c>
      <c r="L10" s="358" t="s">
        <v>1410</v>
      </c>
      <c r="M10" s="1365"/>
    </row>
    <row r="11" spans="1:37" ht="18" customHeight="1">
      <c r="A11" s="353"/>
      <c r="B11" s="1821" t="s">
        <v>1602</v>
      </c>
      <c r="C11" s="1178"/>
      <c r="D11" s="352"/>
      <c r="E11" s="358" t="s">
        <v>1412</v>
      </c>
      <c r="F11" s="359">
        <f ca="1">'数据-取费表'!B39</f>
        <v>1.4999999999999999E-2</v>
      </c>
      <c r="G11" s="1847"/>
      <c r="H11" s="1298"/>
      <c r="I11" s="1821" t="s">
        <v>1603</v>
      </c>
      <c r="J11" s="1178"/>
      <c r="K11" s="748"/>
      <c r="L11" s="358" t="s">
        <v>1412</v>
      </c>
      <c r="M11" s="1059">
        <f ca="1">'数据-取费表'!B39</f>
        <v>1.4999999999999999E-2</v>
      </c>
    </row>
    <row r="12" spans="1:37" ht="18" customHeight="1" thickBot="1">
      <c r="A12" s="1332" t="s">
        <v>1075</v>
      </c>
      <c r="B12" s="1823" t="s">
        <v>1413</v>
      </c>
      <c r="C12" s="1333"/>
      <c r="D12" s="1334"/>
      <c r="E12" s="1339"/>
      <c r="F12" s="1335"/>
      <c r="G12" s="1847"/>
      <c r="H12" s="1332" t="s">
        <v>1075</v>
      </c>
      <c r="I12" s="1823"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47"/>
      <c r="H13" s="1328">
        <v>2</v>
      </c>
      <c r="I13" s="1329" t="s">
        <v>1414</v>
      </c>
      <c r="J13" s="1289">
        <f ca="1">ROUND(J14*J15,0)</f>
        <v>0</v>
      </c>
      <c r="K13" s="1336" t="s">
        <v>1415</v>
      </c>
      <c r="L13" s="1848"/>
      <c r="M13" s="1849"/>
    </row>
    <row r="14" spans="1:37" ht="18" customHeight="1">
      <c r="A14" s="1201" t="s">
        <v>1034</v>
      </c>
      <c r="B14" s="347" t="s">
        <v>1417</v>
      </c>
      <c r="C14" s="363">
        <f ca="1">ROUND(INDIRECT("'数据-取费表'!l"&amp;$G$1)*F43+'数据-取费表'!L14*INDIRECT("'数据-取费表'!S"&amp;$G$1),0)</f>
        <v>0</v>
      </c>
      <c r="D14" s="1796" t="s">
        <v>1418</v>
      </c>
      <c r="E14" s="1790"/>
      <c r="F14" s="364"/>
      <c r="G14" s="1847"/>
      <c r="H14" s="1201" t="s">
        <v>1035</v>
      </c>
      <c r="I14" s="347" t="s">
        <v>1419</v>
      </c>
      <c r="J14" s="24">
        <f ca="1">C29</f>
        <v>0</v>
      </c>
      <c r="K14" s="15"/>
      <c r="L14" s="982"/>
      <c r="M14" s="983"/>
    </row>
    <row r="15" spans="1:37" s="1854" customFormat="1" ht="18" customHeight="1" thickBot="1">
      <c r="A15" s="1201" t="s">
        <v>1036</v>
      </c>
      <c r="B15" s="347" t="s">
        <v>1420</v>
      </c>
      <c r="C15" s="24">
        <f ca="1">ROUND(C14*F15,0)</f>
        <v>0</v>
      </c>
      <c r="D15" s="365" t="s">
        <v>1421</v>
      </c>
      <c r="E15" s="365" t="s">
        <v>1422</v>
      </c>
      <c r="F15" s="366">
        <f>'数据-取费表'!B33</f>
        <v>0.03</v>
      </c>
      <c r="G15" s="1850"/>
      <c r="H15" s="1338" t="s">
        <v>1039</v>
      </c>
      <c r="I15" s="1339" t="s">
        <v>1416</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7"/>
      <c r="H16" s="1328" t="s">
        <v>1030</v>
      </c>
      <c r="I16" s="1329" t="s">
        <v>1424</v>
      </c>
      <c r="J16" s="355">
        <f ca="1">ROUND(J17+J22+J23+J24,0)</f>
        <v>0</v>
      </c>
      <c r="K16" s="1336" t="s">
        <v>1425</v>
      </c>
      <c r="L16" s="1337"/>
      <c r="M16" s="1293"/>
    </row>
    <row r="17" spans="1:37" s="1854" customFormat="1" ht="18" customHeight="1">
      <c r="A17" s="1201" t="s">
        <v>1390</v>
      </c>
      <c r="B17" s="347" t="s">
        <v>1426</v>
      </c>
      <c r="C17" s="24">
        <f ca="1">ROUND(F17*(F43+INDIRECT("'数据-取费表'!S"&amp;$G$1)),0)</f>
        <v>0</v>
      </c>
      <c r="D17" s="347" t="s">
        <v>1427</v>
      </c>
      <c r="E17" s="347" t="s">
        <v>1428</v>
      </c>
      <c r="F17" s="26">
        <f>'数据-取费表'!B35</f>
        <v>200</v>
      </c>
      <c r="G17" s="1850"/>
      <c r="H17" s="1201" t="s">
        <v>1035</v>
      </c>
      <c r="I17" s="347" t="s">
        <v>1429</v>
      </c>
      <c r="J17" s="24">
        <f ca="1">ROUND(IF(项目基本情况!B11="自然人",J5*M17,J18+J19+J20),0)</f>
        <v>0</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1" t="s">
        <v>1391</v>
      </c>
      <c r="B18" s="347" t="s">
        <v>1432</v>
      </c>
      <c r="C18" s="24">
        <f ca="1">ROUND(C14*F18,0)</f>
        <v>0</v>
      </c>
      <c r="D18" s="347" t="s">
        <v>1421</v>
      </c>
      <c r="E18" s="347" t="s">
        <v>1422</v>
      </c>
      <c r="F18" s="367">
        <f>'数据-取费表'!B36</f>
        <v>1.4999999999999999E-2</v>
      </c>
      <c r="G18" s="1850"/>
      <c r="H18" s="1201" t="s">
        <v>1034</v>
      </c>
      <c r="I18" s="347" t="s">
        <v>1433</v>
      </c>
      <c r="J18" s="24">
        <f ca="1">ROUND(J5*M18/(1+'数据-取费表'!C42),0)</f>
        <v>0</v>
      </c>
      <c r="K18" s="1794" t="s">
        <v>1434</v>
      </c>
      <c r="L18" s="347" t="s">
        <v>1422</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1" t="s">
        <v>1035</v>
      </c>
      <c r="B19" s="347" t="s">
        <v>1435</v>
      </c>
      <c r="C19" s="24">
        <f ca="1">SUM(C14:C18)</f>
        <v>0</v>
      </c>
      <c r="D19" s="140" t="s">
        <v>1436</v>
      </c>
      <c r="E19" s="1814"/>
      <c r="F19" s="26"/>
      <c r="G19" s="1847"/>
      <c r="H19" s="1201" t="s">
        <v>1036</v>
      </c>
      <c r="I19" s="347" t="s">
        <v>1437</v>
      </c>
      <c r="J19" s="24">
        <f ca="1">IF(K19="按租金收入计税",ROUND(J5*M19,0),ROUND(C29*M19*0.7,0))</f>
        <v>0</v>
      </c>
      <c r="K19" s="1824" t="s">
        <v>1438</v>
      </c>
      <c r="L19" s="347" t="s">
        <v>1422</v>
      </c>
      <c r="M19" s="367">
        <f>IF(K19="按租金收入计税",'数据-取费表'!B51,'数据-取费表'!B50)</f>
        <v>1.2E-2</v>
      </c>
    </row>
    <row r="20" spans="1:37" s="1854" customFormat="1" ht="18" customHeight="1">
      <c r="A20" s="1201" t="s">
        <v>1039</v>
      </c>
      <c r="B20" s="347" t="s">
        <v>1439</v>
      </c>
      <c r="C20" s="24">
        <f ca="1">ROUND(C19*F20,0)</f>
        <v>0</v>
      </c>
      <c r="D20" s="369" t="s">
        <v>1440</v>
      </c>
      <c r="E20" s="347" t="s">
        <v>1422</v>
      </c>
      <c r="F20" s="367">
        <f>'数据-取费表'!B37</f>
        <v>0.02</v>
      </c>
      <c r="G20" s="1850"/>
      <c r="H20" s="1201" t="s">
        <v>1389</v>
      </c>
      <c r="I20" s="164" t="s">
        <v>1441</v>
      </c>
      <c r="J20" s="25">
        <f ca="1">ROUND(M20*M21,0)</f>
        <v>0</v>
      </c>
      <c r="K20" s="370" t="s">
        <v>1442</v>
      </c>
      <c r="L20" s="347" t="s">
        <v>1443</v>
      </c>
      <c r="M20" s="371">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1" t="s">
        <v>1075</v>
      </c>
      <c r="B21" s="347" t="s">
        <v>1444</v>
      </c>
      <c r="C21" s="24" t="s">
        <v>1</v>
      </c>
      <c r="D21" s="369" t="s">
        <v>1445</v>
      </c>
      <c r="E21" s="347" t="s">
        <v>1446</v>
      </c>
      <c r="F21" s="367">
        <f>'数据-取费表'!B38</f>
        <v>0.03</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4"/>
      <c r="F22" s="26"/>
      <c r="G22" s="1847"/>
      <c r="H22" s="1201" t="s">
        <v>1039</v>
      </c>
      <c r="I22" s="347" t="s">
        <v>1449</v>
      </c>
      <c r="J22" s="24">
        <f ca="1">ROUND(J14*M22,0)</f>
        <v>0</v>
      </c>
      <c r="K22" s="1794" t="s">
        <v>1450</v>
      </c>
      <c r="L22" s="347" t="s">
        <v>1422</v>
      </c>
      <c r="M22" s="374">
        <f ca="1">INDIRECT("'数据-取费表'!Ak"&amp;$G$1)</f>
        <v>0</v>
      </c>
    </row>
    <row r="23" spans="1:37" s="1854"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0"/>
      <c r="H23" s="1201" t="s">
        <v>1075</v>
      </c>
      <c r="I23" s="347" t="s">
        <v>1453</v>
      </c>
      <c r="J23" s="24">
        <f ca="1">ROUND(J13*M23,0)</f>
        <v>0</v>
      </c>
      <c r="K23" s="1794" t="s">
        <v>1454</v>
      </c>
      <c r="L23" s="347" t="s">
        <v>1455</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1"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0"/>
      <c r="H24" s="1338" t="s">
        <v>1393</v>
      </c>
      <c r="I24" s="1339" t="s">
        <v>1439</v>
      </c>
      <c r="J24" s="1340">
        <f ca="1">ROUND(J5*M24,0)</f>
        <v>0</v>
      </c>
      <c r="K24" s="1341" t="s">
        <v>1459</v>
      </c>
      <c r="L24" s="1339" t="s">
        <v>1455</v>
      </c>
      <c r="M24" s="1335">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1" t="s">
        <v>1460</v>
      </c>
      <c r="B25" s="347" t="s">
        <v>1461</v>
      </c>
      <c r="C25" s="24"/>
      <c r="D25" s="140" t="s">
        <v>1462</v>
      </c>
      <c r="E25" s="1814"/>
      <c r="F25" s="26"/>
      <c r="G25" s="1847"/>
      <c r="H25" s="1328" t="s">
        <v>1031</v>
      </c>
      <c r="I25" s="1343" t="s">
        <v>1463</v>
      </c>
      <c r="J25" s="355">
        <f ca="1">J5-J16</f>
        <v>0</v>
      </c>
      <c r="K25" s="1344" t="s">
        <v>1464</v>
      </c>
      <c r="L25" s="1345"/>
      <c r="M25" s="1346"/>
    </row>
    <row r="26" spans="1:37" ht="18" customHeight="1">
      <c r="A26" s="1201" t="s">
        <v>1034</v>
      </c>
      <c r="B26" s="347" t="s">
        <v>1465</v>
      </c>
      <c r="C26" s="24">
        <f ca="1">ROUND((C19+C20)*F26,0)</f>
        <v>0</v>
      </c>
      <c r="D26" s="369" t="s">
        <v>1466</v>
      </c>
      <c r="E26" s="358" t="s">
        <v>1467</v>
      </c>
      <c r="F26" s="357">
        <f ca="1">INDIRECT("'数据-取费表'!q"&amp;$G$1)</f>
        <v>0</v>
      </c>
      <c r="G26" s="1847"/>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7"/>
      <c r="H27" s="349"/>
      <c r="I27" s="350"/>
      <c r="J27" s="351"/>
      <c r="K27" s="378" t="s">
        <v>1473</v>
      </c>
      <c r="L27" s="347" t="s">
        <v>1474</v>
      </c>
      <c r="M27" s="379">
        <f ca="1">INDIRECT("'数据-取费表'!ag"&amp;$G$1)</f>
        <v>0</v>
      </c>
    </row>
    <row r="28" spans="1:37" s="1854" customFormat="1" ht="18" customHeight="1">
      <c r="A28" s="1201" t="s">
        <v>1037</v>
      </c>
      <c r="B28" s="347" t="s">
        <v>1475</v>
      </c>
      <c r="C28" s="24">
        <f>ROUND(F28/(1+'数据-取费表'!C42),4)</f>
        <v>5.2400000000000002E-2</v>
      </c>
      <c r="D28" s="369" t="s">
        <v>1476</v>
      </c>
      <c r="E28" s="347" t="s">
        <v>1422</v>
      </c>
      <c r="F28" s="367">
        <f>'数据-取费表'!B41</f>
        <v>5.5000000000000007E-2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1038</v>
      </c>
      <c r="B29" s="1339" t="s">
        <v>1478</v>
      </c>
      <c r="C29" s="1340">
        <f ca="1">ROUND((C19+C20+C23+C26)/(1-F21-C24-C27-C28),0)</f>
        <v>0</v>
      </c>
      <c r="D29" s="1341"/>
      <c r="E29" s="1339"/>
      <c r="F29" s="1342"/>
      <c r="G29" s="1850"/>
      <c r="H29" s="380" t="s">
        <v>1033</v>
      </c>
      <c r="I29" s="381" t="s">
        <v>1479</v>
      </c>
      <c r="J29" s="382">
        <f ca="1">ROUND(J26/(1+F40)^F41,0)</f>
        <v>0</v>
      </c>
      <c r="K29" s="383" t="s">
        <v>1480</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1030</v>
      </c>
      <c r="B30" s="1329" t="s">
        <v>1424</v>
      </c>
      <c r="C30" s="355">
        <f ca="1">ROUND(C31+C36+C37+C38,0)</f>
        <v>0</v>
      </c>
      <c r="D30" s="1336" t="s">
        <v>1425</v>
      </c>
      <c r="E30" s="1337"/>
      <c r="F30" s="1293"/>
      <c r="G30" s="1847"/>
      <c r="H30" s="745"/>
      <c r="I30" s="746"/>
      <c r="J30" s="747"/>
      <c r="K30" s="748"/>
      <c r="L30" s="749"/>
      <c r="M30" s="750"/>
    </row>
    <row r="31" spans="1:37" ht="18" customHeight="1">
      <c r="A31" s="1201" t="s">
        <v>1035</v>
      </c>
      <c r="B31" s="347" t="s">
        <v>1429</v>
      </c>
      <c r="C31" s="24">
        <f ca="1">ROUND(IF(项目基本情况!B11="自然人",C5*F31,C32+C33+C34),0)</f>
        <v>0</v>
      </c>
      <c r="D31" s="1796" t="s">
        <v>1430</v>
      </c>
      <c r="E31" s="1794" t="s">
        <v>1481</v>
      </c>
      <c r="F31" s="368" t="str">
        <f ca="1">IF(项目基本情况!B11="企业","",IF(INDIRECT("'数据-取费表'!c"&amp;$G$1)="住宅",5%,IF(F6*F7*F8/12/(1+'数据-取费表'!C42)&gt;20000,12%,7%)))</f>
        <v/>
      </c>
      <c r="G31" s="1847"/>
      <c r="H31" s="745"/>
      <c r="I31" s="746"/>
      <c r="J31" s="747"/>
      <c r="K31" s="748"/>
      <c r="L31" s="749"/>
      <c r="M31" s="750"/>
    </row>
    <row r="32" spans="1:37" ht="18" customHeight="1">
      <c r="A32" s="1201" t="s">
        <v>1034</v>
      </c>
      <c r="B32" s="347" t="s">
        <v>1433</v>
      </c>
      <c r="C32" s="24">
        <f ca="1">IF(项目基本情况!B11="自然人","——",ROUND(C5*F32/(1+'数据-取费表'!C42),0))</f>
        <v>0</v>
      </c>
      <c r="D32" s="1794" t="s">
        <v>1434</v>
      </c>
      <c r="E32" s="347" t="s">
        <v>1422</v>
      </c>
      <c r="F32" s="377">
        <f>'数据-取费表'!B41</f>
        <v>5.5000000000000007E-2</v>
      </c>
      <c r="G32" s="1847"/>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4" t="s">
        <v>1438</v>
      </c>
      <c r="E33" s="347" t="s">
        <v>1422</v>
      </c>
      <c r="F33" s="367">
        <f>IF(D33="按票据","——",IF(D33="按租金收入计税",'数据-取费表'!B51,'数据-取费表'!B50))</f>
        <v>1.2E-2</v>
      </c>
      <c r="G33" s="1847"/>
      <c r="H33" s="1855"/>
      <c r="I33" s="1856"/>
      <c r="J33" s="1857"/>
      <c r="K33" s="1858"/>
      <c r="L33" s="1855"/>
      <c r="M33" s="1855"/>
    </row>
    <row r="34" spans="1:18" ht="18" customHeight="1">
      <c r="A34" s="1290" t="s">
        <v>1389</v>
      </c>
      <c r="B34" s="164" t="s">
        <v>1441</v>
      </c>
      <c r="C34" s="25">
        <f ca="1">IF(项目基本情况!B11="自然人","——",ROUND(F34*F35,))</f>
        <v>0</v>
      </c>
      <c r="D34" s="370" t="s">
        <v>1442</v>
      </c>
      <c r="E34" s="347" t="s">
        <v>1443</v>
      </c>
      <c r="F34" s="371">
        <f>'数据-取费表'!B52</f>
        <v>10</v>
      </c>
      <c r="G34" s="1847"/>
      <c r="H34" s="745"/>
      <c r="I34" s="1856"/>
      <c r="J34" s="1857"/>
      <c r="K34" s="1859"/>
      <c r="L34" s="1860"/>
      <c r="M34" s="1860"/>
    </row>
    <row r="35" spans="1:18" ht="18" customHeight="1">
      <c r="A35" s="1352"/>
      <c r="B35" s="1350"/>
      <c r="C35" s="29"/>
      <c r="D35" s="373"/>
      <c r="E35" s="347" t="s">
        <v>1447</v>
      </c>
      <c r="F35" s="348">
        <f ca="1">INDIRECT("'数据-取费表'!r"&amp;$G$1)</f>
        <v>0</v>
      </c>
      <c r="G35" s="1847"/>
      <c r="H35" s="745"/>
      <c r="I35" s="1856"/>
      <c r="J35" s="1857"/>
      <c r="K35" s="1858"/>
      <c r="L35" s="1855"/>
      <c r="M35" s="1855"/>
    </row>
    <row r="36" spans="1:18" ht="18" customHeight="1">
      <c r="A36" s="1351" t="s">
        <v>1039</v>
      </c>
      <c r="B36" s="347" t="s">
        <v>1449</v>
      </c>
      <c r="C36" s="24">
        <f ca="1">ROUND(C29*F36,0)</f>
        <v>0</v>
      </c>
      <c r="D36" s="1794" t="s">
        <v>1482</v>
      </c>
      <c r="E36" s="347" t="s">
        <v>1422</v>
      </c>
      <c r="F36" s="374">
        <f ca="1">INDIRECT("'数据-取费表'!Ak"&amp;$G$1)</f>
        <v>0</v>
      </c>
      <c r="G36" s="1847"/>
      <c r="H36" s="1855"/>
      <c r="I36" s="1856"/>
      <c r="J36" s="1857"/>
      <c r="K36" s="751"/>
      <c r="L36" s="1855"/>
      <c r="M36" s="1855"/>
    </row>
    <row r="37" spans="1:18" ht="18" customHeight="1">
      <c r="A37" s="1201" t="s">
        <v>1075</v>
      </c>
      <c r="B37" s="347" t="s">
        <v>1453</v>
      </c>
      <c r="C37" s="24">
        <f ca="1">ROUND(C13*F37,0)</f>
        <v>0</v>
      </c>
      <c r="D37" s="1794" t="s">
        <v>1454</v>
      </c>
      <c r="E37" s="347" t="s">
        <v>1455</v>
      </c>
      <c r="F37" s="376">
        <f ca="1">INDIRECT("'数据-取费表'!Al"&amp;$G$1)</f>
        <v>0</v>
      </c>
      <c r="G37" s="1847"/>
      <c r="H37" s="1855"/>
      <c r="I37" s="1856"/>
      <c r="J37" s="1857"/>
      <c r="K37" s="751"/>
      <c r="L37" s="1855"/>
      <c r="M37" s="1855"/>
    </row>
    <row r="38" spans="1:18" ht="18" customHeight="1" thickBot="1">
      <c r="A38" s="1338" t="s">
        <v>1393</v>
      </c>
      <c r="B38" s="1339" t="s">
        <v>1439</v>
      </c>
      <c r="C38" s="1340">
        <f ca="1">ROUND(C5*F38,1)</f>
        <v>0</v>
      </c>
      <c r="D38" s="1341" t="s">
        <v>1459</v>
      </c>
      <c r="E38" s="1339" t="s">
        <v>1455</v>
      </c>
      <c r="F38" s="1335">
        <f ca="1">INDIRECT("'数据-取费表'!Am"&amp;$G$1)</f>
        <v>0</v>
      </c>
      <c r="G38" s="1847"/>
      <c r="H38" s="1855"/>
      <c r="I38" s="1856"/>
      <c r="J38" s="1857"/>
      <c r="K38" s="1861"/>
      <c r="L38" s="1855"/>
      <c r="M38" s="1855"/>
    </row>
    <row r="39" spans="1:18" ht="24.6" customHeight="1" thickTop="1">
      <c r="A39" s="1328" t="s">
        <v>1031</v>
      </c>
      <c r="B39" s="1343" t="s">
        <v>1483</v>
      </c>
      <c r="C39" s="355">
        <f ca="1">C5-C30</f>
        <v>0</v>
      </c>
      <c r="D39" s="1344" t="s">
        <v>1484</v>
      </c>
      <c r="E39" s="1345"/>
      <c r="F39" s="1346"/>
      <c r="G39" s="1847"/>
      <c r="H39" s="1855"/>
      <c r="I39" s="1856"/>
      <c r="J39" s="1857"/>
      <c r="K39" s="1861"/>
      <c r="L39" s="1855"/>
      <c r="M39" s="1855"/>
    </row>
    <row r="40" spans="1:18" ht="18" customHeight="1">
      <c r="A40" s="344" t="s">
        <v>1032</v>
      </c>
      <c r="B40" s="345" t="s">
        <v>1485</v>
      </c>
      <c r="C40" s="346" t="e">
        <f ca="1">ROUND(C39*(1-((1+F42)/(1+F40))^F41)/(F40-F42),0)</f>
        <v>#DIV/0!</v>
      </c>
      <c r="D40" s="370" t="s">
        <v>1469</v>
      </c>
      <c r="E40" s="347" t="s">
        <v>1470</v>
      </c>
      <c r="F40" s="357">
        <f ca="1">INDIRECT("'数据-取费表'!I"&amp;$G$1)</f>
        <v>0</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1477</v>
      </c>
      <c r="F42" s="357">
        <f ca="1">INDIRECT("'数据-取费表'!v"&amp;$G$1)</f>
        <v>0</v>
      </c>
      <c r="G42" s="1847"/>
      <c r="H42" s="732"/>
      <c r="I42" s="1856"/>
      <c r="J42" s="1857"/>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5" t="s">
        <v>1396</v>
      </c>
      <c r="B47" s="1197" t="s">
        <v>1397</v>
      </c>
      <c r="C47" s="1197" t="s">
        <v>1398</v>
      </c>
      <c r="D47" s="1197" t="s">
        <v>1399</v>
      </c>
      <c r="E47" s="1278" t="s">
        <v>1400</v>
      </c>
      <c r="F47" s="1279"/>
      <c r="G47" s="792"/>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9" t="s">
        <v>1135</v>
      </c>
      <c r="B48" s="345" t="s">
        <v>1401</v>
      </c>
      <c r="C48" s="1813">
        <f ca="1">C49+C53+C55</f>
        <v>0</v>
      </c>
      <c r="D48" s="1361"/>
      <c r="E48" s="1362"/>
      <c r="F48" s="1181"/>
      <c r="G48" s="792"/>
      <c r="H48" s="793"/>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4" t="s">
        <v>1136</v>
      </c>
      <c r="B49" s="1825" t="s">
        <v>1490</v>
      </c>
      <c r="C49" s="1363">
        <f ca="1">ROUND(F49*F51*F50*(1-F52),0)</f>
        <v>0</v>
      </c>
      <c r="D49" s="1275" t="s">
        <v>1404</v>
      </c>
      <c r="E49" s="1826" t="s">
        <v>1491</v>
      </c>
      <c r="F49" s="1280"/>
      <c r="G49" s="1887"/>
      <c r="H49" s="793"/>
      <c r="I49" s="1883" t="s">
        <v>1534</v>
      </c>
      <c r="J49" s="1888"/>
      <c r="K49" s="1885" t="s">
        <v>1535</v>
      </c>
      <c r="L49" s="1889"/>
      <c r="O49" s="1890" t="s">
        <v>1042</v>
      </c>
      <c r="P49" s="1881" t="s">
        <v>1536</v>
      </c>
      <c r="Q49" s="1882">
        <f ca="1">C29</f>
        <v>0</v>
      </c>
      <c r="R49" s="1882" t="s">
        <v>1529</v>
      </c>
    </row>
    <row r="50" spans="1:18" s="1838" customFormat="1" ht="13.5" thickBot="1">
      <c r="A50" s="1195"/>
      <c r="B50" s="1198"/>
      <c r="C50" s="1199"/>
      <c r="D50" s="1172"/>
      <c r="E50" s="1276" t="s">
        <v>1406</v>
      </c>
      <c r="F50" s="1277">
        <f ca="1">F7</f>
        <v>0</v>
      </c>
      <c r="H50" s="793"/>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6"/>
      <c r="B51" s="1198"/>
      <c r="C51" s="1199"/>
      <c r="D51" s="1172"/>
      <c r="E51" s="1200" t="s">
        <v>1407</v>
      </c>
      <c r="F51" s="348">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6"/>
      <c r="B52" s="1198"/>
      <c r="C52" s="1199"/>
      <c r="D52" s="1172"/>
      <c r="E52" s="1200" t="s">
        <v>1408</v>
      </c>
      <c r="F52" s="1274"/>
      <c r="I52" s="1899" t="s">
        <v>1543</v>
      </c>
      <c r="J52" s="1900"/>
      <c r="K52" s="1899" t="s">
        <v>1544</v>
      </c>
      <c r="L52" s="1900"/>
      <c r="O52" s="1890" t="s">
        <v>1045</v>
      </c>
      <c r="P52" s="1881" t="s">
        <v>1545</v>
      </c>
      <c r="Q52" s="1882" t="b">
        <f>J53</f>
        <v>0</v>
      </c>
      <c r="R52" s="1882" t="s">
        <v>1546</v>
      </c>
    </row>
    <row r="53" spans="1:18" s="1838" customFormat="1" ht="30.75" customHeight="1" thickBot="1">
      <c r="A53" s="1360" t="s">
        <v>1137</v>
      </c>
      <c r="B53" s="369" t="s">
        <v>1409</v>
      </c>
      <c r="C53" s="361">
        <f ca="1">ROUND(IF(F53="押一",C49/12*F11,IF(F53="押二",C49/12*2*F11,IF(F53="押三",C49/12*3*F11,C54*F11))),0)</f>
        <v>0</v>
      </c>
      <c r="D53" s="1820" t="s">
        <v>3043</v>
      </c>
      <c r="E53" s="358" t="s">
        <v>1410</v>
      </c>
      <c r="F53" s="1365"/>
      <c r="I53" s="1901" t="s">
        <v>1547</v>
      </c>
      <c r="J53" s="1902" t="b">
        <f>IF(M47="住宅",IF(D1="——",MAX(J51,L48),IF(D1="在建（套用方法）",MAX(J51,L48-'数据-取费表'!B24),MAX(J51,L48-'数据-取费表'!B20))),IF(D1="——",MIN(J51,L48),IF(D1="在建（套用方法）",MIN(J51,L48-'数据-取费表'!B24),IF(D1="土地（套用方法）",MIN(J51,L48-'数据-取费表'!B20)))))</f>
        <v>0</v>
      </c>
      <c r="K53" s="3201" t="s">
        <v>1548</v>
      </c>
      <c r="L53" s="3202"/>
      <c r="O53" s="1880" t="s">
        <v>1046</v>
      </c>
      <c r="P53" s="1881" t="s">
        <v>1549</v>
      </c>
      <c r="Q53" s="1882" t="e">
        <f ca="1">Q47+Q48</f>
        <v>#DIV/0!</v>
      </c>
      <c r="R53" s="1882" t="s">
        <v>1047</v>
      </c>
    </row>
    <row r="54" spans="1:18" s="1838" customFormat="1" ht="13.5" thickBot="1">
      <c r="A54" s="1194"/>
      <c r="B54" s="1937" t="s">
        <v>1603</v>
      </c>
      <c r="C54" s="1178"/>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2" t="s">
        <v>1075</v>
      </c>
      <c r="B55" s="1823" t="s">
        <v>1413</v>
      </c>
      <c r="C55" s="1333"/>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6">
        <v>2</v>
      </c>
      <c r="B56" s="1177" t="s">
        <v>1414</v>
      </c>
      <c r="C56" s="276">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9" t="s">
        <v>1478</v>
      </c>
      <c r="C57" s="282">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60" t="s">
        <v>1030</v>
      </c>
      <c r="B58" s="1177" t="s">
        <v>1424</v>
      </c>
      <c r="C58" s="361">
        <f ca="1">ROUND(C59+C64+C65+C66,0)</f>
        <v>0</v>
      </c>
      <c r="D58" s="1179" t="s">
        <v>1425</v>
      </c>
      <c r="E58" s="1180"/>
      <c r="F58" s="1181"/>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201" t="s">
        <v>1492</v>
      </c>
      <c r="B61" s="1169" t="s">
        <v>1493</v>
      </c>
      <c r="C61" s="24">
        <f ca="1">IF(项目基本情况!B11="自然人","——",IF(D61="按租金收入计税",ROUND(C48*F61,0),IF(D61="按房产原值计税",ROUND(C57*F61*0.7,0),INDIRECT("'数据-取费表'!Aj"&amp;$G$1))))</f>
        <v>0</v>
      </c>
      <c r="D61" s="1824" t="s">
        <v>1438</v>
      </c>
      <c r="E61" s="1169" t="s">
        <v>1494</v>
      </c>
      <c r="F61" s="367">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201" t="s">
        <v>1495</v>
      </c>
      <c r="B62" s="1168" t="s">
        <v>1496</v>
      </c>
      <c r="C62" s="25">
        <f ca="1">IF(项目基本情况!B11="自然人","——",ROUND(F62*F63,0))</f>
        <v>0</v>
      </c>
      <c r="D62" s="1184" t="s">
        <v>1497</v>
      </c>
      <c r="E62" s="1169" t="s">
        <v>1498</v>
      </c>
      <c r="F62" s="371">
        <f t="shared" si="0"/>
        <v>10</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2"/>
      <c r="B63" s="1175"/>
      <c r="C63" s="29"/>
      <c r="D63" s="1185"/>
      <c r="E63" s="1169" t="s">
        <v>1499</v>
      </c>
      <c r="F63" s="348">
        <f t="shared" ca="1" si="0"/>
        <v>0</v>
      </c>
      <c r="I63" s="1925" t="s">
        <v>1576</v>
      </c>
      <c r="J63" s="1926">
        <v>70</v>
      </c>
      <c r="K63" s="1926">
        <v>50</v>
      </c>
      <c r="L63" s="1926">
        <v>80</v>
      </c>
      <c r="M63" s="1928">
        <v>0.02</v>
      </c>
      <c r="O63" s="1865" t="s">
        <v>1577</v>
      </c>
      <c r="P63" s="1835"/>
      <c r="Q63" s="1835"/>
      <c r="R63" s="1835"/>
    </row>
    <row r="64" spans="1:18" s="1838" customFormat="1" ht="13.5" thickBot="1">
      <c r="A64" s="1201" t="s">
        <v>1500</v>
      </c>
      <c r="B64" s="1169" t="s">
        <v>1501</v>
      </c>
      <c r="C64" s="24">
        <f ca="1">ROUND(C57*F64,0)</f>
        <v>0</v>
      </c>
      <c r="D64" s="1183" t="s">
        <v>1502</v>
      </c>
      <c r="E64" s="1169" t="s">
        <v>1494</v>
      </c>
      <c r="F64" s="374">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201" t="s">
        <v>1503</v>
      </c>
      <c r="B65" s="1169" t="s">
        <v>1453</v>
      </c>
      <c r="C65" s="24">
        <f ca="1">ROUND(C56*F65,0)</f>
        <v>0</v>
      </c>
      <c r="D65" s="1183" t="s">
        <v>1454</v>
      </c>
      <c r="E65" s="1169" t="s">
        <v>1455</v>
      </c>
      <c r="F65" s="376">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201" t="s">
        <v>1504</v>
      </c>
      <c r="B66" s="1169" t="s">
        <v>1439</v>
      </c>
      <c r="C66" s="24">
        <f ca="1">ROUND(C48*F66,0)</f>
        <v>0</v>
      </c>
      <c r="D66" s="1183" t="s">
        <v>1505</v>
      </c>
      <c r="E66" s="1169" t="s">
        <v>1422</v>
      </c>
      <c r="F66" s="357">
        <f t="shared" ca="1" si="0"/>
        <v>0</v>
      </c>
      <c r="O66" s="1880" t="s">
        <v>1041</v>
      </c>
      <c r="P66" s="1881" t="s">
        <v>1558</v>
      </c>
      <c r="Q66" s="1882" t="e">
        <f ca="1">L60</f>
        <v>#DIV/0!</v>
      </c>
      <c r="R66" s="1882" t="s">
        <v>1581</v>
      </c>
    </row>
    <row r="67" spans="1:18" s="1838" customFormat="1" ht="16.5" thickBot="1">
      <c r="A67" s="1176" t="s">
        <v>1031</v>
      </c>
      <c r="B67" s="1186" t="s">
        <v>1463</v>
      </c>
      <c r="C67" s="361">
        <f ca="1">C48-C58</f>
        <v>0</v>
      </c>
      <c r="D67" s="1182" t="s">
        <v>1464</v>
      </c>
      <c r="E67" s="1187"/>
      <c r="F67" s="1188"/>
      <c r="O67" s="1890" t="s">
        <v>1042</v>
      </c>
      <c r="P67" s="1881" t="s">
        <v>1562</v>
      </c>
      <c r="Q67" s="1929">
        <f ca="1">L51</f>
        <v>0</v>
      </c>
      <c r="R67" s="1882" t="s">
        <v>1582</v>
      </c>
    </row>
    <row r="68" spans="1:18" s="1838" customFormat="1" ht="16.5" thickBot="1">
      <c r="A68" s="1166" t="s">
        <v>1032</v>
      </c>
      <c r="B68" s="1167" t="s">
        <v>1485</v>
      </c>
      <c r="C68" s="346" t="e">
        <f ca="1">ROUND(C67*(1-((1+F70)/(1+F68))^F69)/(F68-F70),0)</f>
        <v>#DIV/0!</v>
      </c>
      <c r="D68" s="1184" t="s">
        <v>1469</v>
      </c>
      <c r="E68" s="1169" t="s">
        <v>1470</v>
      </c>
      <c r="F68" s="357">
        <f ca="1">F40</f>
        <v>0</v>
      </c>
      <c r="O68" s="1890" t="s">
        <v>1043</v>
      </c>
      <c r="P68" s="1930" t="s">
        <v>1583</v>
      </c>
      <c r="Q68" s="1882">
        <f ca="1">ROUND(Q69-Q70*Q71,0)</f>
        <v>0</v>
      </c>
      <c r="R68" s="1882" t="s">
        <v>1051</v>
      </c>
    </row>
    <row r="69" spans="1:18" s="1838" customFormat="1" ht="13.5" thickBot="1">
      <c r="A69" s="1170"/>
      <c r="B69" s="1171"/>
      <c r="C69" s="351"/>
      <c r="D69" s="1189" t="s">
        <v>1473</v>
      </c>
      <c r="E69" s="1169" t="s">
        <v>1474</v>
      </c>
      <c r="F69" s="379">
        <f ca="1">F41</f>
        <v>0</v>
      </c>
      <c r="O69" s="1890" t="s">
        <v>1048</v>
      </c>
      <c r="P69" s="1930" t="s">
        <v>1584</v>
      </c>
      <c r="Q69" s="1882">
        <f ca="1">C39</f>
        <v>0</v>
      </c>
      <c r="R69" s="1882" t="s">
        <v>1529</v>
      </c>
    </row>
    <row r="70" spans="1:18" s="1838" customFormat="1" ht="13.5" thickBot="1">
      <c r="A70" s="1173"/>
      <c r="B70" s="1174"/>
      <c r="C70" s="355"/>
      <c r="D70" s="1185"/>
      <c r="E70" s="1169" t="s">
        <v>1477</v>
      </c>
      <c r="F70" s="1274">
        <f ca="1">F42</f>
        <v>0</v>
      </c>
      <c r="O70" s="1890" t="s">
        <v>1049</v>
      </c>
      <c r="P70" s="1930" t="s">
        <v>1585</v>
      </c>
      <c r="Q70" s="1882">
        <f ca="1">C13</f>
        <v>0</v>
      </c>
      <c r="R70" s="1882" t="s">
        <v>1529</v>
      </c>
    </row>
    <row r="71" spans="1:18" s="1838" customFormat="1" ht="13.5" thickBot="1">
      <c r="A71" s="1190" t="s">
        <v>1033</v>
      </c>
      <c r="B71" s="1191" t="s">
        <v>1487</v>
      </c>
      <c r="C71" s="382" t="e">
        <f ca="1">ROUND(C68/F71,0)</f>
        <v>#DIV/0!</v>
      </c>
      <c r="D71" s="1192" t="s">
        <v>1488</v>
      </c>
      <c r="E71" s="1193" t="s">
        <v>1489</v>
      </c>
      <c r="F71" s="385">
        <f ca="1">F43</f>
        <v>0</v>
      </c>
      <c r="O71" s="1890" t="s">
        <v>1050</v>
      </c>
      <c r="P71" s="1930" t="s">
        <v>1586</v>
      </c>
      <c r="Q71" s="1893">
        <f ca="1">C76</f>
        <v>0</v>
      </c>
      <c r="R71" s="1882"/>
    </row>
    <row r="72" spans="1:18" s="1838" customFormat="1" ht="13.5" thickBot="1">
      <c r="B72" s="796"/>
      <c r="C72" s="796"/>
      <c r="O72" s="1890" t="s">
        <v>1044</v>
      </c>
      <c r="P72" s="1881" t="s">
        <v>1564</v>
      </c>
      <c r="Q72" s="1893">
        <f>L52</f>
        <v>0</v>
      </c>
      <c r="R72" s="1882"/>
    </row>
    <row r="73" spans="1:18" ht="16.5" thickBot="1">
      <c r="A73" s="1838"/>
      <c r="B73" s="796"/>
      <c r="C73" s="796"/>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6" t="s">
        <v>1506</v>
      </c>
      <c r="C75" s="387">
        <f ca="1">ROUND(C13*C76,0)</f>
        <v>0</v>
      </c>
      <c r="D75" s="1838"/>
      <c r="E75" s="1838"/>
      <c r="F75" s="1838"/>
      <c r="K75" s="1864"/>
      <c r="L75" s="1838"/>
      <c r="O75" s="1880" t="s">
        <v>1046</v>
      </c>
      <c r="P75" s="1881" t="s">
        <v>1549</v>
      </c>
      <c r="Q75" s="1882" t="e">
        <f ca="1">Q65+Q66</f>
        <v>#DIV/0!</v>
      </c>
      <c r="R75" s="1882" t="s">
        <v>1047</v>
      </c>
    </row>
    <row r="76" spans="1:18">
      <c r="B76" s="388" t="s">
        <v>1507</v>
      </c>
      <c r="C76" s="389">
        <f ca="1">INDIRECT("'数据-取费表'!j"&amp;$G$1)</f>
        <v>0</v>
      </c>
      <c r="I76" s="1838"/>
      <c r="J76" s="1838"/>
      <c r="K76" s="1864"/>
      <c r="L76" s="1838"/>
    </row>
    <row r="77" spans="1:18">
      <c r="B77" s="390" t="s">
        <v>1508</v>
      </c>
      <c r="C77" s="391"/>
      <c r="I77" s="1838"/>
      <c r="J77" s="1838"/>
      <c r="K77" s="1864"/>
      <c r="L77" s="1838"/>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2532</v>
      </c>
      <c r="B1" s="2556"/>
      <c r="C1" s="2556"/>
      <c r="D1" s="2556"/>
      <c r="E1" s="2557"/>
    </row>
    <row r="2" spans="1:6" ht="15.75">
      <c r="A2" s="2558" t="s">
        <v>2333</v>
      </c>
      <c r="B2" s="2559">
        <f ca="1">SUMIF(B6:B13,"&lt;&gt;#ref!",B6:B13)</f>
        <v>18797</v>
      </c>
      <c r="C2" s="2560" t="s">
        <v>2525</v>
      </c>
      <c r="D2" s="2561" t="s">
        <v>2526</v>
      </c>
      <c r="E2" s="2562">
        <f>SUM(E6:E13)</f>
        <v>38865.599999999999</v>
      </c>
    </row>
    <row r="3" spans="1:6" ht="15.75">
      <c r="A3" s="2558" t="s">
        <v>1395</v>
      </c>
      <c r="B3" s="2559">
        <f ca="1">ROUND(B2*10000/E2,0)</f>
        <v>4836</v>
      </c>
      <c r="C3" s="2560" t="s">
        <v>2533</v>
      </c>
      <c r="D3" s="2563"/>
      <c r="E3" s="2564"/>
    </row>
    <row r="4" spans="1:6" ht="15.75">
      <c r="A4" s="2565"/>
      <c r="B4" s="2563"/>
      <c r="C4" s="2563"/>
      <c r="D4" s="2563"/>
      <c r="E4" s="2564"/>
    </row>
    <row r="5" spans="1:6" ht="15">
      <c r="A5" s="2566" t="s">
        <v>2527</v>
      </c>
      <c r="B5" s="3206" t="s">
        <v>2528</v>
      </c>
      <c r="C5" s="3206"/>
      <c r="D5" s="2567"/>
      <c r="E5" s="2568" t="s">
        <v>2529</v>
      </c>
      <c r="F5" s="2569" t="s">
        <v>2530</v>
      </c>
    </row>
    <row r="6" spans="1:6">
      <c r="A6" s="2570" t="str">
        <f>'数据-取费表'!AN6</f>
        <v>收益法</v>
      </c>
      <c r="B6" s="2569">
        <f ca="1">IF(F6="是",'数据-取费表'!AO6,0)</f>
        <v>18797</v>
      </c>
      <c r="C6" s="2560" t="s">
        <v>2525</v>
      </c>
      <c r="D6" s="2563"/>
      <c r="E6" s="2571">
        <f>IF(OR(A6=0,F6="否"),0,'数据-取费表'!K6+'数据-取费表'!S6)</f>
        <v>38865.599999999999</v>
      </c>
      <c r="F6" s="2572" t="s">
        <v>2531</v>
      </c>
    </row>
    <row r="7" spans="1:6">
      <c r="A7" s="2570">
        <f>'数据-取费表'!AN7</f>
        <v>0</v>
      </c>
      <c r="B7" s="2569" t="e">
        <f ca="1">IF(F7="是",'数据-取费表'!AO7,0)</f>
        <v>#REF!</v>
      </c>
      <c r="C7" s="2560" t="s">
        <v>2525</v>
      </c>
      <c r="D7" s="2563"/>
      <c r="E7" s="2571">
        <f>IF(OR(A7=0,F7="否"),0,'数据-取费表'!K7+'数据-取费表'!S7)</f>
        <v>0</v>
      </c>
      <c r="F7" s="2572" t="s">
        <v>2531</v>
      </c>
    </row>
    <row r="8" spans="1:6">
      <c r="A8" s="2570">
        <f>'数据-取费表'!AN8</f>
        <v>0</v>
      </c>
      <c r="B8" s="2569" t="e">
        <f ca="1">IF(F8="是",'数据-取费表'!AO8,0)</f>
        <v>#REF!</v>
      </c>
      <c r="C8" s="2560" t="s">
        <v>2525</v>
      </c>
      <c r="D8" s="2563"/>
      <c r="E8" s="2571">
        <f>IF(OR(A8=0,F8="否"),0,'数据-取费表'!K8+'数据-取费表'!S8)</f>
        <v>0</v>
      </c>
      <c r="F8" s="2572" t="s">
        <v>2531</v>
      </c>
    </row>
    <row r="9" spans="1:6">
      <c r="A9" s="2570">
        <f>'数据-取费表'!AN9</f>
        <v>0</v>
      </c>
      <c r="B9" s="2569" t="e">
        <f ca="1">IF(F9="是",'数据-取费表'!AO9,0)</f>
        <v>#REF!</v>
      </c>
      <c r="C9" s="2560" t="s">
        <v>2525</v>
      </c>
      <c r="D9" s="2563"/>
      <c r="E9" s="2571">
        <f>IF(OR(A9=0,F9="否"),0,'数据-取费表'!K9+'数据-取费表'!S9)</f>
        <v>0</v>
      </c>
      <c r="F9" s="2572" t="s">
        <v>2531</v>
      </c>
    </row>
    <row r="10" spans="1:6">
      <c r="A10" s="2570">
        <f>'数据-取费表'!AN10</f>
        <v>0</v>
      </c>
      <c r="B10" s="2569" t="e">
        <f ca="1">IF(F10="是",'数据-取费表'!AO10,0)</f>
        <v>#REF!</v>
      </c>
      <c r="C10" s="2560" t="s">
        <v>2525</v>
      </c>
      <c r="D10" s="2563"/>
      <c r="E10" s="2571">
        <f>IF(OR(A10=0,F10="否"),0,'数据-取费表'!K10+'数据-取费表'!S10)</f>
        <v>0</v>
      </c>
      <c r="F10" s="2572" t="s">
        <v>2531</v>
      </c>
    </row>
    <row r="11" spans="1:6">
      <c r="A11" s="2570">
        <f>'数据-取费表'!AN11</f>
        <v>0</v>
      </c>
      <c r="B11" s="2569" t="e">
        <f ca="1">IF(F11="是",'数据-取费表'!AO11,0)</f>
        <v>#REF!</v>
      </c>
      <c r="C11" s="2560" t="s">
        <v>2525</v>
      </c>
      <c r="D11" s="2563"/>
      <c r="E11" s="2571">
        <f>IF(OR(A11=0,F11="否"),0,'数据-取费表'!K11+'数据-取费表'!S11)</f>
        <v>0</v>
      </c>
      <c r="F11" s="2572" t="s">
        <v>2531</v>
      </c>
    </row>
    <row r="12" spans="1:6">
      <c r="A12" s="2570">
        <f>'数据-取费表'!AN12</f>
        <v>0</v>
      </c>
      <c r="B12" s="2569" t="e">
        <f ca="1">IF(F12="是",'数据-取费表'!AO12,0)</f>
        <v>#REF!</v>
      </c>
      <c r="C12" s="2560" t="s">
        <v>2525</v>
      </c>
      <c r="D12" s="2563"/>
      <c r="E12" s="2571">
        <f>IF(OR(A12=0,F12="否"),0,'数据-取费表'!K12+'数据-取费表'!S12)</f>
        <v>0</v>
      </c>
      <c r="F12" s="2572" t="s">
        <v>2531</v>
      </c>
    </row>
    <row r="13" spans="1:6" ht="15" thickBot="1">
      <c r="A13" s="2573">
        <f>'数据-取费表'!AN13</f>
        <v>0</v>
      </c>
      <c r="B13" s="2569" t="e">
        <f ca="1">IF(F13="是",'数据-取费表'!AO13,0)</f>
        <v>#REF!</v>
      </c>
      <c r="C13" s="2574" t="s">
        <v>2525</v>
      </c>
      <c r="D13" s="2575"/>
      <c r="E13" s="2571">
        <f>IF(OR(A13=0,F13="否"),0,'数据-取费表'!K13+'数据-取费表'!S13)</f>
        <v>0</v>
      </c>
      <c r="F13" s="2572" t="s">
        <v>2531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13" t="s">
        <v>1077</v>
      </c>
      <c r="B2" s="3214" t="s">
        <v>1078</v>
      </c>
      <c r="C2" s="3214"/>
      <c r="D2" s="1300" t="s">
        <v>1079</v>
      </c>
      <c r="E2" s="1300" t="s">
        <v>1080</v>
      </c>
      <c r="F2" s="1300" t="s">
        <v>1081</v>
      </c>
      <c r="G2" s="1300" t="s">
        <v>1082</v>
      </c>
      <c r="H2" s="1300" t="s">
        <v>1083</v>
      </c>
      <c r="I2" s="1301" t="s">
        <v>1084</v>
      </c>
    </row>
    <row r="3" spans="1:9">
      <c r="A3" s="3213"/>
      <c r="B3" s="3214" t="s">
        <v>1085</v>
      </c>
      <c r="C3" s="3214"/>
      <c r="D3" s="1302"/>
      <c r="E3" s="1300"/>
      <c r="F3" s="1303"/>
      <c r="G3" s="1303"/>
      <c r="H3" s="1304"/>
      <c r="I3" s="1305">
        <f>ROUND(D3*E3*F3*G3*H3/10000,0)</f>
        <v>0</v>
      </c>
    </row>
    <row r="4" spans="1:9">
      <c r="A4" s="3213"/>
      <c r="B4" s="3214" t="s">
        <v>1086</v>
      </c>
      <c r="C4" s="3214"/>
      <c r="D4" s="1302"/>
      <c r="E4" s="1300"/>
      <c r="F4" s="1303"/>
      <c r="G4" s="1303"/>
      <c r="H4" s="1304"/>
      <c r="I4" s="1305">
        <f t="shared" ref="I4:I9" si="0">ROUND(D4*E4*F4*G4*H4/10000,0)</f>
        <v>0</v>
      </c>
    </row>
    <row r="5" spans="1:9">
      <c r="A5" s="3213"/>
      <c r="B5" s="3214" t="s">
        <v>1087</v>
      </c>
      <c r="C5" s="3214"/>
      <c r="D5" s="1302"/>
      <c r="E5" s="1300"/>
      <c r="F5" s="1303"/>
      <c r="G5" s="1303"/>
      <c r="H5" s="1304"/>
      <c r="I5" s="1305">
        <f t="shared" si="0"/>
        <v>0</v>
      </c>
    </row>
    <row r="6" spans="1:9">
      <c r="A6" s="3213"/>
      <c r="B6" s="3214" t="s">
        <v>1088</v>
      </c>
      <c r="C6" s="3214"/>
      <c r="D6" s="1302"/>
      <c r="E6" s="1300"/>
      <c r="F6" s="1303"/>
      <c r="G6" s="1303"/>
      <c r="H6" s="1304"/>
      <c r="I6" s="1305">
        <f t="shared" si="0"/>
        <v>0</v>
      </c>
    </row>
    <row r="7" spans="1:9">
      <c r="A7" s="3213"/>
      <c r="B7" s="3214" t="s">
        <v>1089</v>
      </c>
      <c r="C7" s="3214"/>
      <c r="D7" s="1302"/>
      <c r="E7" s="1300"/>
      <c r="F7" s="1303"/>
      <c r="G7" s="1303"/>
      <c r="H7" s="1304"/>
      <c r="I7" s="1305">
        <f t="shared" si="0"/>
        <v>0</v>
      </c>
    </row>
    <row r="8" spans="1:9">
      <c r="A8" s="3213"/>
      <c r="B8" s="3214" t="s">
        <v>1090</v>
      </c>
      <c r="C8" s="3214"/>
      <c r="D8" s="1302"/>
      <c r="E8" s="1300"/>
      <c r="F8" s="1303"/>
      <c r="G8" s="1303"/>
      <c r="H8" s="1304"/>
      <c r="I8" s="1305">
        <f t="shared" si="0"/>
        <v>0</v>
      </c>
    </row>
    <row r="9" spans="1:9">
      <c r="A9" s="3213"/>
      <c r="B9" s="3214" t="s">
        <v>1091</v>
      </c>
      <c r="C9" s="3214"/>
      <c r="D9" s="1302"/>
      <c r="E9" s="1300"/>
      <c r="F9" s="1303"/>
      <c r="G9" s="1303"/>
      <c r="H9" s="1304"/>
      <c r="I9" s="1305">
        <f t="shared" si="0"/>
        <v>0</v>
      </c>
    </row>
    <row r="10" spans="1:9">
      <c r="A10" s="3213"/>
      <c r="B10" s="3215" t="s">
        <v>1092</v>
      </c>
      <c r="C10" s="3215"/>
      <c r="D10" s="1306"/>
      <c r="E10" s="1306" t="e">
        <f>ROUND(D1*10000/D10/H9,0)</f>
        <v>#DIV/0!</v>
      </c>
      <c r="F10" s="1307"/>
      <c r="G10" s="1307"/>
      <c r="H10" s="1308"/>
      <c r="I10" s="1309">
        <f>SUM(I3:I9)</f>
        <v>0</v>
      </c>
    </row>
    <row r="11" spans="1:9" ht="14.25">
      <c r="A11" s="3213" t="s">
        <v>1093</v>
      </c>
      <c r="B11" s="3214" t="s">
        <v>1094</v>
      </c>
      <c r="C11" s="3214"/>
      <c r="D11" s="1302" t="s">
        <v>1095</v>
      </c>
      <c r="E11" s="1302" t="s">
        <v>1096</v>
      </c>
      <c r="F11" s="1303" t="s">
        <v>1097</v>
      </c>
      <c r="G11" s="1303" t="s">
        <v>1083</v>
      </c>
      <c r="H11" s="1310" t="s">
        <v>1098</v>
      </c>
      <c r="I11" s="1301" t="s">
        <v>1084</v>
      </c>
    </row>
    <row r="12" spans="1:9">
      <c r="A12" s="3213"/>
      <c r="B12" s="3214" t="s">
        <v>1099</v>
      </c>
      <c r="C12" s="3214"/>
      <c r="D12" s="1302"/>
      <c r="E12" s="1302"/>
      <c r="F12" s="1303"/>
      <c r="G12" s="1304"/>
      <c r="H12" s="1311"/>
      <c r="I12" s="1301">
        <f>ROUND(D12*E12*F12*G12/10000,0)</f>
        <v>0</v>
      </c>
    </row>
    <row r="13" spans="1:9">
      <c r="A13" s="3213"/>
      <c r="B13" s="3214" t="s">
        <v>1100</v>
      </c>
      <c r="C13" s="3214"/>
      <c r="D13" s="1302"/>
      <c r="E13" s="1302"/>
      <c r="F13" s="1303"/>
      <c r="G13" s="1304"/>
      <c r="H13" s="1311"/>
      <c r="I13" s="1301">
        <f>ROUND(D13*E13*F13*G13/10000,0)</f>
        <v>0</v>
      </c>
    </row>
    <row r="14" spans="1:9">
      <c r="A14" s="3213"/>
      <c r="B14" s="3214" t="s">
        <v>1101</v>
      </c>
      <c r="C14" s="3214"/>
      <c r="D14" s="1302"/>
      <c r="E14" s="1302"/>
      <c r="F14" s="1303"/>
      <c r="G14" s="1304"/>
      <c r="H14" s="1311"/>
      <c r="I14" s="1301">
        <f>ROUND(D14*E14*F14*G14/10000,0)</f>
        <v>0</v>
      </c>
    </row>
    <row r="15" spans="1:9">
      <c r="A15" s="3213"/>
      <c r="B15" s="3215" t="s">
        <v>1092</v>
      </c>
      <c r="C15" s="3215"/>
      <c r="D15" s="1306"/>
      <c r="E15" s="1306">
        <f>SUM(E12:E14)</f>
        <v>0</v>
      </c>
      <c r="F15" s="1307"/>
      <c r="G15" s="1304"/>
      <c r="H15" s="1311"/>
      <c r="I15" s="1312">
        <f>SUM(I12:I14)</f>
        <v>0</v>
      </c>
    </row>
    <row r="16" spans="1:9" ht="24">
      <c r="A16" s="3213" t="s">
        <v>1102</v>
      </c>
      <c r="B16" s="3214" t="s">
        <v>1103</v>
      </c>
      <c r="C16" s="3214"/>
      <c r="D16" s="1302" t="s">
        <v>1079</v>
      </c>
      <c r="E16" s="1313" t="s">
        <v>1104</v>
      </c>
      <c r="F16" s="1303" t="s">
        <v>1105</v>
      </c>
      <c r="G16" s="1304" t="s">
        <v>1083</v>
      </c>
      <c r="H16" s="1310" t="s">
        <v>1098</v>
      </c>
      <c r="I16" s="1301" t="s">
        <v>1084</v>
      </c>
    </row>
    <row r="17" spans="1:9" ht="14.25">
      <c r="A17" s="3213"/>
      <c r="B17" s="3214" t="s">
        <v>1106</v>
      </c>
      <c r="C17" s="3214"/>
      <c r="D17" s="1302"/>
      <c r="E17" s="1302"/>
      <c r="F17" s="1303"/>
      <c r="G17" s="1304"/>
      <c r="H17" s="1314"/>
      <c r="I17" s="1315">
        <f>ROUND(D17*E17*F17*G17/10000,0)</f>
        <v>0</v>
      </c>
    </row>
    <row r="18" spans="1:9" ht="14.25">
      <c r="A18" s="3213"/>
      <c r="B18" s="3214" t="s">
        <v>1107</v>
      </c>
      <c r="C18" s="3214"/>
      <c r="D18" s="1302"/>
      <c r="E18" s="1302"/>
      <c r="F18" s="1303"/>
      <c r="G18" s="1304"/>
      <c r="H18" s="1314"/>
      <c r="I18" s="1315">
        <f>ROUND(D18*E18*F18*G18/10000,0)</f>
        <v>0</v>
      </c>
    </row>
    <row r="19" spans="1:9" ht="14.25">
      <c r="A19" s="3213"/>
      <c r="B19" s="3214" t="s">
        <v>1108</v>
      </c>
      <c r="C19" s="3214"/>
      <c r="D19" s="1302"/>
      <c r="E19" s="1302"/>
      <c r="F19" s="1303"/>
      <c r="G19" s="1304"/>
      <c r="H19" s="1314"/>
      <c r="I19" s="1315">
        <f>ROUND(D19*E19*F19*G19/10000,0)</f>
        <v>0</v>
      </c>
    </row>
    <row r="20" spans="1:9">
      <c r="A20" s="3213"/>
      <c r="B20" s="3215" t="s">
        <v>1092</v>
      </c>
      <c r="C20" s="3215"/>
      <c r="D20" s="1306">
        <f>SUM(D17:D19)</f>
        <v>0</v>
      </c>
      <c r="E20" s="1306"/>
      <c r="F20" s="1307"/>
      <c r="G20" s="1304"/>
      <c r="H20" s="1311"/>
      <c r="I20" s="1312">
        <f>SUM(I17:I19)</f>
        <v>0</v>
      </c>
    </row>
    <row r="21" spans="1:9">
      <c r="A21" s="3213" t="s">
        <v>1109</v>
      </c>
      <c r="B21" s="3216"/>
      <c r="C21" s="3216"/>
      <c r="D21" s="3216"/>
      <c r="E21" s="3216"/>
      <c r="F21" s="3216"/>
      <c r="G21" s="3216"/>
      <c r="H21" s="1763">
        <v>0.1</v>
      </c>
      <c r="I21" s="1309">
        <f>ROUND(I10*H21,0)</f>
        <v>0</v>
      </c>
    </row>
    <row r="22" spans="1:9" ht="14.25">
      <c r="A22" s="3217" t="s">
        <v>1110</v>
      </c>
      <c r="B22" s="3218"/>
      <c r="C22" s="3219"/>
      <c r="D22" s="1316" t="s">
        <v>1111</v>
      </c>
      <c r="E22" s="1316" t="s">
        <v>1112</v>
      </c>
      <c r="F22" s="1317" t="s">
        <v>1113</v>
      </c>
      <c r="G22" s="1317" t="s">
        <v>1114</v>
      </c>
      <c r="H22" s="1310" t="s">
        <v>1115</v>
      </c>
      <c r="I22" s="1301" t="s">
        <v>1116</v>
      </c>
    </row>
    <row r="23" spans="1:9" ht="14.25" thickBot="1">
      <c r="A23" s="3220"/>
      <c r="B23" s="3221"/>
      <c r="C23" s="3222"/>
      <c r="D23" s="1318"/>
      <c r="E23" s="1318"/>
      <c r="F23" s="1318"/>
      <c r="G23" s="1319"/>
      <c r="H23" s="1320"/>
      <c r="I23" s="1321">
        <f>ROUND(E23*D23*F23*(1-G23)/10000,0)</f>
        <v>0</v>
      </c>
    </row>
    <row r="26" spans="1:9">
      <c r="A26" s="1322" t="s">
        <v>1117</v>
      </c>
      <c r="B26" s="1322"/>
      <c r="C26" s="1322"/>
      <c r="D26" s="1322"/>
      <c r="E26" s="3210">
        <f>C27-C30-C31-C32</f>
        <v>0</v>
      </c>
      <c r="F26" s="3210"/>
      <c r="G26" s="3210"/>
      <c r="H26" s="1735" t="s">
        <v>1340</v>
      </c>
    </row>
    <row r="27" spans="1:9">
      <c r="A27" s="1323">
        <v>1</v>
      </c>
      <c r="B27" s="1324" t="s">
        <v>1118</v>
      </c>
      <c r="C27" s="1324">
        <f>C28+C29</f>
        <v>0</v>
      </c>
      <c r="D27" s="1324"/>
      <c r="E27" s="3211"/>
      <c r="F27" s="3211"/>
      <c r="G27" s="3211"/>
    </row>
    <row r="28" spans="1:9">
      <c r="A28" s="1325" t="s">
        <v>1119</v>
      </c>
      <c r="B28" s="1324" t="s">
        <v>1120</v>
      </c>
      <c r="C28" s="1324"/>
      <c r="D28" s="1324"/>
      <c r="E28" s="3211"/>
      <c r="F28" s="3211"/>
      <c r="G28" s="321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12"/>
      <c r="F32" s="3212"/>
      <c r="G32" s="3212"/>
    </row>
    <row r="33" spans="1:7" hidden="1">
      <c r="A33" s="3207" t="s">
        <v>1129</v>
      </c>
      <c r="B33" s="3208"/>
      <c r="C33" s="3208"/>
      <c r="D33" s="3209"/>
      <c r="E33" s="3210"/>
      <c r="F33" s="3210"/>
      <c r="G33" s="3210"/>
    </row>
    <row r="34" spans="1:7" hidden="1">
      <c r="A34" s="1327">
        <v>1</v>
      </c>
      <c r="B34" s="1324" t="s">
        <v>1130</v>
      </c>
      <c r="C34" s="1324"/>
      <c r="D34" s="1324"/>
      <c r="E34" s="3211"/>
      <c r="F34" s="3211"/>
      <c r="G34" s="3211"/>
    </row>
    <row r="35" spans="1:7" hidden="1">
      <c r="A35" s="1327">
        <v>2</v>
      </c>
      <c r="B35" s="1324" t="s">
        <v>1131</v>
      </c>
      <c r="C35" s="1324"/>
      <c r="D35" s="1324"/>
      <c r="E35" s="3211"/>
      <c r="F35" s="3211"/>
      <c r="G35" s="3211"/>
    </row>
    <row r="36" spans="1:7" hidden="1">
      <c r="A36" s="1327">
        <v>3</v>
      </c>
      <c r="B36" s="1324" t="s">
        <v>1132</v>
      </c>
      <c r="C36" s="1324"/>
      <c r="D36" s="1324"/>
      <c r="E36" s="3211"/>
      <c r="F36" s="3211"/>
      <c r="G36" s="3211"/>
    </row>
    <row r="37" spans="1:7" hidden="1">
      <c r="A37" s="1327">
        <v>4</v>
      </c>
      <c r="B37" s="1324" t="s">
        <v>1133</v>
      </c>
      <c r="C37" s="1324"/>
      <c r="D37" s="1324"/>
      <c r="E37" s="3211"/>
      <c r="F37" s="3211"/>
      <c r="G37" s="3211"/>
    </row>
    <row r="38" spans="1:7" hidden="1">
      <c r="A38" s="3207" t="s">
        <v>1134</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2534</v>
      </c>
      <c r="B1" s="2576" t="s">
        <v>2535</v>
      </c>
      <c r="C1" s="1633" t="s">
        <v>2536</v>
      </c>
      <c r="D1" s="1620"/>
      <c r="E1" s="2577"/>
      <c r="F1" s="2578" t="s">
        <v>2537</v>
      </c>
      <c r="G1" s="1630" t="s">
        <v>2538</v>
      </c>
      <c r="H1" s="1629"/>
      <c r="I1" s="1629"/>
      <c r="J1" s="1629"/>
      <c r="K1" s="1631"/>
      <c r="L1" s="1632"/>
      <c r="M1" s="1633"/>
      <c r="N1" s="1633"/>
      <c r="O1" s="1633"/>
      <c r="P1" s="2579"/>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0"/>
      <c r="D2" s="1364" t="e">
        <f ca="1">SUMIF(INDIRECT("'"&amp;F2&amp;"'"&amp;"!A:A"),"承租人权益价值",INDIRECT("'"&amp;F2&amp;"'"&amp;"!c:c"))</f>
        <v>#REF!</v>
      </c>
      <c r="E2" s="2581" t="s">
        <v>2539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1395</v>
      </c>
      <c r="B3" s="399" t="e">
        <f ca="1">IF(C2="——",C49,ROUND(B2*10000/D3,0))</f>
        <v>#DIV/0!</v>
      </c>
      <c r="C3" s="400" t="s">
        <v>2540</v>
      </c>
      <c r="D3" s="399">
        <f>IF(D1="",'数据-汇总表'!E3,SUMIF('数据-汇总表'!$C19:$C33,D1,'数据-汇总表'!$E19:$E33))</f>
        <v>38865.599999999999</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1"/>
    </row>
    <row r="4" spans="1:29" ht="15">
      <c r="A4" s="401" t="s">
        <v>2541</v>
      </c>
      <c r="B4" s="402"/>
      <c r="C4" s="3162" t="s">
        <v>2542</v>
      </c>
      <c r="D4" s="3175"/>
      <c r="E4" s="3176" t="s">
        <v>2543</v>
      </c>
      <c r="F4" s="3177"/>
      <c r="G4" s="3162" t="s">
        <v>2544</v>
      </c>
      <c r="H4" s="3175"/>
      <c r="I4" s="3162" t="s">
        <v>2545</v>
      </c>
      <c r="J4" s="3175"/>
      <c r="K4" s="2590" t="s">
        <v>2546</v>
      </c>
      <c r="L4" s="1130"/>
      <c r="M4" s="1131"/>
      <c r="N4" s="1131"/>
      <c r="O4" s="1131"/>
      <c r="P4" s="3178" t="s">
        <v>2547</v>
      </c>
      <c r="Q4" s="3179"/>
      <c r="R4" s="3184" t="s">
        <v>2543</v>
      </c>
      <c r="S4" s="3185"/>
      <c r="T4" s="3184" t="s">
        <v>2544</v>
      </c>
      <c r="U4" s="3185"/>
      <c r="V4" s="3171" t="s">
        <v>2545</v>
      </c>
      <c r="W4" s="3171"/>
      <c r="X4" s="1809"/>
      <c r="Y4" s="3184" t="s">
        <v>2547</v>
      </c>
      <c r="Z4" s="3185"/>
      <c r="AA4" s="3172" t="s">
        <v>2543</v>
      </c>
      <c r="AB4" s="3172" t="s">
        <v>2544</v>
      </c>
      <c r="AC4" s="3172" t="s">
        <v>2545</v>
      </c>
    </row>
    <row r="5" spans="1:29" ht="15">
      <c r="A5" s="404"/>
      <c r="B5" s="405"/>
      <c r="C5" s="3192" t="s">
        <v>2548</v>
      </c>
      <c r="D5" s="3193"/>
      <c r="E5" s="3199" t="s">
        <v>2549</v>
      </c>
      <c r="F5" s="3200"/>
      <c r="G5" s="3192" t="s">
        <v>2550</v>
      </c>
      <c r="H5" s="3193"/>
      <c r="I5" s="3192" t="s">
        <v>2551</v>
      </c>
      <c r="J5" s="3193"/>
      <c r="K5" s="2591"/>
      <c r="L5" s="1130"/>
      <c r="M5" s="1131"/>
      <c r="N5" s="1131"/>
      <c r="O5" s="1131"/>
      <c r="P5" s="3180"/>
      <c r="Q5" s="3181"/>
      <c r="R5" s="3186"/>
      <c r="S5" s="3187"/>
      <c r="T5" s="3186"/>
      <c r="U5" s="3187"/>
      <c r="V5" s="3171"/>
      <c r="W5" s="3171"/>
      <c r="X5" s="1809"/>
      <c r="Y5" s="3186"/>
      <c r="Z5" s="3187"/>
      <c r="AA5" s="3173"/>
      <c r="AB5" s="3173"/>
      <c r="AC5" s="3173"/>
    </row>
    <row r="6" spans="1:29" ht="15.75" thickBot="1">
      <c r="A6" s="406"/>
      <c r="B6" s="407"/>
      <c r="C6" s="3190" t="s">
        <v>2552</v>
      </c>
      <c r="D6" s="3191"/>
      <c r="E6" s="3197" t="s">
        <v>2552</v>
      </c>
      <c r="F6" s="3198"/>
      <c r="G6" s="3190" t="s">
        <v>2552</v>
      </c>
      <c r="H6" s="3191"/>
      <c r="I6" s="3190" t="s">
        <v>2552</v>
      </c>
      <c r="J6" s="3191"/>
      <c r="K6" s="2591" t="s">
        <v>2553</v>
      </c>
      <c r="L6" s="1130"/>
      <c r="M6" s="1131"/>
      <c r="N6" s="1131"/>
      <c r="O6" s="1131"/>
      <c r="P6" s="3182"/>
      <c r="Q6" s="3183"/>
      <c r="R6" s="3186"/>
      <c r="S6" s="3187"/>
      <c r="T6" s="3188"/>
      <c r="U6" s="3189"/>
      <c r="V6" s="3171"/>
      <c r="W6" s="3171"/>
      <c r="X6" s="1809"/>
      <c r="Y6" s="3188"/>
      <c r="Z6" s="3189"/>
      <c r="AA6" s="3174"/>
      <c r="AB6" s="3174"/>
      <c r="AC6" s="3174"/>
    </row>
    <row r="7" spans="1:29" s="117" customFormat="1" ht="15.75" thickBot="1">
      <c r="A7" s="408" t="s">
        <v>2554</v>
      </c>
      <c r="B7" s="409"/>
      <c r="C7" s="410">
        <f>'数据-取费表'!B2</f>
        <v>43417</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194" t="s">
        <v>2555</v>
      </c>
      <c r="Q7" s="3196"/>
      <c r="R7" s="770" t="s">
        <v>23</v>
      </c>
      <c r="S7" s="771">
        <f t="shared" ref="S7:S15" si="0">F7</f>
        <v>0</v>
      </c>
      <c r="T7" s="770" t="s">
        <v>23</v>
      </c>
      <c r="U7" s="771">
        <f t="shared" ref="U7:U15" si="1">H7</f>
        <v>0</v>
      </c>
      <c r="V7" s="770" t="s">
        <v>23</v>
      </c>
      <c r="W7" s="771">
        <f t="shared" ref="W7:W15" si="2">J7</f>
        <v>0</v>
      </c>
      <c r="X7" s="772"/>
      <c r="Y7" s="3194" t="s">
        <v>2555</v>
      </c>
      <c r="Z7" s="3195"/>
      <c r="AA7" s="773" t="e">
        <f>D7/F7</f>
        <v>#DIV/0!</v>
      </c>
      <c r="AB7" s="773" t="e">
        <f>D7/H7</f>
        <v>#DIV/0!</v>
      </c>
      <c r="AC7" s="773" t="e">
        <f>D7/J7</f>
        <v>#DIV/0!</v>
      </c>
    </row>
    <row r="8" spans="1:29" s="117" customFormat="1" ht="15.75" thickBot="1">
      <c r="A8" s="408" t="s">
        <v>2556</v>
      </c>
      <c r="B8" s="409"/>
      <c r="C8" s="414" t="s">
        <v>2557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194" t="s">
        <v>2558</v>
      </c>
      <c r="Q8" s="3195"/>
      <c r="R8" s="770" t="s">
        <v>23</v>
      </c>
      <c r="S8" s="771">
        <f t="shared" si="0"/>
        <v>0</v>
      </c>
      <c r="T8" s="770" t="s">
        <v>23</v>
      </c>
      <c r="U8" s="771">
        <f t="shared" si="1"/>
        <v>0</v>
      </c>
      <c r="V8" s="770" t="s">
        <v>23</v>
      </c>
      <c r="W8" s="771">
        <f t="shared" si="2"/>
        <v>0</v>
      </c>
      <c r="X8" s="772"/>
      <c r="Y8" s="3194" t="s">
        <v>2558</v>
      </c>
      <c r="Z8" s="3195"/>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164" t="s">
        <v>2561</v>
      </c>
      <c r="Q9" s="1791"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4"/>
      <c r="Q10" s="1791"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64"/>
      <c r="Q11" s="1791"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64"/>
      <c r="Q12" s="1791">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64"/>
      <c r="Q13" s="1791">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64"/>
      <c r="Q14" s="1791">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2565</v>
      </c>
      <c r="B15" s="69" t="s">
        <v>2089</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2566</v>
      </c>
      <c r="Q15" s="1806" t="str">
        <f t="shared" si="6"/>
        <v>居住社区成熟度</v>
      </c>
      <c r="R15" s="774" t="s">
        <v>21</v>
      </c>
      <c r="S15" s="775">
        <f t="shared" si="0"/>
        <v>100</v>
      </c>
      <c r="T15" s="774" t="s">
        <v>21</v>
      </c>
      <c r="U15" s="775">
        <f t="shared" si="1"/>
        <v>100</v>
      </c>
      <c r="V15" s="774" t="s">
        <v>21</v>
      </c>
      <c r="W15" s="775">
        <f t="shared" si="2"/>
        <v>100</v>
      </c>
      <c r="X15" s="1809"/>
      <c r="Y15" s="3167" t="s">
        <v>2566</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40"/>
      <c r="M16" s="1131"/>
      <c r="N16" s="1131"/>
      <c r="O16" s="1131"/>
      <c r="P16" s="3235"/>
      <c r="Q16" s="1806"/>
      <c r="R16" s="774"/>
      <c r="S16" s="775"/>
      <c r="T16" s="774"/>
      <c r="U16" s="775"/>
      <c r="V16" s="774"/>
      <c r="W16" s="775"/>
      <c r="X16" s="1809"/>
      <c r="Y16" s="3168"/>
      <c r="Z16" s="1810"/>
      <c r="AA16" s="1807">
        <v>1</v>
      </c>
      <c r="AB16" s="1807">
        <v>1</v>
      </c>
      <c r="AC16" s="1807">
        <v>1</v>
      </c>
    </row>
    <row r="17" spans="1:29" ht="85.5">
      <c r="A17" s="428"/>
      <c r="B17" s="451" t="s">
        <v>2101</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06" t="str">
        <f>B17</f>
        <v>交通便捷度</v>
      </c>
      <c r="R17" s="774" t="s">
        <v>21</v>
      </c>
      <c r="S17" s="775">
        <f>F17</f>
        <v>100</v>
      </c>
      <c r="T17" s="774" t="s">
        <v>21</v>
      </c>
      <c r="U17" s="775">
        <f>H17</f>
        <v>100</v>
      </c>
      <c r="V17" s="774" t="s">
        <v>21</v>
      </c>
      <c r="W17" s="775">
        <f>J17</f>
        <v>100</v>
      </c>
      <c r="X17" s="1809"/>
      <c r="Y17" s="3168"/>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40"/>
      <c r="M18" s="1131"/>
      <c r="N18" s="1131"/>
      <c r="O18" s="1131"/>
      <c r="P18" s="3235"/>
      <c r="Q18" s="1806"/>
      <c r="R18" s="774"/>
      <c r="S18" s="775"/>
      <c r="T18" s="774"/>
      <c r="U18" s="775"/>
      <c r="V18" s="774"/>
      <c r="W18" s="775"/>
      <c r="X18" s="1809"/>
      <c r="Y18" s="3168"/>
      <c r="Z18" s="1810"/>
      <c r="AA18" s="1807">
        <v>1</v>
      </c>
      <c r="AB18" s="1807">
        <v>1</v>
      </c>
      <c r="AC18" s="1807">
        <v>1</v>
      </c>
    </row>
    <row r="19" spans="1:29" ht="42.75">
      <c r="A19" s="428"/>
      <c r="B19" s="451" t="s">
        <v>2099</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06" t="str">
        <f>B19</f>
        <v>公共配套设施</v>
      </c>
      <c r="R19" s="774" t="s">
        <v>21</v>
      </c>
      <c r="S19" s="775">
        <f>F19</f>
        <v>100</v>
      </c>
      <c r="T19" s="774" t="s">
        <v>21</v>
      </c>
      <c r="U19" s="775">
        <f>H19</f>
        <v>100</v>
      </c>
      <c r="V19" s="774" t="s">
        <v>21</v>
      </c>
      <c r="W19" s="775">
        <f>J19</f>
        <v>100</v>
      </c>
      <c r="X19" s="1809"/>
      <c r="Y19" s="3168"/>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40"/>
      <c r="M20" s="1131"/>
      <c r="N20" s="1131"/>
      <c r="O20" s="1131"/>
      <c r="P20" s="3235"/>
      <c r="Q20" s="1806"/>
      <c r="R20" s="774"/>
      <c r="S20" s="775"/>
      <c r="T20" s="774"/>
      <c r="U20" s="775"/>
      <c r="V20" s="774"/>
      <c r="W20" s="775"/>
      <c r="X20" s="1809"/>
      <c r="Y20" s="3168"/>
      <c r="Z20" s="1810"/>
      <c r="AA20" s="1807">
        <v>1</v>
      </c>
      <c r="AB20" s="1807">
        <v>1</v>
      </c>
      <c r="AC20" s="1807">
        <v>1</v>
      </c>
    </row>
    <row r="21" spans="1:29" ht="28.5">
      <c r="A21" s="428"/>
      <c r="B21" s="1383" t="s">
        <v>2102</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06" t="str">
        <f>B21</f>
        <v>基础设施水平</v>
      </c>
      <c r="R21" s="774" t="s">
        <v>17</v>
      </c>
      <c r="S21" s="775">
        <f>F21</f>
        <v>100</v>
      </c>
      <c r="T21" s="774" t="s">
        <v>17</v>
      </c>
      <c r="U21" s="775">
        <f>H21</f>
        <v>100</v>
      </c>
      <c r="V21" s="774" t="s">
        <v>17</v>
      </c>
      <c r="W21" s="775">
        <f>J21</f>
        <v>100</v>
      </c>
      <c r="X21" s="1809"/>
      <c r="Y21" s="3168"/>
      <c r="Z21" s="1810" t="str">
        <f>Q21</f>
        <v>基础设施水平</v>
      </c>
      <c r="AA21" s="1807">
        <f t="shared" ref="AA21" si="8">D21/F21</f>
        <v>1</v>
      </c>
      <c r="AB21" s="1807">
        <f t="shared" ref="AB21" si="9">D21/H21</f>
        <v>1</v>
      </c>
      <c r="AC21" s="1807">
        <f t="shared" ref="AC21" si="10">D21/J21</f>
        <v>1</v>
      </c>
    </row>
    <row r="22" spans="1:29" ht="15">
      <c r="A22" s="428"/>
      <c r="B22" s="1383"/>
      <c r="C22" s="2602"/>
      <c r="D22" s="448"/>
      <c r="E22" s="447"/>
      <c r="F22" s="448"/>
      <c r="G22" s="2605"/>
      <c r="H22" s="448"/>
      <c r="I22" s="447"/>
      <c r="J22" s="448"/>
      <c r="K22" s="2606"/>
      <c r="L22" s="1140"/>
      <c r="M22" s="1131"/>
      <c r="N22" s="1131"/>
      <c r="O22" s="1131"/>
      <c r="P22" s="3235"/>
      <c r="Q22" s="1806"/>
      <c r="R22" s="774"/>
      <c r="S22" s="775"/>
      <c r="T22" s="774"/>
      <c r="U22" s="775"/>
      <c r="V22" s="774"/>
      <c r="W22" s="775"/>
      <c r="X22" s="1809"/>
      <c r="Y22" s="3168"/>
      <c r="Z22" s="1810"/>
      <c r="AA22" s="1807">
        <v>1</v>
      </c>
      <c r="AB22" s="1807">
        <v>1</v>
      </c>
      <c r="AC22" s="1807">
        <v>1</v>
      </c>
    </row>
    <row r="23" spans="1:29" ht="57">
      <c r="A23" s="428"/>
      <c r="B23" s="451" t="s">
        <v>2106</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06" t="str">
        <f>B23</f>
        <v>自然及人文环境</v>
      </c>
      <c r="R23" s="774" t="s">
        <v>21</v>
      </c>
      <c r="S23" s="775">
        <f>F23</f>
        <v>100</v>
      </c>
      <c r="T23" s="774" t="s">
        <v>21</v>
      </c>
      <c r="U23" s="775">
        <f>H23</f>
        <v>100</v>
      </c>
      <c r="V23" s="774" t="s">
        <v>21</v>
      </c>
      <c r="W23" s="775">
        <f>J23</f>
        <v>100</v>
      </c>
      <c r="X23" s="1809"/>
      <c r="Y23" s="3168"/>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40"/>
      <c r="M24" s="1131"/>
      <c r="N24" s="1131"/>
      <c r="O24" s="1131"/>
      <c r="P24" s="3235"/>
      <c r="Q24" s="1806"/>
      <c r="R24" s="774"/>
      <c r="S24" s="775"/>
      <c r="T24" s="774"/>
      <c r="U24" s="775"/>
      <c r="V24" s="774"/>
      <c r="W24" s="775"/>
      <c r="X24" s="1809"/>
      <c r="Y24" s="3168"/>
      <c r="Z24" s="1810"/>
      <c r="AA24" s="1807">
        <v>1</v>
      </c>
      <c r="AB24" s="1807">
        <v>1</v>
      </c>
      <c r="AC24" s="1807">
        <v>1</v>
      </c>
    </row>
    <row r="25" spans="1:29" ht="15">
      <c r="A25" s="428"/>
      <c r="B25" s="422" t="s">
        <v>2567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35"/>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168"/>
      <c r="Z25" s="1810" t="str">
        <f>Q25</f>
        <v>楼层-1</v>
      </c>
      <c r="AA25" s="1807">
        <f t="shared" ref="AA25:AA46" si="15">D25/F25</f>
        <v>1</v>
      </c>
      <c r="AB25" s="1807">
        <f t="shared" ref="AB25:AB46" si="16">D25/H25</f>
        <v>1</v>
      </c>
      <c r="AC25" s="1807">
        <f t="shared" ref="AC25:AC46" si="17">D25/J25</f>
        <v>1</v>
      </c>
    </row>
    <row r="26" spans="1:29" ht="15">
      <c r="A26" s="428"/>
      <c r="B26" s="422" t="s">
        <v>2568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35"/>
      <c r="Q26" s="1806" t="str">
        <f t="shared" si="11"/>
        <v>朝向</v>
      </c>
      <c r="R26" s="774" t="s">
        <v>21</v>
      </c>
      <c r="S26" s="775">
        <f t="shared" si="12"/>
        <v>100</v>
      </c>
      <c r="T26" s="774" t="s">
        <v>21</v>
      </c>
      <c r="U26" s="775">
        <f t="shared" si="13"/>
        <v>100</v>
      </c>
      <c r="V26" s="774" t="s">
        <v>21</v>
      </c>
      <c r="W26" s="775">
        <f t="shared" si="14"/>
        <v>100</v>
      </c>
      <c r="X26" s="1809"/>
      <c r="Y26" s="3168"/>
      <c r="Z26" s="1810" t="str">
        <f>Q26</f>
        <v>朝向</v>
      </c>
      <c r="AA26" s="1807">
        <f t="shared" si="15"/>
        <v>1</v>
      </c>
      <c r="AB26" s="1807">
        <f t="shared" si="16"/>
        <v>1</v>
      </c>
      <c r="AC26" s="1807">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35"/>
      <c r="Q27" s="1791">
        <f t="shared" si="11"/>
        <v>111</v>
      </c>
      <c r="R27" s="770" t="s">
        <v>21</v>
      </c>
      <c r="S27" s="771">
        <f t="shared" si="12"/>
        <v>100</v>
      </c>
      <c r="T27" s="770" t="s">
        <v>21</v>
      </c>
      <c r="U27" s="771">
        <f t="shared" si="13"/>
        <v>100</v>
      </c>
      <c r="V27" s="770" t="s">
        <v>21</v>
      </c>
      <c r="W27" s="771">
        <f t="shared" si="14"/>
        <v>100</v>
      </c>
      <c r="X27" s="772"/>
      <c r="Y27" s="3168"/>
      <c r="Z27" s="55">
        <f>Q27</f>
        <v>111</v>
      </c>
      <c r="AA27" s="1807">
        <f t="shared" si="15"/>
        <v>1</v>
      </c>
      <c r="AB27" s="1807">
        <f t="shared" si="16"/>
        <v>1</v>
      </c>
      <c r="AC27" s="1807">
        <f t="shared" si="17"/>
        <v>1</v>
      </c>
    </row>
    <row r="28" spans="1:29" ht="15">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35"/>
      <c r="Q28" s="1806">
        <f t="shared" si="11"/>
        <v>111</v>
      </c>
      <c r="R28" s="774" t="s">
        <v>21</v>
      </c>
      <c r="S28" s="775">
        <f t="shared" si="12"/>
        <v>100</v>
      </c>
      <c r="T28" s="774" t="s">
        <v>21</v>
      </c>
      <c r="U28" s="775">
        <f t="shared" si="13"/>
        <v>100</v>
      </c>
      <c r="V28" s="774" t="s">
        <v>21</v>
      </c>
      <c r="W28" s="775">
        <f t="shared" si="14"/>
        <v>100</v>
      </c>
      <c r="X28" s="1809"/>
      <c r="Y28" s="3168"/>
      <c r="Z28" s="1810">
        <f t="shared" ref="Z28:Z46" si="18">Q28</f>
        <v>111</v>
      </c>
      <c r="AA28" s="1807">
        <f t="shared" si="15"/>
        <v>1</v>
      </c>
      <c r="AB28" s="1807">
        <f t="shared" si="16"/>
        <v>1</v>
      </c>
      <c r="AC28" s="1807">
        <f t="shared" si="17"/>
        <v>1</v>
      </c>
    </row>
    <row r="29" spans="1:29" ht="15">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35"/>
      <c r="Q29" s="1806">
        <f t="shared" si="11"/>
        <v>111</v>
      </c>
      <c r="R29" s="774" t="s">
        <v>21</v>
      </c>
      <c r="S29" s="775">
        <f t="shared" si="12"/>
        <v>100</v>
      </c>
      <c r="T29" s="774" t="s">
        <v>21</v>
      </c>
      <c r="U29" s="775">
        <f t="shared" si="13"/>
        <v>100</v>
      </c>
      <c r="V29" s="774" t="s">
        <v>21</v>
      </c>
      <c r="W29" s="775">
        <f t="shared" si="14"/>
        <v>100</v>
      </c>
      <c r="X29" s="1809"/>
      <c r="Y29" s="3168"/>
      <c r="Z29" s="1810">
        <f t="shared" si="18"/>
        <v>111</v>
      </c>
      <c r="AA29" s="1807">
        <f t="shared" si="15"/>
        <v>1</v>
      </c>
      <c r="AB29" s="1807">
        <f t="shared" si="16"/>
        <v>1</v>
      </c>
      <c r="AC29" s="1807">
        <f t="shared" si="17"/>
        <v>1</v>
      </c>
    </row>
    <row r="30" spans="1:29" ht="15">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35"/>
      <c r="Q30" s="1806">
        <f t="shared" si="11"/>
        <v>111</v>
      </c>
      <c r="R30" s="774" t="s">
        <v>21</v>
      </c>
      <c r="S30" s="775">
        <f t="shared" si="12"/>
        <v>100</v>
      </c>
      <c r="T30" s="774" t="s">
        <v>21</v>
      </c>
      <c r="U30" s="775">
        <f t="shared" si="13"/>
        <v>100</v>
      </c>
      <c r="V30" s="774" t="s">
        <v>21</v>
      </c>
      <c r="W30" s="775">
        <f t="shared" si="14"/>
        <v>100</v>
      </c>
      <c r="X30" s="1809"/>
      <c r="Y30" s="3168"/>
      <c r="Z30" s="1810">
        <f t="shared" si="18"/>
        <v>111</v>
      </c>
      <c r="AA30" s="1807">
        <f t="shared" si="15"/>
        <v>1</v>
      </c>
      <c r="AB30" s="1807">
        <f t="shared" si="16"/>
        <v>1</v>
      </c>
      <c r="AC30" s="1807">
        <f t="shared" si="17"/>
        <v>1</v>
      </c>
    </row>
    <row r="31" spans="1:29" ht="15.75"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35"/>
      <c r="Q31" s="1806">
        <f t="shared" si="11"/>
        <v>111</v>
      </c>
      <c r="R31" s="774" t="s">
        <v>21</v>
      </c>
      <c r="S31" s="775">
        <f t="shared" si="12"/>
        <v>100</v>
      </c>
      <c r="T31" s="774" t="s">
        <v>21</v>
      </c>
      <c r="U31" s="775">
        <f t="shared" si="13"/>
        <v>100</v>
      </c>
      <c r="V31" s="774" t="s">
        <v>21</v>
      </c>
      <c r="W31" s="775">
        <f t="shared" si="14"/>
        <v>100</v>
      </c>
      <c r="X31" s="1809"/>
      <c r="Y31" s="3168"/>
      <c r="Z31" s="1810">
        <f t="shared" si="18"/>
        <v>111</v>
      </c>
      <c r="AA31" s="1807">
        <f t="shared" si="15"/>
        <v>1</v>
      </c>
      <c r="AB31" s="1807">
        <f t="shared" si="16"/>
        <v>1</v>
      </c>
      <c r="AC31" s="1807">
        <f t="shared" si="17"/>
        <v>1</v>
      </c>
    </row>
    <row r="32" spans="1:29" ht="15">
      <c r="A32" s="440" t="s">
        <v>2569</v>
      </c>
      <c r="B32" s="71" t="s">
        <v>2570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30" t="s">
        <v>2571</v>
      </c>
      <c r="Q32" s="1806" t="str">
        <f t="shared" si="11"/>
        <v>建筑类型</v>
      </c>
      <c r="R32" s="774" t="s">
        <v>21</v>
      </c>
      <c r="S32" s="775">
        <f t="shared" si="12"/>
        <v>100</v>
      </c>
      <c r="T32" s="774" t="s">
        <v>21</v>
      </c>
      <c r="U32" s="775">
        <f t="shared" si="13"/>
        <v>100</v>
      </c>
      <c r="V32" s="774" t="s">
        <v>21</v>
      </c>
      <c r="W32" s="775">
        <f t="shared" si="14"/>
        <v>100</v>
      </c>
      <c r="X32" s="1809"/>
      <c r="Y32" s="3170" t="s">
        <v>2571</v>
      </c>
      <c r="Z32" s="1810" t="str">
        <f t="shared" si="18"/>
        <v>建筑类型</v>
      </c>
      <c r="AA32" s="1807">
        <f t="shared" si="15"/>
        <v>1</v>
      </c>
      <c r="AB32" s="1807">
        <f t="shared" si="16"/>
        <v>1</v>
      </c>
      <c r="AC32" s="1807">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31"/>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07" t="e">
        <f t="shared" si="15"/>
        <v>#N/A</v>
      </c>
      <c r="AB33" s="1807" t="e">
        <f t="shared" si="16"/>
        <v>#N/A</v>
      </c>
      <c r="AC33" s="1807" t="e">
        <f t="shared" si="17"/>
        <v>#N/A</v>
      </c>
    </row>
    <row r="34" spans="1:29" ht="15">
      <c r="A34" s="472"/>
      <c r="B34" s="422" t="s">
        <v>2573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31"/>
      <c r="Q34" s="1806" t="str">
        <f t="shared" si="11"/>
        <v>建筑结构</v>
      </c>
      <c r="R34" s="774" t="s">
        <v>21</v>
      </c>
      <c r="S34" s="775">
        <f t="shared" si="12"/>
        <v>100</v>
      </c>
      <c r="T34" s="774" t="s">
        <v>21</v>
      </c>
      <c r="U34" s="775">
        <f t="shared" si="13"/>
        <v>100</v>
      </c>
      <c r="V34" s="774" t="s">
        <v>21</v>
      </c>
      <c r="W34" s="775">
        <f t="shared" si="14"/>
        <v>100</v>
      </c>
      <c r="X34" s="1809"/>
      <c r="Y34" s="3170"/>
      <c r="Z34" s="1810" t="str">
        <f t="shared" si="18"/>
        <v>建筑结构</v>
      </c>
      <c r="AA34" s="1807">
        <f t="shared" si="15"/>
        <v>1</v>
      </c>
      <c r="AB34" s="1807">
        <f t="shared" si="16"/>
        <v>1</v>
      </c>
      <c r="AC34" s="1807">
        <f t="shared" si="17"/>
        <v>1</v>
      </c>
    </row>
    <row r="35" spans="1:29" ht="15">
      <c r="A35" s="472"/>
      <c r="B35" s="422" t="s">
        <v>2574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31"/>
      <c r="Q35" s="1806" t="str">
        <f t="shared" si="11"/>
        <v>建筑品质</v>
      </c>
      <c r="R35" s="774" t="s">
        <v>21</v>
      </c>
      <c r="S35" s="775">
        <f t="shared" si="12"/>
        <v>100</v>
      </c>
      <c r="T35" s="774" t="s">
        <v>21</v>
      </c>
      <c r="U35" s="775">
        <f t="shared" si="13"/>
        <v>100</v>
      </c>
      <c r="V35" s="774" t="s">
        <v>21</v>
      </c>
      <c r="W35" s="775">
        <f t="shared" si="14"/>
        <v>100</v>
      </c>
      <c r="X35" s="1809"/>
      <c r="Y35" s="3170"/>
      <c r="Z35" s="1810" t="str">
        <f t="shared" si="18"/>
        <v>建筑品质</v>
      </c>
      <c r="AA35" s="1807">
        <f t="shared" si="15"/>
        <v>1</v>
      </c>
      <c r="AB35" s="1807">
        <f t="shared" si="16"/>
        <v>1</v>
      </c>
      <c r="AC35" s="1807">
        <f t="shared" si="17"/>
        <v>1</v>
      </c>
    </row>
    <row r="36" spans="1:29" ht="15">
      <c r="A36" s="472"/>
      <c r="B36" s="422" t="s">
        <v>2575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31"/>
      <c r="Q36" s="1806" t="str">
        <f t="shared" si="11"/>
        <v>公共部分装修</v>
      </c>
      <c r="R36" s="774" t="s">
        <v>21</v>
      </c>
      <c r="S36" s="775">
        <f t="shared" si="12"/>
        <v>100</v>
      </c>
      <c r="T36" s="774" t="s">
        <v>21</v>
      </c>
      <c r="U36" s="775">
        <f t="shared" si="13"/>
        <v>100</v>
      </c>
      <c r="V36" s="774" t="s">
        <v>21</v>
      </c>
      <c r="W36" s="775">
        <f t="shared" si="14"/>
        <v>100</v>
      </c>
      <c r="X36" s="1809"/>
      <c r="Y36" s="3170"/>
      <c r="Z36" s="1810" t="str">
        <f t="shared" si="18"/>
        <v>公共部分装修</v>
      </c>
      <c r="AA36" s="1807">
        <f t="shared" si="15"/>
        <v>1</v>
      </c>
      <c r="AB36" s="1807">
        <f t="shared" si="16"/>
        <v>1</v>
      </c>
      <c r="AC36" s="1807">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1"/>
      <c r="Q37" s="1791"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2577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31" t="s">
        <v>2571</v>
      </c>
      <c r="Q38" s="1806" t="str">
        <f t="shared" si="11"/>
        <v>物业管理</v>
      </c>
      <c r="R38" s="774" t="s">
        <v>21</v>
      </c>
      <c r="S38" s="775">
        <f t="shared" si="12"/>
        <v>100</v>
      </c>
      <c r="T38" s="774" t="s">
        <v>21</v>
      </c>
      <c r="U38" s="775">
        <f t="shared" si="13"/>
        <v>100</v>
      </c>
      <c r="V38" s="774" t="s">
        <v>21</v>
      </c>
      <c r="W38" s="775">
        <f t="shared" si="14"/>
        <v>100</v>
      </c>
      <c r="X38" s="1809"/>
      <c r="Y38" s="3170" t="s">
        <v>2571</v>
      </c>
      <c r="Z38" s="1810" t="str">
        <f t="shared" si="18"/>
        <v>物业管理</v>
      </c>
      <c r="AA38" s="1807">
        <f t="shared" si="15"/>
        <v>1</v>
      </c>
      <c r="AB38" s="1807">
        <f t="shared" si="16"/>
        <v>1</v>
      </c>
      <c r="AC38" s="1807">
        <f t="shared" si="17"/>
        <v>1</v>
      </c>
    </row>
    <row r="39" spans="1:29" ht="15">
      <c r="A39" s="472"/>
      <c r="B39" s="422" t="s">
        <v>2578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31"/>
      <c r="Q39" s="1806" t="str">
        <f t="shared" si="11"/>
        <v>市政基础设施</v>
      </c>
      <c r="R39" s="774" t="s">
        <v>21</v>
      </c>
      <c r="S39" s="775">
        <f t="shared" si="12"/>
        <v>100</v>
      </c>
      <c r="T39" s="774" t="s">
        <v>21</v>
      </c>
      <c r="U39" s="775">
        <f t="shared" si="13"/>
        <v>100</v>
      </c>
      <c r="V39" s="774" t="s">
        <v>21</v>
      </c>
      <c r="W39" s="775">
        <f t="shared" si="14"/>
        <v>100</v>
      </c>
      <c r="X39" s="1809"/>
      <c r="Y39" s="3170"/>
      <c r="Z39" s="1810" t="str">
        <f t="shared" si="18"/>
        <v>市政基础设施</v>
      </c>
      <c r="AA39" s="1807">
        <f t="shared" si="15"/>
        <v>1</v>
      </c>
      <c r="AB39" s="1807">
        <f t="shared" si="16"/>
        <v>1</v>
      </c>
      <c r="AC39" s="1807">
        <f t="shared" si="17"/>
        <v>1</v>
      </c>
    </row>
    <row r="40" spans="1:29" ht="15">
      <c r="A40" s="472"/>
      <c r="B40" s="422" t="s">
        <v>2579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31"/>
      <c r="Q40" s="1806" t="str">
        <f t="shared" si="11"/>
        <v>房型</v>
      </c>
      <c r="R40" s="774" t="s">
        <v>21</v>
      </c>
      <c r="S40" s="775">
        <f t="shared" si="12"/>
        <v>100</v>
      </c>
      <c r="T40" s="774" t="s">
        <v>21</v>
      </c>
      <c r="U40" s="775">
        <f t="shared" si="13"/>
        <v>100</v>
      </c>
      <c r="V40" s="774" t="s">
        <v>21</v>
      </c>
      <c r="W40" s="775">
        <f t="shared" si="14"/>
        <v>100</v>
      </c>
      <c r="X40" s="1809"/>
      <c r="Y40" s="3170"/>
      <c r="Z40" s="1810" t="str">
        <f t="shared" si="18"/>
        <v>房型</v>
      </c>
      <c r="AA40" s="1807">
        <f t="shared" si="15"/>
        <v>1</v>
      </c>
      <c r="AB40" s="1807">
        <f t="shared" si="16"/>
        <v>1</v>
      </c>
      <c r="AC40" s="1807">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07">
        <f t="shared" si="15"/>
        <v>1</v>
      </c>
      <c r="AB41" s="1807">
        <f t="shared" si="16"/>
        <v>1</v>
      </c>
      <c r="AC41" s="1807">
        <f t="shared" si="17"/>
        <v>1</v>
      </c>
    </row>
    <row r="42" spans="1:29" ht="15">
      <c r="A42" s="472"/>
      <c r="B42" s="422" t="s">
        <v>2581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31"/>
      <c r="Q42" s="1806" t="str">
        <f t="shared" si="11"/>
        <v>内部装修</v>
      </c>
      <c r="R42" s="774" t="s">
        <v>21</v>
      </c>
      <c r="S42" s="775">
        <f t="shared" si="12"/>
        <v>100</v>
      </c>
      <c r="T42" s="774" t="s">
        <v>21</v>
      </c>
      <c r="U42" s="775">
        <f t="shared" si="13"/>
        <v>100</v>
      </c>
      <c r="V42" s="774" t="s">
        <v>21</v>
      </c>
      <c r="W42" s="775">
        <f t="shared" si="14"/>
        <v>100</v>
      </c>
      <c r="X42" s="1809"/>
      <c r="Y42" s="3170"/>
      <c r="Z42" s="1810" t="str">
        <f t="shared" si="18"/>
        <v>内部装修</v>
      </c>
      <c r="AA42" s="1807">
        <f t="shared" si="15"/>
        <v>1</v>
      </c>
      <c r="AB42" s="1807">
        <f t="shared" si="16"/>
        <v>1</v>
      </c>
      <c r="AC42" s="1807">
        <f t="shared" si="17"/>
        <v>1</v>
      </c>
    </row>
    <row r="43" spans="1:29" ht="15">
      <c r="A43" s="472"/>
      <c r="B43" s="422" t="s">
        <v>2582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31"/>
      <c r="Q43" s="1806" t="str">
        <f t="shared" si="11"/>
        <v>内部装修维护情况</v>
      </c>
      <c r="R43" s="774" t="s">
        <v>21</v>
      </c>
      <c r="S43" s="775">
        <f t="shared" si="12"/>
        <v>100</v>
      </c>
      <c r="T43" s="774" t="s">
        <v>21</v>
      </c>
      <c r="U43" s="775">
        <f t="shared" si="13"/>
        <v>100</v>
      </c>
      <c r="V43" s="774" t="s">
        <v>21</v>
      </c>
      <c r="W43" s="775">
        <f t="shared" si="14"/>
        <v>100</v>
      </c>
      <c r="X43" s="1809"/>
      <c r="Y43" s="3170"/>
      <c r="Z43" s="1810" t="str">
        <f t="shared" si="18"/>
        <v>内部装修维护情况</v>
      </c>
      <c r="AA43" s="1807">
        <f t="shared" si="15"/>
        <v>1</v>
      </c>
      <c r="AB43" s="1807">
        <f t="shared" si="16"/>
        <v>1</v>
      </c>
      <c r="AC43" s="1807">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31"/>
      <c r="Q44" s="1791">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31"/>
      <c r="Q45" s="1806">
        <f t="shared" si="11"/>
        <v>111</v>
      </c>
      <c r="R45" s="774" t="s">
        <v>21</v>
      </c>
      <c r="S45" s="775">
        <f t="shared" si="12"/>
        <v>100</v>
      </c>
      <c r="T45" s="774" t="s">
        <v>21</v>
      </c>
      <c r="U45" s="775">
        <f t="shared" si="13"/>
        <v>100</v>
      </c>
      <c r="V45" s="774" t="s">
        <v>21</v>
      </c>
      <c r="W45" s="775">
        <f t="shared" si="14"/>
        <v>100</v>
      </c>
      <c r="X45" s="1809"/>
      <c r="Y45" s="3170"/>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32"/>
      <c r="Q46" s="1806">
        <f t="shared" si="11"/>
        <v>111</v>
      </c>
      <c r="R46" s="774" t="s">
        <v>20</v>
      </c>
      <c r="S46" s="775">
        <f t="shared" si="12"/>
        <v>100</v>
      </c>
      <c r="T46" s="774" t="s">
        <v>20</v>
      </c>
      <c r="U46" s="775">
        <f t="shared" si="13"/>
        <v>100</v>
      </c>
      <c r="V46" s="774" t="s">
        <v>20</v>
      </c>
      <c r="W46" s="775">
        <f t="shared" si="14"/>
        <v>100</v>
      </c>
      <c r="X46" s="1809"/>
      <c r="Y46" s="3233"/>
      <c r="Z46" s="1810">
        <f t="shared" si="18"/>
        <v>111</v>
      </c>
      <c r="AA46" s="1807">
        <f t="shared" si="15"/>
        <v>1</v>
      </c>
      <c r="AB46" s="1807">
        <f t="shared" si="16"/>
        <v>1</v>
      </c>
      <c r="AC46" s="1807">
        <f t="shared" si="17"/>
        <v>1</v>
      </c>
    </row>
    <row r="47" spans="1:29" ht="15">
      <c r="A47" s="479" t="s">
        <v>2583</v>
      </c>
      <c r="B47" s="480"/>
      <c r="C47" s="1406" t="s">
        <v>19</v>
      </c>
      <c r="D47" s="1407"/>
      <c r="E47" s="1408"/>
      <c r="F47" s="1409"/>
      <c r="G47" s="1410"/>
      <c r="H47" s="1411"/>
      <c r="I47" s="1408"/>
      <c r="J47" s="1411"/>
      <c r="K47" s="2615"/>
      <c r="L47" s="1143"/>
      <c r="M47" s="1144"/>
      <c r="N47" s="1131"/>
      <c r="O47" s="1144"/>
      <c r="P47" s="3165" t="str">
        <f>A47</f>
        <v>成交单价（元/平方米）</v>
      </c>
      <c r="Q47" s="3165"/>
      <c r="R47" s="3229">
        <f>E47</f>
        <v>0</v>
      </c>
      <c r="S47" s="3229"/>
      <c r="T47" s="3229">
        <f>G47</f>
        <v>0</v>
      </c>
      <c r="U47" s="3229"/>
      <c r="V47" s="3229">
        <f>I47</f>
        <v>0</v>
      </c>
      <c r="W47" s="3229"/>
      <c r="X47" s="759"/>
      <c r="Y47" s="781"/>
      <c r="Z47" s="759"/>
      <c r="AA47" s="759"/>
      <c r="AB47" s="759"/>
      <c r="AC47" s="759"/>
    </row>
    <row r="48" spans="1:29" ht="15.75" thickBot="1">
      <c r="A48" s="486" t="s">
        <v>2584</v>
      </c>
      <c r="B48" s="487"/>
      <c r="C48" s="1412" t="e">
        <f>R49</f>
        <v>#DIV/0!</v>
      </c>
      <c r="D48" s="1413"/>
      <c r="E48" s="1414" t="e">
        <f>R48</f>
        <v>#DIV/0!</v>
      </c>
      <c r="F48" s="1414"/>
      <c r="G48" s="1412" t="e">
        <f>T48</f>
        <v>#DIV/0!</v>
      </c>
      <c r="H48" s="1413"/>
      <c r="I48" s="1414" t="e">
        <f>V48</f>
        <v>#DIV/0!</v>
      </c>
      <c r="J48" s="1413"/>
      <c r="K48" s="2616"/>
      <c r="L48" s="1143"/>
      <c r="M48" s="1144"/>
      <c r="N48" s="1144"/>
      <c r="O48" s="1144"/>
      <c r="P48" s="3165" t="str">
        <f>A48</f>
        <v>比较价值（元/平方米）</v>
      </c>
      <c r="Q48" s="3165"/>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2585</v>
      </c>
      <c r="B49" s="493"/>
      <c r="C49" s="1415" t="e">
        <f>R49</f>
        <v>#DIV/0!</v>
      </c>
      <c r="D49" s="1416"/>
      <c r="E49" s="1416"/>
      <c r="F49" s="1416"/>
      <c r="G49" s="1416"/>
      <c r="H49" s="1416"/>
      <c r="I49" s="1416"/>
      <c r="J49" s="1416"/>
      <c r="K49" s="2617"/>
      <c r="L49" s="1143"/>
      <c r="M49" s="1144"/>
      <c r="N49" s="1144"/>
      <c r="O49" s="1144"/>
      <c r="P49" s="3159" t="str">
        <f>A49</f>
        <v>估价对象XX用房的比较价值（楼面单价，元/平方米）</v>
      </c>
      <c r="Q49" s="3160"/>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8"/>
      <c r="L50" s="1109"/>
      <c r="M50" s="1144"/>
      <c r="N50" s="1144"/>
      <c r="O50" s="1144"/>
    </row>
    <row r="51" spans="1:29">
      <c r="A51" s="1144"/>
      <c r="B51" s="1144"/>
      <c r="C51" s="1144"/>
      <c r="D51" s="1144"/>
      <c r="E51" s="1144"/>
      <c r="F51" s="1144"/>
      <c r="G51" s="1144"/>
      <c r="H51" s="1144"/>
      <c r="I51" s="1144"/>
      <c r="J51" s="1144"/>
      <c r="K51" s="1108"/>
      <c r="L51" s="1109"/>
      <c r="M51" s="1144"/>
      <c r="N51" s="1144"/>
      <c r="O51" s="1144"/>
    </row>
    <row r="52" spans="1:29" ht="13.5" customHeight="1">
      <c r="A52" s="1144"/>
      <c r="B52" s="1144"/>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4"/>
      <c r="N52" s="1144"/>
      <c r="O52" s="1144"/>
    </row>
    <row r="53" spans="1:29" ht="13.5" customHeight="1">
      <c r="A53" s="1144"/>
      <c r="B53" s="1144"/>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4"/>
      <c r="N53" s="1144"/>
      <c r="O53" s="1144"/>
    </row>
    <row r="54" spans="1:29" s="502" customFormat="1" ht="13.5" customHeight="1">
      <c r="A54" s="1145"/>
      <c r="B54" s="1145"/>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8"/>
      <c r="L56" s="1109"/>
      <c r="M56" s="1144"/>
      <c r="N56" s="1144"/>
      <c r="O56" s="1144"/>
    </row>
    <row r="57" spans="1:29" ht="21.75" thickBot="1">
      <c r="A57" s="763" t="s">
        <v>2589</v>
      </c>
      <c r="B57" s="759"/>
      <c r="C57" s="764"/>
      <c r="D57" s="764"/>
      <c r="E57" s="764"/>
      <c r="F57" s="765"/>
      <c r="G57" s="765"/>
      <c r="H57" s="764"/>
      <c r="I57" s="764"/>
      <c r="J57" s="764"/>
      <c r="K57" s="1160"/>
      <c r="L57" s="1161"/>
      <c r="M57" s="1159"/>
      <c r="N57" s="1159"/>
      <c r="O57" s="1159"/>
      <c r="P57" s="2620"/>
      <c r="Q57" s="504"/>
    </row>
    <row r="58" spans="1:29" s="508" customFormat="1" ht="15">
      <c r="A58" s="505" t="s">
        <v>2590</v>
      </c>
      <c r="B58" s="506"/>
      <c r="C58" s="1575" t="str">
        <f>YEAR(C7)&amp;"-"&amp;MONTH(C7)</f>
        <v>2018-11</v>
      </c>
      <c r="D58" s="1574">
        <f>EDATE(C58,-1)</f>
        <v>43374</v>
      </c>
      <c r="E58" s="1574">
        <f>EDATE(D58,-1)</f>
        <v>43344</v>
      </c>
      <c r="F58" s="1574">
        <f t="shared" ref="F58:O58" si="19">EDATE(E58,-1)</f>
        <v>43313</v>
      </c>
      <c r="G58" s="1574">
        <f t="shared" si="19"/>
        <v>43282</v>
      </c>
      <c r="H58" s="1574">
        <f t="shared" si="19"/>
        <v>43252</v>
      </c>
      <c r="I58" s="1574">
        <f t="shared" si="19"/>
        <v>43221</v>
      </c>
      <c r="J58" s="1574">
        <f t="shared" si="19"/>
        <v>43191</v>
      </c>
      <c r="K58" s="1574">
        <f t="shared" si="19"/>
        <v>43160</v>
      </c>
      <c r="L58" s="1574">
        <f t="shared" si="19"/>
        <v>43132</v>
      </c>
      <c r="M58" s="1574">
        <f t="shared" si="19"/>
        <v>43101</v>
      </c>
      <c r="N58" s="1574">
        <f t="shared" si="19"/>
        <v>43070</v>
      </c>
      <c r="O58" s="1574">
        <f t="shared" si="19"/>
        <v>43040</v>
      </c>
      <c r="P58" s="1569"/>
    </row>
    <row r="59" spans="1:29" s="117" customFormat="1" ht="15">
      <c r="A59" s="509"/>
      <c r="B59" s="2621"/>
      <c r="C59" s="1572">
        <v>100</v>
      </c>
      <c r="D59" s="511"/>
      <c r="E59" s="512"/>
      <c r="F59" s="512"/>
      <c r="G59" s="512"/>
      <c r="H59" s="512"/>
      <c r="I59" s="512"/>
      <c r="J59" s="512"/>
      <c r="K59" s="512"/>
      <c r="L59" s="512"/>
      <c r="M59" s="513"/>
      <c r="N59" s="512"/>
      <c r="O59" s="513"/>
      <c r="P59" s="2622"/>
    </row>
    <row r="60" spans="1:29" s="117" customFormat="1" ht="15.75" thickBot="1">
      <c r="A60" s="515" t="s">
        <v>2591</v>
      </c>
      <c r="B60" s="516"/>
      <c r="C60" s="517"/>
      <c r="D60" s="518"/>
      <c r="E60" s="518"/>
      <c r="F60" s="518"/>
      <c r="G60" s="518"/>
      <c r="H60" s="518"/>
      <c r="I60" s="518"/>
      <c r="J60" s="518"/>
      <c r="K60" s="518"/>
      <c r="L60" s="518"/>
      <c r="M60" s="519"/>
      <c r="N60" s="518"/>
      <c r="O60" s="519"/>
      <c r="P60" s="2622"/>
      <c r="Q60" s="504"/>
    </row>
    <row r="61" spans="1:29" s="117" customFormat="1" ht="15">
      <c r="A61" s="521" t="s">
        <v>2592</v>
      </c>
      <c r="B61" s="510"/>
      <c r="C61" s="522" t="s">
        <v>2593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2594</v>
      </c>
      <c r="B63" s="528" t="s">
        <v>2560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2102</v>
      </c>
      <c r="C82" s="539" t="s">
        <v>2610</v>
      </c>
      <c r="D82" s="539" t="s">
        <v>2611</v>
      </c>
      <c r="E82" s="539" t="s">
        <v>2612</v>
      </c>
      <c r="F82" s="539" t="s">
        <v>2613</v>
      </c>
      <c r="G82" s="539" t="s">
        <v>2614</v>
      </c>
      <c r="H82" s="539"/>
      <c r="I82" s="539"/>
      <c r="J82" s="539"/>
      <c r="K82" s="539"/>
      <c r="L82" s="539"/>
      <c r="M82" s="1381"/>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2616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2569</v>
      </c>
      <c r="B100" s="528" t="s">
        <v>2618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2620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2621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2622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2623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2624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2625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2580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2626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2628</v>
      </c>
    </row>
    <row r="137" spans="1:17" ht="15">
      <c r="B137" s="2632" t="s">
        <v>2629</v>
      </c>
      <c r="C137" s="2633"/>
      <c r="D137" s="2633"/>
      <c r="E137" s="2633"/>
      <c r="F137" s="2633"/>
      <c r="G137" s="2634"/>
      <c r="H137" s="2635"/>
      <c r="I137" s="2636" t="s">
        <v>2630</v>
      </c>
      <c r="J137" s="2633"/>
      <c r="K137" s="2637"/>
    </row>
    <row r="138" spans="1:17" ht="15">
      <c r="B138" s="2638"/>
      <c r="C138" s="146" t="s">
        <v>2631</v>
      </c>
      <c r="D138" s="146" t="s">
        <v>2632</v>
      </c>
      <c r="E138" s="2639" t="s">
        <v>2633</v>
      </c>
      <c r="F138" s="2640" t="s">
        <v>2634</v>
      </c>
      <c r="G138" s="146" t="s">
        <v>2632</v>
      </c>
      <c r="H138" s="147" t="s">
        <v>2633</v>
      </c>
      <c r="I138" s="2641"/>
      <c r="J138" s="146" t="s">
        <v>2635</v>
      </c>
      <c r="K138" s="147" t="s">
        <v>2636</v>
      </c>
    </row>
    <row r="139" spans="1:17" ht="15">
      <c r="B139" s="1087">
        <v>6</v>
      </c>
      <c r="C139" s="1088">
        <v>96</v>
      </c>
      <c r="D139" s="2642" t="s">
        <v>2637</v>
      </c>
      <c r="E139" s="1089">
        <v>100</v>
      </c>
      <c r="F139" s="1090">
        <v>102.5</v>
      </c>
      <c r="G139" s="2642" t="s">
        <v>2637</v>
      </c>
      <c r="H139" s="1091">
        <v>105</v>
      </c>
      <c r="I139" s="2643" t="s">
        <v>2638</v>
      </c>
      <c r="J139" s="1088">
        <v>20</v>
      </c>
      <c r="K139" s="1092">
        <f>C145/(J139-2)</f>
        <v>4.0555555555555553E-3</v>
      </c>
    </row>
    <row r="140" spans="1:17" ht="15">
      <c r="B140" s="1093">
        <v>5</v>
      </c>
      <c r="C140" s="1094">
        <v>100</v>
      </c>
      <c r="D140" s="1094"/>
      <c r="E140" s="1095"/>
      <c r="F140" s="1096">
        <v>102</v>
      </c>
      <c r="G140" s="1094"/>
      <c r="H140" s="1097"/>
      <c r="I140" s="2644" t="s">
        <v>2639</v>
      </c>
      <c r="J140" s="315">
        <f>ROUNDUP((J139-1)/2,0)</f>
        <v>10</v>
      </c>
      <c r="K140" s="1098">
        <v>100</v>
      </c>
    </row>
    <row r="141" spans="1:17" ht="15">
      <c r="B141" s="1093">
        <v>4</v>
      </c>
      <c r="C141" s="1094">
        <v>102</v>
      </c>
      <c r="D141" s="1094"/>
      <c r="E141" s="1095"/>
      <c r="F141" s="1096">
        <v>101.5</v>
      </c>
      <c r="G141" s="1094"/>
      <c r="H141" s="1097"/>
      <c r="I141" s="2644" t="s">
        <v>2640</v>
      </c>
      <c r="J141" s="315">
        <v>1</v>
      </c>
      <c r="K141" s="1099">
        <f>ROUND(100+(J141-J140)*K139*100,1)</f>
        <v>96.4</v>
      </c>
    </row>
    <row r="142" spans="1:17" ht="15">
      <c r="B142" s="1093">
        <v>3</v>
      </c>
      <c r="C142" s="1094">
        <v>103</v>
      </c>
      <c r="D142" s="1094"/>
      <c r="E142" s="1095"/>
      <c r="F142" s="1096">
        <v>101</v>
      </c>
      <c r="G142" s="1094"/>
      <c r="H142" s="1097"/>
      <c r="I142" s="2644" t="s">
        <v>2641</v>
      </c>
      <c r="J142" s="315">
        <f>J139</f>
        <v>20</v>
      </c>
      <c r="K142" s="1100">
        <v>95</v>
      </c>
    </row>
    <row r="143" spans="1:17" ht="15">
      <c r="B143" s="1093">
        <v>2</v>
      </c>
      <c r="C143" s="1094">
        <v>100</v>
      </c>
      <c r="D143" s="1094"/>
      <c r="E143" s="1095"/>
      <c r="F143" s="1096">
        <v>100.5</v>
      </c>
      <c r="G143" s="1094"/>
      <c r="H143" s="1097"/>
      <c r="I143" s="2644" t="s">
        <v>2642</v>
      </c>
      <c r="J143" s="1094">
        <v>15</v>
      </c>
      <c r="K143" s="1099">
        <f>ROUND(100+(J143-J140)*K139*100,1)</f>
        <v>102</v>
      </c>
    </row>
    <row r="144" spans="1:17" ht="15">
      <c r="B144" s="1093">
        <v>1</v>
      </c>
      <c r="C144" s="1094">
        <v>98</v>
      </c>
      <c r="D144" s="2645" t="s">
        <v>2643</v>
      </c>
      <c r="E144" s="1095">
        <v>102</v>
      </c>
      <c r="F144" s="1101">
        <v>100</v>
      </c>
      <c r="G144" s="2645" t="s">
        <v>2643</v>
      </c>
      <c r="H144" s="1097">
        <v>105</v>
      </c>
      <c r="I144" s="2644" t="s">
        <v>2642</v>
      </c>
      <c r="J144" s="1094">
        <v>18</v>
      </c>
      <c r="K144" s="1099">
        <f>ROUND(100+(J144-J140)*K139*100,1)</f>
        <v>103.2</v>
      </c>
    </row>
    <row r="145" spans="2:11" ht="15.75" thickBot="1">
      <c r="B145" s="2646" t="s">
        <v>2644</v>
      </c>
      <c r="C145" s="1102">
        <f>ROUND(MAX(C139:C144)/MIN(C139:C144)-1,3)</f>
        <v>7.2999999999999995E-2</v>
      </c>
      <c r="D145" s="1103"/>
      <c r="E145" s="1103"/>
      <c r="F145" s="2647" t="s">
        <v>2645</v>
      </c>
      <c r="G145" s="2648"/>
      <c r="H145" s="2649"/>
      <c r="I145" s="2650" t="s">
        <v>2642</v>
      </c>
      <c r="J145" s="1104">
        <v>8</v>
      </c>
      <c r="K145" s="1105">
        <f>ROUND(100+(J145-J140)*K139*100,1)</f>
        <v>99.2</v>
      </c>
    </row>
    <row r="147" spans="2:11">
      <c r="B147" s="2631" t="s">
        <v>2646</v>
      </c>
    </row>
    <row r="148" spans="2:11">
      <c r="B148" s="2631"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2534</v>
      </c>
      <c r="B1" s="2576" t="s">
        <v>2648</v>
      </c>
      <c r="C1" s="1633" t="s">
        <v>2536</v>
      </c>
      <c r="D1" s="1620"/>
      <c r="E1" s="2651"/>
      <c r="F1" s="2578"/>
      <c r="G1" s="1630" t="s">
        <v>2649</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8" customFormat="1" ht="28.5" customHeight="1" thickTop="1">
      <c r="A2" s="1616" t="s">
        <v>2333</v>
      </c>
      <c r="B2" s="1417" t="e">
        <f ca="1">IF(C2="——",ROUND(C49*D3/10000,0),ROUND(C49*D3/10000,0)-D2)</f>
        <v>#DIV/0!</v>
      </c>
      <c r="C2" s="2580"/>
      <c r="D2" s="1364" t="e">
        <f ca="1">SUMIF(INDIRECT("'"&amp;F2&amp;"'"&amp;"!A:A"),"承租人权益价值",INDIRECT("'"&amp;F2&amp;"'"&amp;"!c:c"))</f>
        <v>#REF!</v>
      </c>
      <c r="E2" s="2581" t="s">
        <v>2334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2335</v>
      </c>
      <c r="B3" s="609" t="e">
        <f ca="1">IF(C2="——",C49,ROUND(B2*10000/D3,0))</f>
        <v>#DIV/0!</v>
      </c>
      <c r="C3" s="400" t="s">
        <v>2650</v>
      </c>
      <c r="D3" s="399">
        <f>IF(D1="",'数据-汇总表'!E3,SUMIF('数据-汇总表'!$C19:$C33,D1,'数据-汇总表'!$E19:$E33))</f>
        <v>38865.599999999999</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2651</v>
      </c>
      <c r="B4" s="402"/>
      <c r="C4" s="3162" t="s">
        <v>2652</v>
      </c>
      <c r="D4" s="3175"/>
      <c r="E4" s="3176" t="s">
        <v>2653</v>
      </c>
      <c r="F4" s="3177"/>
      <c r="G4" s="3162" t="s">
        <v>2654</v>
      </c>
      <c r="H4" s="3175"/>
      <c r="I4" s="3162" t="s">
        <v>2655</v>
      </c>
      <c r="J4" s="3175"/>
      <c r="K4" s="610" t="s">
        <v>2656</v>
      </c>
      <c r="L4" s="1130"/>
      <c r="M4" s="1131"/>
      <c r="N4" s="1131"/>
      <c r="O4" s="1131"/>
      <c r="P4" s="3178" t="s">
        <v>2657</v>
      </c>
      <c r="Q4" s="3179"/>
      <c r="R4" s="3184" t="s">
        <v>2653</v>
      </c>
      <c r="S4" s="3185"/>
      <c r="T4" s="3184" t="s">
        <v>2654</v>
      </c>
      <c r="U4" s="3185"/>
      <c r="V4" s="3171" t="s">
        <v>2655</v>
      </c>
      <c r="W4" s="3171"/>
      <c r="X4" s="1809"/>
      <c r="Y4" s="3184" t="s">
        <v>2657</v>
      </c>
      <c r="Z4" s="3185"/>
      <c r="AA4" s="3172" t="s">
        <v>2653</v>
      </c>
      <c r="AB4" s="3171" t="s">
        <v>2654</v>
      </c>
      <c r="AC4" s="3172" t="s">
        <v>2655</v>
      </c>
    </row>
    <row r="5" spans="1:29" ht="15">
      <c r="A5" s="404"/>
      <c r="B5" s="405"/>
      <c r="C5" s="3192" t="s">
        <v>2548</v>
      </c>
      <c r="D5" s="3193"/>
      <c r="E5" s="3199" t="s">
        <v>2549</v>
      </c>
      <c r="F5" s="3200"/>
      <c r="G5" s="3192" t="s">
        <v>2550</v>
      </c>
      <c r="H5" s="3193"/>
      <c r="I5" s="3192" t="s">
        <v>2551</v>
      </c>
      <c r="J5" s="3193"/>
      <c r="K5" s="610"/>
      <c r="L5" s="1130"/>
      <c r="M5" s="1131"/>
      <c r="N5" s="1131"/>
      <c r="O5" s="1131"/>
      <c r="P5" s="3180"/>
      <c r="Q5" s="3181"/>
      <c r="R5" s="3186"/>
      <c r="S5" s="3187"/>
      <c r="T5" s="3186"/>
      <c r="U5" s="3187"/>
      <c r="V5" s="3171"/>
      <c r="W5" s="3171"/>
      <c r="X5" s="1809"/>
      <c r="Y5" s="3186"/>
      <c r="Z5" s="3187"/>
      <c r="AA5" s="3173"/>
      <c r="AB5" s="3171"/>
      <c r="AC5" s="3173"/>
    </row>
    <row r="6" spans="1:29" ht="15.75" thickBot="1">
      <c r="A6" s="406"/>
      <c r="B6" s="407"/>
      <c r="C6" s="3190" t="s">
        <v>2552</v>
      </c>
      <c r="D6" s="3191"/>
      <c r="E6" s="3197" t="s">
        <v>2552</v>
      </c>
      <c r="F6" s="3198"/>
      <c r="G6" s="3190" t="s">
        <v>2552</v>
      </c>
      <c r="H6" s="3191"/>
      <c r="I6" s="3190" t="s">
        <v>2552</v>
      </c>
      <c r="J6" s="3191"/>
      <c r="K6" s="610" t="s">
        <v>2553</v>
      </c>
      <c r="L6" s="1130"/>
      <c r="M6" s="1131"/>
      <c r="N6" s="1131"/>
      <c r="O6" s="1131"/>
      <c r="P6" s="3182"/>
      <c r="Q6" s="3183"/>
      <c r="R6" s="3186"/>
      <c r="S6" s="3187"/>
      <c r="T6" s="3188"/>
      <c r="U6" s="3189"/>
      <c r="V6" s="3171"/>
      <c r="W6" s="3171"/>
      <c r="X6" s="1809"/>
      <c r="Y6" s="3188"/>
      <c r="Z6" s="3189"/>
      <c r="AA6" s="3174"/>
      <c r="AB6" s="3171"/>
      <c r="AC6" s="3174"/>
    </row>
    <row r="7" spans="1:29" s="117" customFormat="1" ht="15.75" thickBot="1">
      <c r="A7" s="408" t="s">
        <v>2554</v>
      </c>
      <c r="B7" s="409"/>
      <c r="C7" s="410">
        <f>'数据-取费表'!B2</f>
        <v>43417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4" t="s">
        <v>2555</v>
      </c>
      <c r="Q7" s="3196"/>
      <c r="R7" s="770" t="s">
        <v>17</v>
      </c>
      <c r="S7" s="771">
        <f t="shared" ref="S7:S15" si="0">F7</f>
        <v>0</v>
      </c>
      <c r="T7" s="770" t="s">
        <v>17</v>
      </c>
      <c r="U7" s="771">
        <f t="shared" ref="U7:U15" si="1">H7</f>
        <v>0</v>
      </c>
      <c r="V7" s="770" t="s">
        <v>17</v>
      </c>
      <c r="W7" s="771">
        <f t="shared" ref="W7:W15" si="2">J7</f>
        <v>0</v>
      </c>
      <c r="X7" s="772"/>
      <c r="Y7" s="3194" t="s">
        <v>2555</v>
      </c>
      <c r="Z7" s="3195"/>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4" t="s">
        <v>2558</v>
      </c>
      <c r="Q8" s="3195"/>
      <c r="R8" s="770" t="s">
        <v>17</v>
      </c>
      <c r="S8" s="771">
        <f t="shared" si="0"/>
        <v>0</v>
      </c>
      <c r="T8" s="770" t="s">
        <v>17</v>
      </c>
      <c r="U8" s="771">
        <f t="shared" si="1"/>
        <v>0</v>
      </c>
      <c r="V8" s="770" t="s">
        <v>17</v>
      </c>
      <c r="W8" s="771">
        <f t="shared" si="2"/>
        <v>0</v>
      </c>
      <c r="X8" s="772"/>
      <c r="Y8" s="3194" t="s">
        <v>2558</v>
      </c>
      <c r="Z8" s="3195"/>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4" t="s">
        <v>2561</v>
      </c>
      <c r="Q9" s="1791"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4"/>
      <c r="Q10" s="1791"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4"/>
      <c r="Q11" s="1791"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4"/>
      <c r="Q12" s="1791">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4"/>
      <c r="Q13" s="1791">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4"/>
      <c r="Q14" s="1791">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2565</v>
      </c>
      <c r="B15" s="69" t="s">
        <v>2659</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2566</v>
      </c>
      <c r="Q15" s="1806" t="str">
        <f t="shared" si="6"/>
        <v>商业繁华度</v>
      </c>
      <c r="R15" s="774" t="s">
        <v>17</v>
      </c>
      <c r="S15" s="775">
        <f t="shared" si="0"/>
        <v>100</v>
      </c>
      <c r="T15" s="774" t="s">
        <v>17</v>
      </c>
      <c r="U15" s="775">
        <f t="shared" si="1"/>
        <v>100</v>
      </c>
      <c r="V15" s="774" t="s">
        <v>17</v>
      </c>
      <c r="W15" s="775">
        <f t="shared" si="2"/>
        <v>100</v>
      </c>
      <c r="X15" s="1809"/>
      <c r="Y15" s="3167" t="s">
        <v>2566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0"/>
      <c r="M16" s="1131"/>
      <c r="N16" s="1131"/>
      <c r="O16" s="1131"/>
      <c r="P16" s="3235"/>
      <c r="Q16" s="1806"/>
      <c r="R16" s="774"/>
      <c r="S16" s="775"/>
      <c r="T16" s="774"/>
      <c r="U16" s="775"/>
      <c r="V16" s="774"/>
      <c r="W16" s="775"/>
      <c r="X16" s="1809"/>
      <c r="Y16" s="3168"/>
      <c r="Z16" s="1810"/>
      <c r="AA16" s="1807">
        <v>1</v>
      </c>
      <c r="AB16" s="1807">
        <v>1</v>
      </c>
      <c r="AC16" s="1807">
        <v>1</v>
      </c>
    </row>
    <row r="17" spans="1:29" ht="85.5">
      <c r="A17" s="428"/>
      <c r="B17" s="451" t="s">
        <v>2101</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06" t="str">
        <f>B17</f>
        <v>交通便捷度</v>
      </c>
      <c r="R17" s="774" t="s">
        <v>17</v>
      </c>
      <c r="S17" s="775">
        <f>F17</f>
        <v>100</v>
      </c>
      <c r="T17" s="774" t="s">
        <v>17</v>
      </c>
      <c r="U17" s="775">
        <f>H17</f>
        <v>100</v>
      </c>
      <c r="V17" s="774" t="s">
        <v>17</v>
      </c>
      <c r="W17" s="775">
        <f>J17</f>
        <v>100</v>
      </c>
      <c r="X17" s="1809"/>
      <c r="Y17" s="3168"/>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40"/>
      <c r="M18" s="1131"/>
      <c r="N18" s="1131"/>
      <c r="O18" s="1131"/>
      <c r="P18" s="3235"/>
      <c r="Q18" s="1806"/>
      <c r="R18" s="774"/>
      <c r="S18" s="775"/>
      <c r="T18" s="774"/>
      <c r="U18" s="775"/>
      <c r="V18" s="774"/>
      <c r="W18" s="775"/>
      <c r="X18" s="1809"/>
      <c r="Y18" s="3168"/>
      <c r="Z18" s="1810"/>
      <c r="AA18" s="1807">
        <v>1</v>
      </c>
      <c r="AB18" s="1807">
        <v>1</v>
      </c>
      <c r="AC18" s="1807">
        <v>1</v>
      </c>
    </row>
    <row r="19" spans="1:29" ht="42.75">
      <c r="A19" s="428"/>
      <c r="B19" s="451" t="s">
        <v>2660</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06" t="str">
        <f>B19</f>
        <v>公共配套设施</v>
      </c>
      <c r="R19" s="774" t="s">
        <v>17</v>
      </c>
      <c r="S19" s="775">
        <f>F19</f>
        <v>100</v>
      </c>
      <c r="T19" s="774" t="s">
        <v>17</v>
      </c>
      <c r="U19" s="775">
        <f>H19</f>
        <v>100</v>
      </c>
      <c r="V19" s="774" t="s">
        <v>17</v>
      </c>
      <c r="W19" s="775">
        <f>J19</f>
        <v>100</v>
      </c>
      <c r="X19" s="1809"/>
      <c r="Y19" s="3168"/>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40"/>
      <c r="M20" s="1131"/>
      <c r="N20" s="1131"/>
      <c r="O20" s="1131"/>
      <c r="P20" s="3235"/>
      <c r="Q20" s="1806"/>
      <c r="R20" s="774"/>
      <c r="S20" s="775"/>
      <c r="T20" s="774"/>
      <c r="U20" s="775"/>
      <c r="V20" s="774"/>
      <c r="W20" s="775"/>
      <c r="X20" s="1809"/>
      <c r="Y20" s="3168"/>
      <c r="Z20" s="1810"/>
      <c r="AA20" s="1807">
        <v>1</v>
      </c>
      <c r="AB20" s="1807">
        <v>1</v>
      </c>
      <c r="AC20" s="1807">
        <v>1</v>
      </c>
    </row>
    <row r="21" spans="1:29" ht="28.5">
      <c r="A21" s="428"/>
      <c r="B21" s="1383" t="s">
        <v>2661</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06" t="str">
        <f>B21</f>
        <v>基础设施水平</v>
      </c>
      <c r="R21" s="774" t="s">
        <v>17</v>
      </c>
      <c r="S21" s="775">
        <f>F21</f>
        <v>100</v>
      </c>
      <c r="T21" s="774" t="s">
        <v>17</v>
      </c>
      <c r="U21" s="775">
        <f>H21</f>
        <v>100</v>
      </c>
      <c r="V21" s="774" t="s">
        <v>17</v>
      </c>
      <c r="W21" s="775">
        <f>J21</f>
        <v>100</v>
      </c>
      <c r="X21" s="1809"/>
      <c r="Y21" s="3168"/>
      <c r="Z21" s="1810" t="str">
        <f>Q21</f>
        <v>基础设施水平</v>
      </c>
      <c r="AA21" s="1807">
        <f t="shared" ref="AA21" si="8">D21/F21</f>
        <v>1</v>
      </c>
      <c r="AB21" s="1807">
        <f t="shared" ref="AB21" si="9">D21/H21</f>
        <v>1</v>
      </c>
      <c r="AC21" s="1807">
        <f t="shared" ref="AC21" si="10">D21/J21</f>
        <v>1</v>
      </c>
    </row>
    <row r="22" spans="1:29" ht="15">
      <c r="A22" s="428"/>
      <c r="B22" s="1383"/>
      <c r="C22" s="2602"/>
      <c r="D22" s="448"/>
      <c r="E22" s="447"/>
      <c r="F22" s="449"/>
      <c r="G22" s="447"/>
      <c r="H22" s="448"/>
      <c r="I22" s="447"/>
      <c r="J22" s="448"/>
      <c r="K22" s="1382"/>
      <c r="L22" s="1140"/>
      <c r="M22" s="1131"/>
      <c r="N22" s="1131"/>
      <c r="O22" s="1131"/>
      <c r="P22" s="3235"/>
      <c r="Q22" s="1806"/>
      <c r="R22" s="774"/>
      <c r="S22" s="775"/>
      <c r="T22" s="774"/>
      <c r="U22" s="775"/>
      <c r="V22" s="774"/>
      <c r="W22" s="775"/>
      <c r="X22" s="1809"/>
      <c r="Y22" s="3168"/>
      <c r="Z22" s="1810"/>
      <c r="AA22" s="1807">
        <v>1</v>
      </c>
      <c r="AB22" s="1807">
        <v>1</v>
      </c>
      <c r="AC22" s="1807">
        <v>1</v>
      </c>
    </row>
    <row r="23" spans="1:29" ht="57">
      <c r="A23" s="428"/>
      <c r="B23" s="451" t="s">
        <v>2106</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06" t="str">
        <f>B23</f>
        <v>自然及人文环境</v>
      </c>
      <c r="R23" s="774" t="s">
        <v>17</v>
      </c>
      <c r="S23" s="775">
        <f>F23</f>
        <v>100</v>
      </c>
      <c r="T23" s="774" t="s">
        <v>17</v>
      </c>
      <c r="U23" s="775">
        <f>H23</f>
        <v>100</v>
      </c>
      <c r="V23" s="774" t="s">
        <v>17</v>
      </c>
      <c r="W23" s="775">
        <f>J23</f>
        <v>100</v>
      </c>
      <c r="X23" s="1809"/>
      <c r="Y23" s="3168"/>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40"/>
      <c r="M24" s="1131"/>
      <c r="N24" s="1131"/>
      <c r="O24" s="1131"/>
      <c r="P24" s="3235"/>
      <c r="Q24" s="1806"/>
      <c r="R24" s="774"/>
      <c r="S24" s="775"/>
      <c r="T24" s="774"/>
      <c r="U24" s="775"/>
      <c r="V24" s="774"/>
      <c r="W24" s="775"/>
      <c r="X24" s="1809"/>
      <c r="Y24" s="3168"/>
      <c r="Z24" s="1810"/>
      <c r="AA24" s="1807">
        <v>1</v>
      </c>
      <c r="AB24" s="1807">
        <v>1</v>
      </c>
      <c r="AC24" s="1807">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06" t="str">
        <f t="shared" ref="Q25:Q46" si="11">B25</f>
        <v>临街状况</v>
      </c>
      <c r="R25" s="774" t="s">
        <v>17</v>
      </c>
      <c r="S25" s="775">
        <f>F25</f>
        <v>100</v>
      </c>
      <c r="T25" s="774" t="s">
        <v>17</v>
      </c>
      <c r="U25" s="775">
        <f>H25</f>
        <v>100</v>
      </c>
      <c r="V25" s="774" t="s">
        <v>17</v>
      </c>
      <c r="W25" s="775">
        <f>J25</f>
        <v>100</v>
      </c>
      <c r="X25" s="1809"/>
      <c r="Y25" s="3168"/>
      <c r="Z25" s="1810" t="str">
        <f>Q25</f>
        <v>临街状况</v>
      </c>
      <c r="AA25" s="1807">
        <f t="shared" si="3"/>
        <v>1</v>
      </c>
      <c r="AB25" s="1807">
        <f t="shared" si="4"/>
        <v>1</v>
      </c>
      <c r="AC25" s="1807">
        <f t="shared" si="5"/>
        <v>1</v>
      </c>
    </row>
    <row r="26" spans="1:29" ht="15">
      <c r="A26" s="428"/>
      <c r="B26" s="1385" t="s">
        <v>2663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06" t="str">
        <f t="shared" si="11"/>
        <v>平面位置/可视性</v>
      </c>
      <c r="R26" s="774" t="s">
        <v>17</v>
      </c>
      <c r="S26" s="775">
        <f>F26</f>
        <v>100</v>
      </c>
      <c r="T26" s="774" t="s">
        <v>17</v>
      </c>
      <c r="U26" s="775">
        <f>H26</f>
        <v>100</v>
      </c>
      <c r="V26" s="774" t="s">
        <v>17</v>
      </c>
      <c r="W26" s="775">
        <f>J26</f>
        <v>100</v>
      </c>
      <c r="X26" s="1809"/>
      <c r="Y26" s="3168"/>
      <c r="Z26" s="1810" t="str">
        <f>Q26</f>
        <v>平面位置/可视性</v>
      </c>
      <c r="AA26" s="1807">
        <f t="shared" si="3"/>
        <v>1</v>
      </c>
      <c r="AB26" s="1807">
        <f t="shared" si="4"/>
        <v>1</v>
      </c>
      <c r="AC26" s="1807">
        <f t="shared" si="5"/>
        <v>1</v>
      </c>
    </row>
    <row r="27" spans="1:29" s="117" customFormat="1" ht="15">
      <c r="A27" s="431"/>
      <c r="B27" s="451" t="s">
        <v>2664</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35"/>
      <c r="Q27" s="1791" t="str">
        <f t="shared" si="11"/>
        <v>人流量</v>
      </c>
      <c r="R27" s="770" t="s">
        <v>17</v>
      </c>
      <c r="S27" s="771">
        <f>F27</f>
        <v>100</v>
      </c>
      <c r="T27" s="770" t="s">
        <v>17</v>
      </c>
      <c r="U27" s="771">
        <f>H27</f>
        <v>100</v>
      </c>
      <c r="V27" s="770" t="s">
        <v>17</v>
      </c>
      <c r="W27" s="771">
        <f>J27</f>
        <v>100</v>
      </c>
      <c r="X27" s="772"/>
      <c r="Y27" s="3168"/>
      <c r="Z27" s="55" t="str">
        <f>Q27</f>
        <v>人流量</v>
      </c>
      <c r="AA27" s="1807">
        <f>D27/F27</f>
        <v>1</v>
      </c>
      <c r="AB27" s="1807">
        <f>D27/H27</f>
        <v>1</v>
      </c>
      <c r="AC27" s="1807">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168"/>
      <c r="Z28" s="1810" t="str">
        <f t="shared" ref="Z28:Z46" si="15">Q28</f>
        <v>楼层</v>
      </c>
      <c r="AA28" s="1807">
        <f t="shared" si="3"/>
        <v>1</v>
      </c>
      <c r="AB28" s="1807">
        <f t="shared" si="4"/>
        <v>1</v>
      </c>
      <c r="AC28" s="1807">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06">
        <f t="shared" si="11"/>
        <v>111</v>
      </c>
      <c r="R29" s="774" t="s">
        <v>17</v>
      </c>
      <c r="S29" s="775">
        <f t="shared" si="12"/>
        <v>100</v>
      </c>
      <c r="T29" s="774" t="s">
        <v>17</v>
      </c>
      <c r="U29" s="775">
        <f t="shared" si="13"/>
        <v>100</v>
      </c>
      <c r="V29" s="774" t="s">
        <v>17</v>
      </c>
      <c r="W29" s="775">
        <f t="shared" si="14"/>
        <v>100</v>
      </c>
      <c r="X29" s="1809"/>
      <c r="Y29" s="3168"/>
      <c r="Z29" s="1810">
        <f t="shared" si="15"/>
        <v>111</v>
      </c>
      <c r="AA29" s="1807">
        <f t="shared" si="3"/>
        <v>1</v>
      </c>
      <c r="AB29" s="1807">
        <f t="shared" si="4"/>
        <v>1</v>
      </c>
      <c r="AC29" s="1807">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06">
        <f t="shared" si="11"/>
        <v>111</v>
      </c>
      <c r="R30" s="774" t="s">
        <v>17</v>
      </c>
      <c r="S30" s="775">
        <f t="shared" si="12"/>
        <v>100</v>
      </c>
      <c r="T30" s="774" t="s">
        <v>17</v>
      </c>
      <c r="U30" s="775">
        <f t="shared" si="13"/>
        <v>100</v>
      </c>
      <c r="V30" s="774" t="s">
        <v>17</v>
      </c>
      <c r="W30" s="775">
        <f t="shared" si="14"/>
        <v>100</v>
      </c>
      <c r="X30" s="1809"/>
      <c r="Y30" s="3168"/>
      <c r="Z30" s="1810">
        <f t="shared" si="15"/>
        <v>111</v>
      </c>
      <c r="AA30" s="1807">
        <f t="shared" si="3"/>
        <v>1</v>
      </c>
      <c r="AB30" s="1807">
        <f t="shared" si="4"/>
        <v>1</v>
      </c>
      <c r="AC30" s="1807">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06">
        <f t="shared" si="11"/>
        <v>111</v>
      </c>
      <c r="R31" s="774" t="s">
        <v>17</v>
      </c>
      <c r="S31" s="775">
        <f t="shared" si="12"/>
        <v>100</v>
      </c>
      <c r="T31" s="774" t="s">
        <v>17</v>
      </c>
      <c r="U31" s="775">
        <f t="shared" si="13"/>
        <v>100</v>
      </c>
      <c r="V31" s="774" t="s">
        <v>17</v>
      </c>
      <c r="W31" s="775">
        <f t="shared" si="14"/>
        <v>100</v>
      </c>
      <c r="X31" s="1809"/>
      <c r="Y31" s="3168"/>
      <c r="Z31" s="1810">
        <f t="shared" si="15"/>
        <v>111</v>
      </c>
      <c r="AA31" s="1807">
        <f t="shared" si="3"/>
        <v>1</v>
      </c>
      <c r="AB31" s="1807">
        <f t="shared" si="4"/>
        <v>1</v>
      </c>
      <c r="AC31" s="1807">
        <f t="shared" si="5"/>
        <v>1</v>
      </c>
    </row>
    <row r="32" spans="1:29" ht="15">
      <c r="A32" s="440" t="s">
        <v>2569</v>
      </c>
      <c r="B32" s="71" t="s">
        <v>2666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30" t="s">
        <v>2571</v>
      </c>
      <c r="Q32" s="1806" t="str">
        <f t="shared" si="11"/>
        <v>商业类型</v>
      </c>
      <c r="R32" s="774" t="s">
        <v>17</v>
      </c>
      <c r="S32" s="775">
        <f t="shared" si="12"/>
        <v>100</v>
      </c>
      <c r="T32" s="774" t="s">
        <v>17</v>
      </c>
      <c r="U32" s="775">
        <f t="shared" si="13"/>
        <v>100</v>
      </c>
      <c r="V32" s="774" t="s">
        <v>17</v>
      </c>
      <c r="W32" s="775">
        <f t="shared" si="14"/>
        <v>100</v>
      </c>
      <c r="X32" s="1809"/>
      <c r="Y32" s="3170" t="s">
        <v>2571</v>
      </c>
      <c r="Z32" s="1810" t="str">
        <f t="shared" si="15"/>
        <v>商业类型</v>
      </c>
      <c r="AA32" s="1807">
        <f t="shared" si="3"/>
        <v>1</v>
      </c>
      <c r="AB32" s="1807">
        <f t="shared" si="4"/>
        <v>1</v>
      </c>
      <c r="AC32" s="1807">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07" t="e">
        <f t="shared" si="3"/>
        <v>#N/A</v>
      </c>
      <c r="AB33" s="1807" t="e">
        <f t="shared" si="4"/>
        <v>#N/A</v>
      </c>
      <c r="AC33" s="1807" t="e">
        <f t="shared" si="5"/>
        <v>#N/A</v>
      </c>
    </row>
    <row r="34" spans="1:29" ht="15">
      <c r="A34" s="472"/>
      <c r="B34" s="422" t="s">
        <v>2573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31"/>
      <c r="Q34" s="1806" t="str">
        <f t="shared" si="11"/>
        <v>建筑结构</v>
      </c>
      <c r="R34" s="774" t="s">
        <v>17</v>
      </c>
      <c r="S34" s="775">
        <f t="shared" si="12"/>
        <v>100</v>
      </c>
      <c r="T34" s="774" t="s">
        <v>17</v>
      </c>
      <c r="U34" s="775">
        <f t="shared" si="13"/>
        <v>100</v>
      </c>
      <c r="V34" s="774" t="s">
        <v>17</v>
      </c>
      <c r="W34" s="775">
        <f t="shared" si="14"/>
        <v>100</v>
      </c>
      <c r="X34" s="1809"/>
      <c r="Y34" s="3170"/>
      <c r="Z34" s="1810" t="str">
        <f t="shared" si="15"/>
        <v>建筑结构</v>
      </c>
      <c r="AA34" s="1807">
        <f t="shared" si="3"/>
        <v>1</v>
      </c>
      <c r="AB34" s="1807">
        <f t="shared" si="4"/>
        <v>1</v>
      </c>
      <c r="AC34" s="1807">
        <f t="shared" si="5"/>
        <v>1</v>
      </c>
    </row>
    <row r="35" spans="1:29" ht="15">
      <c r="A35" s="472"/>
      <c r="B35" s="422" t="s">
        <v>2667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31"/>
      <c r="Q35" s="1806" t="str">
        <f t="shared" si="11"/>
        <v>公共部分装修</v>
      </c>
      <c r="R35" s="774" t="s">
        <v>17</v>
      </c>
      <c r="S35" s="775">
        <f t="shared" si="12"/>
        <v>100</v>
      </c>
      <c r="T35" s="774" t="s">
        <v>17</v>
      </c>
      <c r="U35" s="775">
        <f t="shared" si="13"/>
        <v>100</v>
      </c>
      <c r="V35" s="774" t="s">
        <v>17</v>
      </c>
      <c r="W35" s="775">
        <f t="shared" si="14"/>
        <v>100</v>
      </c>
      <c r="X35" s="1809"/>
      <c r="Y35" s="3170"/>
      <c r="Z35" s="1810" t="str">
        <f t="shared" si="15"/>
        <v>公共部分装修</v>
      </c>
      <c r="AA35" s="1807">
        <f t="shared" si="3"/>
        <v>1</v>
      </c>
      <c r="AB35" s="1807">
        <f t="shared" si="4"/>
        <v>1</v>
      </c>
      <c r="AC35" s="1807">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6" t="str">
        <f t="shared" si="11"/>
        <v>成新度</v>
      </c>
      <c r="R36" s="774" t="s">
        <v>17</v>
      </c>
      <c r="S36" s="775" t="e">
        <f t="shared" si="12"/>
        <v>#N/A</v>
      </c>
      <c r="T36" s="774" t="s">
        <v>17</v>
      </c>
      <c r="U36" s="775" t="e">
        <f t="shared" si="13"/>
        <v>#N/A</v>
      </c>
      <c r="V36" s="774" t="s">
        <v>17</v>
      </c>
      <c r="W36" s="775" t="e">
        <f t="shared" si="14"/>
        <v>#N/A</v>
      </c>
      <c r="X36" s="1809"/>
      <c r="Y36" s="3170"/>
      <c r="Z36" s="1810" t="str">
        <f t="shared" si="15"/>
        <v>成新度</v>
      </c>
      <c r="AA36" s="1807" t="e">
        <f t="shared" si="3"/>
        <v>#N/A</v>
      </c>
      <c r="AB36" s="1807" t="e">
        <f t="shared" si="4"/>
        <v>#N/A</v>
      </c>
      <c r="AC36" s="1807" t="e">
        <f t="shared" si="5"/>
        <v>#N/A</v>
      </c>
    </row>
    <row r="37" spans="1:29" s="117" customFormat="1" ht="15">
      <c r="A37" s="473"/>
      <c r="B37" s="422" t="s">
        <v>2669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31"/>
      <c r="Q37" s="1791"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2670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31" t="s">
        <v>2571</v>
      </c>
      <c r="Q38" s="1806" t="str">
        <f t="shared" si="11"/>
        <v>业态</v>
      </c>
      <c r="R38" s="774" t="s">
        <v>17</v>
      </c>
      <c r="S38" s="775">
        <f t="shared" si="12"/>
        <v>100</v>
      </c>
      <c r="T38" s="774" t="s">
        <v>17</v>
      </c>
      <c r="U38" s="775">
        <f t="shared" si="13"/>
        <v>100</v>
      </c>
      <c r="V38" s="774" t="s">
        <v>17</v>
      </c>
      <c r="W38" s="775">
        <f t="shared" si="14"/>
        <v>100</v>
      </c>
      <c r="X38" s="1809"/>
      <c r="Y38" s="3170" t="s">
        <v>2571</v>
      </c>
      <c r="Z38" s="1810" t="str">
        <f t="shared" si="15"/>
        <v>业态</v>
      </c>
      <c r="AA38" s="1807">
        <f t="shared" si="3"/>
        <v>1</v>
      </c>
      <c r="AB38" s="1807">
        <f t="shared" si="4"/>
        <v>1</v>
      </c>
      <c r="AC38" s="1807">
        <f t="shared" si="5"/>
        <v>1</v>
      </c>
    </row>
    <row r="39" spans="1:29" ht="15">
      <c r="A39" s="472"/>
      <c r="B39" s="422" t="s">
        <v>2671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31"/>
      <c r="Q39" s="1806" t="str">
        <f t="shared" si="11"/>
        <v>层高</v>
      </c>
      <c r="R39" s="774" t="s">
        <v>17</v>
      </c>
      <c r="S39" s="775">
        <f t="shared" si="12"/>
        <v>100</v>
      </c>
      <c r="T39" s="774" t="s">
        <v>17</v>
      </c>
      <c r="U39" s="775">
        <f t="shared" si="13"/>
        <v>100</v>
      </c>
      <c r="V39" s="774" t="s">
        <v>17</v>
      </c>
      <c r="W39" s="775">
        <f t="shared" si="14"/>
        <v>100</v>
      </c>
      <c r="X39" s="1809"/>
      <c r="Y39" s="3170"/>
      <c r="Z39" s="1810" t="str">
        <f t="shared" si="15"/>
        <v>层高</v>
      </c>
      <c r="AA39" s="1807">
        <f t="shared" si="3"/>
        <v>1</v>
      </c>
      <c r="AB39" s="1807">
        <f t="shared" si="4"/>
        <v>1</v>
      </c>
      <c r="AC39" s="1807">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6" t="str">
        <f t="shared" si="11"/>
        <v>单套建筑面积</v>
      </c>
      <c r="R40" s="774" t="s">
        <v>17</v>
      </c>
      <c r="S40" s="775">
        <f t="shared" si="12"/>
        <v>100</v>
      </c>
      <c r="T40" s="774" t="s">
        <v>17</v>
      </c>
      <c r="U40" s="775">
        <f t="shared" si="13"/>
        <v>100</v>
      </c>
      <c r="V40" s="774" t="s">
        <v>17</v>
      </c>
      <c r="W40" s="775">
        <f t="shared" si="14"/>
        <v>100</v>
      </c>
      <c r="X40" s="1809"/>
      <c r="Y40" s="3170"/>
      <c r="Z40" s="1810" t="str">
        <f t="shared" si="15"/>
        <v>单套建筑面积</v>
      </c>
      <c r="AA40" s="1807">
        <f t="shared" si="3"/>
        <v>1</v>
      </c>
      <c r="AB40" s="1807">
        <f t="shared" si="4"/>
        <v>1</v>
      </c>
      <c r="AC40" s="1807">
        <f t="shared" si="5"/>
        <v>1</v>
      </c>
    </row>
    <row r="41" spans="1:29" s="471" customFormat="1" ht="15">
      <c r="A41" s="468"/>
      <c r="B41" s="1808"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07">
        <f t="shared" si="3"/>
        <v>1</v>
      </c>
      <c r="AB41" s="1807">
        <f t="shared" si="4"/>
        <v>1</v>
      </c>
      <c r="AC41" s="1807">
        <f t="shared" si="5"/>
        <v>1</v>
      </c>
    </row>
    <row r="42" spans="1:29" ht="15">
      <c r="A42" s="472"/>
      <c r="B42" s="422" t="s">
        <v>2674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31"/>
      <c r="Q42" s="1806" t="str">
        <f t="shared" si="11"/>
        <v>内部装修</v>
      </c>
      <c r="R42" s="774" t="s">
        <v>17</v>
      </c>
      <c r="S42" s="775">
        <f t="shared" si="12"/>
        <v>100</v>
      </c>
      <c r="T42" s="774" t="s">
        <v>17</v>
      </c>
      <c r="U42" s="775">
        <f t="shared" si="13"/>
        <v>100</v>
      </c>
      <c r="V42" s="774" t="s">
        <v>17</v>
      </c>
      <c r="W42" s="775">
        <f t="shared" si="14"/>
        <v>100</v>
      </c>
      <c r="X42" s="1809"/>
      <c r="Y42" s="3170"/>
      <c r="Z42" s="1810" t="str">
        <f t="shared" si="15"/>
        <v>内部装修</v>
      </c>
      <c r="AA42" s="1807">
        <f t="shared" si="3"/>
        <v>1</v>
      </c>
      <c r="AB42" s="1807">
        <f t="shared" si="4"/>
        <v>1</v>
      </c>
      <c r="AC42" s="1807">
        <f t="shared" si="5"/>
        <v>1</v>
      </c>
    </row>
    <row r="43" spans="1:29" ht="15">
      <c r="A43" s="472"/>
      <c r="B43" s="422" t="s">
        <v>2582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31"/>
      <c r="Q43" s="1806" t="str">
        <f t="shared" si="11"/>
        <v>内部装修维护情况</v>
      </c>
      <c r="R43" s="774" t="s">
        <v>17</v>
      </c>
      <c r="S43" s="775">
        <f t="shared" si="12"/>
        <v>100</v>
      </c>
      <c r="T43" s="774" t="s">
        <v>17</v>
      </c>
      <c r="U43" s="775">
        <f t="shared" si="13"/>
        <v>100</v>
      </c>
      <c r="V43" s="774" t="s">
        <v>17</v>
      </c>
      <c r="W43" s="775">
        <f t="shared" si="14"/>
        <v>100</v>
      </c>
      <c r="X43" s="1809"/>
      <c r="Y43" s="3170"/>
      <c r="Z43" s="1810" t="str">
        <f t="shared" si="15"/>
        <v>内部装修维护情况</v>
      </c>
      <c r="AA43" s="1807">
        <f t="shared" si="3"/>
        <v>1</v>
      </c>
      <c r="AB43" s="1807">
        <f t="shared" si="4"/>
        <v>1</v>
      </c>
      <c r="AC43" s="1807">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1">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6">
        <f t="shared" si="11"/>
        <v>111</v>
      </c>
      <c r="R45" s="774" t="s">
        <v>17</v>
      </c>
      <c r="S45" s="775">
        <f t="shared" si="12"/>
        <v>100</v>
      </c>
      <c r="T45" s="774" t="s">
        <v>17</v>
      </c>
      <c r="U45" s="775">
        <f t="shared" si="13"/>
        <v>100</v>
      </c>
      <c r="V45" s="774" t="s">
        <v>17</v>
      </c>
      <c r="W45" s="775">
        <f t="shared" si="14"/>
        <v>100</v>
      </c>
      <c r="X45" s="1809"/>
      <c r="Y45" s="3170"/>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6">
        <f t="shared" si="11"/>
        <v>111</v>
      </c>
      <c r="R46" s="774" t="s">
        <v>17</v>
      </c>
      <c r="S46" s="775">
        <f t="shared" si="12"/>
        <v>100</v>
      </c>
      <c r="T46" s="774" t="s">
        <v>17</v>
      </c>
      <c r="U46" s="775">
        <f t="shared" si="13"/>
        <v>100</v>
      </c>
      <c r="V46" s="774" t="s">
        <v>17</v>
      </c>
      <c r="W46" s="775">
        <f t="shared" si="14"/>
        <v>100</v>
      </c>
      <c r="X46" s="1809"/>
      <c r="Y46" s="3233"/>
      <c r="Z46" s="1810">
        <f t="shared" si="15"/>
        <v>111</v>
      </c>
      <c r="AA46" s="1807">
        <f t="shared" si="3"/>
        <v>1</v>
      </c>
      <c r="AB46" s="1807">
        <f t="shared" si="4"/>
        <v>1</v>
      </c>
      <c r="AC46" s="1807">
        <f t="shared" si="5"/>
        <v>1</v>
      </c>
    </row>
    <row r="47" spans="1:29" ht="15">
      <c r="A47" s="479" t="s">
        <v>2583</v>
      </c>
      <c r="B47" s="480"/>
      <c r="C47" s="1406" t="s">
        <v>1</v>
      </c>
      <c r="D47" s="1407"/>
      <c r="E47" s="1408"/>
      <c r="F47" s="1409"/>
      <c r="G47" s="1410"/>
      <c r="H47" s="1411"/>
      <c r="I47" s="1408"/>
      <c r="J47" s="1411"/>
      <c r="K47" s="783"/>
      <c r="L47" s="1143"/>
      <c r="M47" s="1144"/>
      <c r="N47" s="1131"/>
      <c r="O47" s="1144"/>
      <c r="P47" s="3165" t="str">
        <f>A47</f>
        <v>成交单价（元/平方米）</v>
      </c>
      <c r="Q47" s="3165"/>
      <c r="R47" s="3171">
        <f>E47</f>
        <v>0</v>
      </c>
      <c r="S47" s="3171"/>
      <c r="T47" s="3171">
        <f>G47</f>
        <v>0</v>
      </c>
      <c r="U47" s="3171"/>
      <c r="V47" s="3171">
        <f>I47</f>
        <v>0</v>
      </c>
      <c r="W47" s="3171"/>
      <c r="X47" s="759"/>
      <c r="Y47" s="781"/>
      <c r="Z47" s="759"/>
      <c r="AA47" s="759"/>
      <c r="AB47" s="759"/>
      <c r="AC47" s="759"/>
    </row>
    <row r="48" spans="1:29" ht="15.75" thickBot="1">
      <c r="A48" s="486" t="s">
        <v>2675</v>
      </c>
      <c r="B48" s="487"/>
      <c r="C48" s="1412" t="e">
        <f>R49</f>
        <v>#DIV/0!</v>
      </c>
      <c r="D48" s="1413"/>
      <c r="E48" s="1414" t="e">
        <f>R48</f>
        <v>#DIV/0!</v>
      </c>
      <c r="F48" s="1414"/>
      <c r="G48" s="1412" t="e">
        <f>T48</f>
        <v>#DIV/0!</v>
      </c>
      <c r="H48" s="1413"/>
      <c r="I48" s="1414" t="e">
        <f>V48</f>
        <v>#DIV/0!</v>
      </c>
      <c r="J48" s="1413"/>
      <c r="K48" s="784"/>
      <c r="L48" s="1143"/>
      <c r="M48" s="1144"/>
      <c r="N48" s="1131"/>
      <c r="O48" s="1144"/>
      <c r="P48" s="3165" t="str">
        <f>A48</f>
        <v>比较价值（元/平方米）</v>
      </c>
      <c r="Q48" s="3165"/>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2676</v>
      </c>
      <c r="B49" s="493"/>
      <c r="C49" s="1416" t="e">
        <f>R49</f>
        <v>#DIV/0!</v>
      </c>
      <c r="D49" s="1416"/>
      <c r="E49" s="1416"/>
      <c r="F49" s="1416"/>
      <c r="G49" s="1416"/>
      <c r="H49" s="1416"/>
      <c r="I49" s="1416"/>
      <c r="J49" s="1416"/>
      <c r="K49" s="785"/>
      <c r="L49" s="1143"/>
      <c r="M49" s="1144"/>
      <c r="N49" s="1131"/>
      <c r="O49" s="1144"/>
      <c r="P49" s="3159" t="str">
        <f>A49</f>
        <v>估价对象XX用房的比较价值（楼面单价，元/平方米）</v>
      </c>
      <c r="Q49" s="3160"/>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8"/>
      <c r="L50" s="1109"/>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8"/>
      <c r="L51" s="1109"/>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8"/>
      <c r="L56" s="1109"/>
      <c r="M56" s="1144"/>
      <c r="N56" s="1144"/>
      <c r="O56" s="1144"/>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2554</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c r="E59" s="512"/>
      <c r="F59" s="512"/>
      <c r="G59" s="512"/>
      <c r="H59" s="512"/>
      <c r="I59" s="512"/>
      <c r="J59" s="512"/>
      <c r="K59" s="512"/>
      <c r="L59" s="512"/>
      <c r="M59" s="513"/>
      <c r="N59" s="512"/>
      <c r="O59" s="513"/>
      <c r="P59" s="2622"/>
    </row>
    <row r="60" spans="1:29" s="117" customFormat="1" ht="15.75" thickBot="1">
      <c r="A60" s="515" t="s">
        <v>2591</v>
      </c>
      <c r="B60" s="516"/>
      <c r="C60" s="517"/>
      <c r="D60" s="518"/>
      <c r="E60" s="518"/>
      <c r="F60" s="518"/>
      <c r="G60" s="518"/>
      <c r="H60" s="518"/>
      <c r="I60" s="518"/>
      <c r="J60" s="518"/>
      <c r="K60" s="518"/>
      <c r="L60" s="518"/>
      <c r="M60" s="519"/>
      <c r="N60" s="518"/>
      <c r="O60" s="519"/>
      <c r="P60" s="2622"/>
      <c r="Q60" s="504"/>
    </row>
    <row r="61" spans="1:29" s="117" customFormat="1" ht="15">
      <c r="A61" s="521" t="s">
        <v>2556</v>
      </c>
      <c r="B61" s="510"/>
      <c r="C61" s="522" t="s">
        <v>2658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2594</v>
      </c>
      <c r="B63" s="528" t="s">
        <v>2560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2661</v>
      </c>
      <c r="C82" s="660" t="s">
        <v>2681</v>
      </c>
      <c r="D82" s="660" t="s">
        <v>2682</v>
      </c>
      <c r="E82" s="660" t="s">
        <v>2683</v>
      </c>
      <c r="F82" s="660" t="s">
        <v>2684</v>
      </c>
      <c r="G82" s="660" t="s">
        <v>2685</v>
      </c>
      <c r="H82" s="539"/>
      <c r="I82" s="539"/>
      <c r="J82" s="539"/>
      <c r="K82" s="539"/>
      <c r="L82" s="539"/>
      <c r="M82" s="1381"/>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2686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2569</v>
      </c>
      <c r="B100" s="528" t="s">
        <v>2687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2620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2622</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2624</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2688</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2689</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2690</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2691</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2626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6" zoomScale="90" zoomScaleNormal="90" workbookViewId="0">
      <selection activeCell="M14" sqref="M1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2534</v>
      </c>
      <c r="B1" s="2663" t="s">
        <v>2692</v>
      </c>
      <c r="C1" s="1619" t="s">
        <v>2536</v>
      </c>
      <c r="D1" s="1620"/>
      <c r="E1" s="1629"/>
      <c r="F1" s="2578"/>
      <c r="G1" s="1630" t="s">
        <v>2649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2333</v>
      </c>
      <c r="B2" s="1417" t="e">
        <f ca="1">IF(C2="——",ROUND(C50*D3/10000,0),ROUND(C50*D3/10000,0)-D2)</f>
        <v>#DIV/0!</v>
      </c>
      <c r="C2" s="2580"/>
      <c r="D2" s="1364" t="e">
        <f ca="1">SUMIF(INDIRECT("'"&amp;F2&amp;"'"&amp;"!A:A"),"承租人权益价值",INDIRECT("'"&amp;F2&amp;"'"&amp;"!c:c"))</f>
        <v>#REF!</v>
      </c>
      <c r="E2" s="2581" t="s">
        <v>2334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38865.599999999999</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2651</v>
      </c>
      <c r="B4" s="402"/>
      <c r="C4" s="3162" t="s">
        <v>2652</v>
      </c>
      <c r="D4" s="3175"/>
      <c r="E4" s="3176" t="s">
        <v>2653</v>
      </c>
      <c r="F4" s="3177"/>
      <c r="G4" s="3162" t="s">
        <v>2654</v>
      </c>
      <c r="H4" s="3175"/>
      <c r="I4" s="3162" t="s">
        <v>2655</v>
      </c>
      <c r="J4" s="3175"/>
      <c r="K4" s="610" t="s">
        <v>2656</v>
      </c>
      <c r="L4" s="1130"/>
      <c r="M4" s="1131"/>
      <c r="N4" s="1131"/>
      <c r="O4" s="1131"/>
      <c r="P4" s="3242" t="s">
        <v>2657</v>
      </c>
      <c r="Q4" s="3243"/>
      <c r="R4" s="3246" t="s">
        <v>2653</v>
      </c>
      <c r="S4" s="3247"/>
      <c r="T4" s="3246" t="s">
        <v>2654</v>
      </c>
      <c r="U4" s="3247"/>
      <c r="V4" s="3248" t="s">
        <v>2655</v>
      </c>
      <c r="W4" s="3248"/>
      <c r="X4" s="2664"/>
      <c r="Y4" s="3246" t="s">
        <v>2657</v>
      </c>
      <c r="Z4" s="3247"/>
      <c r="AA4" s="3250" t="s">
        <v>2653</v>
      </c>
      <c r="AB4" s="3250" t="s">
        <v>2654</v>
      </c>
      <c r="AC4" s="3239" t="s">
        <v>2655</v>
      </c>
    </row>
    <row r="5" spans="1:29" ht="15">
      <c r="A5" s="404"/>
      <c r="B5" s="405"/>
      <c r="C5" s="3192" t="s">
        <v>2548</v>
      </c>
      <c r="D5" s="3193"/>
      <c r="E5" s="3199" t="s">
        <v>2549</v>
      </c>
      <c r="F5" s="3200"/>
      <c r="G5" s="3192" t="s">
        <v>2550</v>
      </c>
      <c r="H5" s="3193"/>
      <c r="I5" s="3192" t="s">
        <v>2551</v>
      </c>
      <c r="J5" s="3193"/>
      <c r="K5" s="610"/>
      <c r="L5" s="1130"/>
      <c r="M5" s="1131"/>
      <c r="N5" s="1131"/>
      <c r="O5" s="1131"/>
      <c r="P5" s="3244"/>
      <c r="Q5" s="3181"/>
      <c r="R5" s="3186"/>
      <c r="S5" s="3187"/>
      <c r="T5" s="3186"/>
      <c r="U5" s="3187"/>
      <c r="V5" s="3171"/>
      <c r="W5" s="3171"/>
      <c r="X5" s="1809"/>
      <c r="Y5" s="3186"/>
      <c r="Z5" s="3187"/>
      <c r="AA5" s="3173"/>
      <c r="AB5" s="3173"/>
      <c r="AC5" s="3240"/>
    </row>
    <row r="6" spans="1:29" ht="15.75" thickBot="1">
      <c r="A6" s="406"/>
      <c r="B6" s="407"/>
      <c r="C6" s="3190" t="s">
        <v>2552</v>
      </c>
      <c r="D6" s="3191"/>
      <c r="E6" s="3197" t="s">
        <v>2552</v>
      </c>
      <c r="F6" s="3198"/>
      <c r="G6" s="3190" t="s">
        <v>2552</v>
      </c>
      <c r="H6" s="3191"/>
      <c r="I6" s="3190" t="s">
        <v>2552</v>
      </c>
      <c r="J6" s="3191"/>
      <c r="K6" s="610" t="s">
        <v>2553</v>
      </c>
      <c r="L6" s="1130"/>
      <c r="M6" s="1131"/>
      <c r="N6" s="1131"/>
      <c r="O6" s="1131"/>
      <c r="P6" s="3245"/>
      <c r="Q6" s="3183"/>
      <c r="R6" s="3186"/>
      <c r="S6" s="3187"/>
      <c r="T6" s="3188"/>
      <c r="U6" s="3189"/>
      <c r="V6" s="3171"/>
      <c r="W6" s="3171"/>
      <c r="X6" s="1809"/>
      <c r="Y6" s="3188"/>
      <c r="Z6" s="3189"/>
      <c r="AA6" s="3174"/>
      <c r="AB6" s="3174"/>
      <c r="AC6" s="3241"/>
    </row>
    <row r="7" spans="1:29" s="117" customFormat="1" ht="15.75" thickBot="1">
      <c r="A7" s="408" t="s">
        <v>2554</v>
      </c>
      <c r="B7" s="409"/>
      <c r="C7" s="410">
        <f>'数据-取费表'!B2</f>
        <v>43417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2555</v>
      </c>
      <c r="Q7" s="3196"/>
      <c r="R7" s="770" t="s">
        <v>17</v>
      </c>
      <c r="S7" s="771">
        <f t="shared" ref="S7:S15" si="0">F7</f>
        <v>0</v>
      </c>
      <c r="T7" s="770" t="s">
        <v>17</v>
      </c>
      <c r="U7" s="771">
        <f t="shared" ref="U7:U15" si="1">H7</f>
        <v>0</v>
      </c>
      <c r="V7" s="770" t="s">
        <v>17</v>
      </c>
      <c r="W7" s="771">
        <f t="shared" ref="W7:W15" si="2">J7</f>
        <v>0</v>
      </c>
      <c r="X7" s="772"/>
      <c r="Y7" s="3194" t="s">
        <v>2555</v>
      </c>
      <c r="Z7" s="3195"/>
      <c r="AA7" s="773" t="e">
        <f>D7/F7</f>
        <v>#DIV/0!</v>
      </c>
      <c r="AB7" s="773" t="e">
        <f>D7/H7</f>
        <v>#DIV/0!</v>
      </c>
      <c r="AC7" s="2665"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2558</v>
      </c>
      <c r="Q8" s="3195"/>
      <c r="R8" s="770" t="s">
        <v>17</v>
      </c>
      <c r="S8" s="771">
        <f t="shared" si="0"/>
        <v>0</v>
      </c>
      <c r="T8" s="770" t="s">
        <v>17</v>
      </c>
      <c r="U8" s="771">
        <f t="shared" si="1"/>
        <v>0</v>
      </c>
      <c r="V8" s="770" t="s">
        <v>17</v>
      </c>
      <c r="W8" s="771">
        <f t="shared" si="2"/>
        <v>0</v>
      </c>
      <c r="X8" s="772"/>
      <c r="Y8" s="3194" t="s">
        <v>2558</v>
      </c>
      <c r="Z8" s="3195"/>
      <c r="AA8" s="773" t="e">
        <f t="shared" ref="AA8:AA47" si="3">D8/F8</f>
        <v>#DIV/0!</v>
      </c>
      <c r="AB8" s="773" t="e">
        <f t="shared" ref="AB8:AB47" si="4">D8/H8</f>
        <v>#DIV/0!</v>
      </c>
      <c r="AC8" s="2665"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4" t="s">
        <v>2561</v>
      </c>
      <c r="Q9" s="1791"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2665">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v>2</v>
      </c>
      <c r="L10" s="1135"/>
      <c r="M10" s="1136"/>
      <c r="N10" s="1136"/>
      <c r="O10" s="1136"/>
      <c r="P10" s="3164"/>
      <c r="Q10" s="1791"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65">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4"/>
      <c r="Q11" s="1791"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64"/>
      <c r="Q12" s="1791">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64"/>
      <c r="Q13" s="1791">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64"/>
      <c r="Q14" s="1791">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65">
        <f t="shared" si="5"/>
        <v>1</v>
      </c>
    </row>
    <row r="15" spans="1:29" ht="71.25">
      <c r="A15" s="440" t="s">
        <v>2565</v>
      </c>
      <c r="B15" s="629" t="s">
        <v>2693</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2566</v>
      </c>
      <c r="Q15" s="1806" t="str">
        <f t="shared" si="6"/>
        <v>办公集聚程度</v>
      </c>
      <c r="R15" s="774" t="s">
        <v>17</v>
      </c>
      <c r="S15" s="775">
        <f t="shared" si="0"/>
        <v>100</v>
      </c>
      <c r="T15" s="774" t="s">
        <v>17</v>
      </c>
      <c r="U15" s="775">
        <f t="shared" si="1"/>
        <v>100</v>
      </c>
      <c r="V15" s="774" t="s">
        <v>17</v>
      </c>
      <c r="W15" s="775">
        <f t="shared" si="2"/>
        <v>100</v>
      </c>
      <c r="X15" s="1809"/>
      <c r="Y15" s="3167" t="s">
        <v>2566</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40"/>
      <c r="M16" s="1131"/>
      <c r="N16" s="1131"/>
      <c r="O16" s="1131"/>
      <c r="P16" s="3235"/>
      <c r="Q16" s="1806"/>
      <c r="R16" s="774"/>
      <c r="S16" s="775"/>
      <c r="T16" s="774"/>
      <c r="U16" s="775"/>
      <c r="V16" s="774"/>
      <c r="W16" s="775"/>
      <c r="X16" s="1809"/>
      <c r="Y16" s="3168"/>
      <c r="Z16" s="1810"/>
      <c r="AA16" s="1807">
        <v>1</v>
      </c>
      <c r="AB16" s="1807">
        <v>1</v>
      </c>
      <c r="AC16" s="2668">
        <v>1</v>
      </c>
    </row>
    <row r="17" spans="1:29" ht="71.25">
      <c r="A17" s="428"/>
      <c r="B17" s="631" t="s">
        <v>2101</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06" t="str">
        <f>B17</f>
        <v>交通便捷度</v>
      </c>
      <c r="R17" s="774" t="s">
        <v>17</v>
      </c>
      <c r="S17" s="775">
        <f>F17</f>
        <v>100</v>
      </c>
      <c r="T17" s="774" t="s">
        <v>17</v>
      </c>
      <c r="U17" s="775">
        <f>H17</f>
        <v>100</v>
      </c>
      <c r="V17" s="774" t="s">
        <v>17</v>
      </c>
      <c r="W17" s="775">
        <f>J17</f>
        <v>100</v>
      </c>
      <c r="X17" s="1809"/>
      <c r="Y17" s="3168"/>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40"/>
      <c r="M18" s="1131"/>
      <c r="N18" s="1131"/>
      <c r="O18" s="1131"/>
      <c r="P18" s="3235"/>
      <c r="Q18" s="1806"/>
      <c r="R18" s="774"/>
      <c r="S18" s="775"/>
      <c r="T18" s="774"/>
      <c r="U18" s="775"/>
      <c r="V18" s="774"/>
      <c r="W18" s="775"/>
      <c r="X18" s="1809"/>
      <c r="Y18" s="3168"/>
      <c r="Z18" s="1810"/>
      <c r="AA18" s="1807">
        <v>1</v>
      </c>
      <c r="AB18" s="1807">
        <v>1</v>
      </c>
      <c r="AC18" s="2668">
        <v>1</v>
      </c>
    </row>
    <row r="19" spans="1:29" ht="42.75">
      <c r="A19" s="428"/>
      <c r="B19" s="631" t="s">
        <v>2694</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06" t="str">
        <f>B19</f>
        <v>公共配套设施</v>
      </c>
      <c r="R19" s="774" t="s">
        <v>17</v>
      </c>
      <c r="S19" s="775">
        <f>F19</f>
        <v>100</v>
      </c>
      <c r="T19" s="774" t="s">
        <v>17</v>
      </c>
      <c r="U19" s="775">
        <f>H19</f>
        <v>100</v>
      </c>
      <c r="V19" s="774" t="s">
        <v>17</v>
      </c>
      <c r="W19" s="775">
        <f>J19</f>
        <v>100</v>
      </c>
      <c r="X19" s="1809"/>
      <c r="Y19" s="3168"/>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40"/>
      <c r="M20" s="1131"/>
      <c r="N20" s="1131"/>
      <c r="O20" s="1131"/>
      <c r="P20" s="3235"/>
      <c r="Q20" s="1806"/>
      <c r="R20" s="774"/>
      <c r="S20" s="775"/>
      <c r="T20" s="774"/>
      <c r="U20" s="775"/>
      <c r="V20" s="774"/>
      <c r="W20" s="775"/>
      <c r="X20" s="1809"/>
      <c r="Y20" s="3168"/>
      <c r="Z20" s="1810"/>
      <c r="AA20" s="1807">
        <v>1</v>
      </c>
      <c r="AB20" s="1807">
        <v>1</v>
      </c>
      <c r="AC20" s="2668">
        <v>1</v>
      </c>
    </row>
    <row r="21" spans="1:29" ht="28.5">
      <c r="A21" s="428"/>
      <c r="B21" s="633" t="s">
        <v>2695</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06" t="str">
        <f>B21</f>
        <v>基础设施水平</v>
      </c>
      <c r="R21" s="774" t="s">
        <v>17</v>
      </c>
      <c r="S21" s="775">
        <f>F21</f>
        <v>100</v>
      </c>
      <c r="T21" s="774" t="s">
        <v>17</v>
      </c>
      <c r="U21" s="775">
        <f>H21</f>
        <v>100</v>
      </c>
      <c r="V21" s="774" t="s">
        <v>17</v>
      </c>
      <c r="W21" s="775">
        <f>J21</f>
        <v>100</v>
      </c>
      <c r="X21" s="1809"/>
      <c r="Y21" s="3168"/>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82"/>
      <c r="L22" s="1140"/>
      <c r="M22" s="1131"/>
      <c r="N22" s="1131"/>
      <c r="O22" s="1131"/>
      <c r="P22" s="3235"/>
      <c r="Q22" s="1806"/>
      <c r="R22" s="774"/>
      <c r="S22" s="775"/>
      <c r="T22" s="774"/>
      <c r="U22" s="775"/>
      <c r="V22" s="774"/>
      <c r="W22" s="775"/>
      <c r="X22" s="1809"/>
      <c r="Y22" s="3168"/>
      <c r="Z22" s="1810"/>
      <c r="AA22" s="1807">
        <v>1</v>
      </c>
      <c r="AB22" s="1807">
        <v>1</v>
      </c>
      <c r="AC22" s="2668">
        <v>1</v>
      </c>
    </row>
    <row r="23" spans="1:29" ht="42.75">
      <c r="A23" s="428"/>
      <c r="B23" s="631" t="s">
        <v>2696</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06" t="str">
        <f>B23</f>
        <v>环境质量</v>
      </c>
      <c r="R23" s="774" t="s">
        <v>17</v>
      </c>
      <c r="S23" s="775">
        <f>F23</f>
        <v>100</v>
      </c>
      <c r="T23" s="774" t="s">
        <v>17</v>
      </c>
      <c r="U23" s="775">
        <f>H23</f>
        <v>100</v>
      </c>
      <c r="V23" s="774" t="s">
        <v>17</v>
      </c>
      <c r="W23" s="775">
        <f>J23</f>
        <v>100</v>
      </c>
      <c r="X23" s="1809"/>
      <c r="Y23" s="3168"/>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40"/>
      <c r="M24" s="1131"/>
      <c r="N24" s="1131"/>
      <c r="O24" s="1131"/>
      <c r="P24" s="3235"/>
      <c r="Q24" s="1806"/>
      <c r="R24" s="774"/>
      <c r="S24" s="775"/>
      <c r="T24" s="774"/>
      <c r="U24" s="775"/>
      <c r="V24" s="774"/>
      <c r="W24" s="775"/>
      <c r="X24" s="1809"/>
      <c r="Y24" s="3168"/>
      <c r="Z24" s="1810"/>
      <c r="AA24" s="1807">
        <v>1</v>
      </c>
      <c r="AB24" s="1807">
        <v>1</v>
      </c>
      <c r="AC24" s="2668">
        <v>1</v>
      </c>
    </row>
    <row r="25" spans="1:29" ht="27">
      <c r="A25" s="404"/>
      <c r="B25" s="631" t="s">
        <v>2697</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35"/>
      <c r="Q25" s="1806" t="str">
        <f>B25</f>
        <v>毗邻道路的类型与等级</v>
      </c>
      <c r="R25" s="774" t="s">
        <v>17</v>
      </c>
      <c r="S25" s="775">
        <f>F25</f>
        <v>100</v>
      </c>
      <c r="T25" s="774" t="s">
        <v>17</v>
      </c>
      <c r="U25" s="775">
        <f>H25</f>
        <v>100</v>
      </c>
      <c r="V25" s="774" t="s">
        <v>17</v>
      </c>
      <c r="W25" s="775">
        <f>J25</f>
        <v>100</v>
      </c>
      <c r="X25" s="1809"/>
      <c r="Y25" s="3168"/>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40"/>
      <c r="M26" s="1131"/>
      <c r="N26" s="1131"/>
      <c r="O26" s="1131"/>
      <c r="P26" s="3235"/>
      <c r="Q26" s="1806"/>
      <c r="R26" s="774"/>
      <c r="S26" s="775"/>
      <c r="T26" s="774"/>
      <c r="U26" s="775"/>
      <c r="V26" s="774"/>
      <c r="W26" s="775"/>
      <c r="X26" s="1809"/>
      <c r="Y26" s="3168"/>
      <c r="Z26" s="1810"/>
      <c r="AA26" s="1807">
        <v>1</v>
      </c>
      <c r="AB26" s="1807">
        <v>1</v>
      </c>
      <c r="AC26" s="2668">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06" t="str">
        <f t="shared" ref="Q27:Q47" si="11">B27</f>
        <v>楼层</v>
      </c>
      <c r="R27" s="774" t="s">
        <v>17</v>
      </c>
      <c r="S27" s="775">
        <f>F27</f>
        <v>100</v>
      </c>
      <c r="T27" s="774" t="s">
        <v>17</v>
      </c>
      <c r="U27" s="775">
        <f>H27</f>
        <v>100</v>
      </c>
      <c r="V27" s="774" t="s">
        <v>17</v>
      </c>
      <c r="W27" s="775">
        <f>J27</f>
        <v>100</v>
      </c>
      <c r="X27" s="1809"/>
      <c r="Y27" s="3168"/>
      <c r="Z27" s="1810" t="str">
        <f>Q27</f>
        <v>楼层</v>
      </c>
      <c r="AA27" s="1807">
        <f t="shared" si="3"/>
        <v>1</v>
      </c>
      <c r="AB27" s="1807">
        <f t="shared" si="4"/>
        <v>1</v>
      </c>
      <c r="AC27" s="2668">
        <f t="shared" si="5"/>
        <v>1</v>
      </c>
    </row>
    <row r="28" spans="1:29" s="117" customFormat="1" ht="15">
      <c r="A28" s="431"/>
      <c r="B28" s="631" t="s">
        <v>2698</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35"/>
      <c r="Q28" s="1791" t="str">
        <f t="shared" si="11"/>
        <v>朝向</v>
      </c>
      <c r="R28" s="770" t="s">
        <v>17</v>
      </c>
      <c r="S28" s="771">
        <f>F28</f>
        <v>100</v>
      </c>
      <c r="T28" s="770" t="s">
        <v>17</v>
      </c>
      <c r="U28" s="771">
        <f>H28</f>
        <v>100</v>
      </c>
      <c r="V28" s="770" t="s">
        <v>17</v>
      </c>
      <c r="W28" s="771">
        <f>J28</f>
        <v>100</v>
      </c>
      <c r="X28" s="772"/>
      <c r="Y28" s="3168"/>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35"/>
      <c r="Q29" s="1806">
        <f t="shared" si="11"/>
        <v>111</v>
      </c>
      <c r="R29" s="774" t="s">
        <v>17</v>
      </c>
      <c r="S29" s="775">
        <f t="shared" ref="S29:S47" si="12">F29</f>
        <v>100</v>
      </c>
      <c r="T29" s="774" t="s">
        <v>17</v>
      </c>
      <c r="U29" s="775">
        <f t="shared" ref="U29:U47" si="13">H29</f>
        <v>100</v>
      </c>
      <c r="V29" s="774" t="s">
        <v>17</v>
      </c>
      <c r="W29" s="775">
        <f t="shared" ref="W29:W47" si="14">J29</f>
        <v>100</v>
      </c>
      <c r="X29" s="1809"/>
      <c r="Y29" s="3168"/>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35"/>
      <c r="Q30" s="1806">
        <f t="shared" si="11"/>
        <v>111</v>
      </c>
      <c r="R30" s="774" t="s">
        <v>17</v>
      </c>
      <c r="S30" s="775">
        <f t="shared" si="12"/>
        <v>100</v>
      </c>
      <c r="T30" s="774" t="s">
        <v>17</v>
      </c>
      <c r="U30" s="775">
        <f t="shared" si="13"/>
        <v>100</v>
      </c>
      <c r="V30" s="774" t="s">
        <v>17</v>
      </c>
      <c r="W30" s="775">
        <f t="shared" si="14"/>
        <v>100</v>
      </c>
      <c r="X30" s="1809"/>
      <c r="Y30" s="3168"/>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35"/>
      <c r="Q31" s="1806">
        <f t="shared" si="11"/>
        <v>111</v>
      </c>
      <c r="R31" s="774" t="s">
        <v>17</v>
      </c>
      <c r="S31" s="775">
        <f t="shared" si="12"/>
        <v>100</v>
      </c>
      <c r="T31" s="774" t="s">
        <v>17</v>
      </c>
      <c r="U31" s="775">
        <f t="shared" si="13"/>
        <v>100</v>
      </c>
      <c r="V31" s="774" t="s">
        <v>17</v>
      </c>
      <c r="W31" s="775">
        <f t="shared" si="14"/>
        <v>100</v>
      </c>
      <c r="X31" s="1809"/>
      <c r="Y31" s="3168"/>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35"/>
      <c r="Q32" s="1806">
        <f t="shared" si="11"/>
        <v>111</v>
      </c>
      <c r="R32" s="774" t="s">
        <v>17</v>
      </c>
      <c r="S32" s="775">
        <f t="shared" si="12"/>
        <v>100</v>
      </c>
      <c r="T32" s="774" t="s">
        <v>17</v>
      </c>
      <c r="U32" s="775">
        <f t="shared" si="13"/>
        <v>100</v>
      </c>
      <c r="V32" s="774" t="s">
        <v>17</v>
      </c>
      <c r="W32" s="775">
        <f t="shared" si="14"/>
        <v>100</v>
      </c>
      <c r="X32" s="1809"/>
      <c r="Y32" s="3168"/>
      <c r="Z32" s="1810">
        <f t="shared" si="15"/>
        <v>111</v>
      </c>
      <c r="AA32" s="1807">
        <f t="shared" si="3"/>
        <v>1</v>
      </c>
      <c r="AB32" s="1807">
        <f t="shared" si="4"/>
        <v>1</v>
      </c>
      <c r="AC32" s="2668">
        <f t="shared" si="5"/>
        <v>1</v>
      </c>
    </row>
    <row r="33" spans="1:29" ht="15">
      <c r="A33" s="440" t="s">
        <v>2569</v>
      </c>
      <c r="B33" s="71" t="s">
        <v>2699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30" t="s">
        <v>2571</v>
      </c>
      <c r="Q33" s="1806" t="str">
        <f t="shared" si="11"/>
        <v>建筑类型</v>
      </c>
      <c r="R33" s="774" t="s">
        <v>17</v>
      </c>
      <c r="S33" s="775">
        <f t="shared" si="12"/>
        <v>100</v>
      </c>
      <c r="T33" s="774" t="s">
        <v>17</v>
      </c>
      <c r="U33" s="775">
        <f t="shared" si="13"/>
        <v>100</v>
      </c>
      <c r="V33" s="774" t="s">
        <v>17</v>
      </c>
      <c r="W33" s="775">
        <f t="shared" si="14"/>
        <v>100</v>
      </c>
      <c r="X33" s="1809"/>
      <c r="Y33" s="3170" t="s">
        <v>2571</v>
      </c>
      <c r="Z33" s="1810" t="str">
        <f t="shared" si="15"/>
        <v>建筑类型</v>
      </c>
      <c r="AA33" s="1807">
        <f t="shared" si="3"/>
        <v>1</v>
      </c>
      <c r="AB33" s="1807">
        <f t="shared" si="4"/>
        <v>1</v>
      </c>
      <c r="AC33" s="2668">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07" t="e">
        <f t="shared" si="3"/>
        <v>#N/A</v>
      </c>
      <c r="AB34" s="1807" t="e">
        <f t="shared" si="4"/>
        <v>#N/A</v>
      </c>
      <c r="AC34" s="2668"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6" t="str">
        <f t="shared" si="11"/>
        <v>建筑结构</v>
      </c>
      <c r="R35" s="774" t="s">
        <v>17</v>
      </c>
      <c r="S35" s="775">
        <f t="shared" si="12"/>
        <v>100</v>
      </c>
      <c r="T35" s="774" t="s">
        <v>17</v>
      </c>
      <c r="U35" s="775">
        <f t="shared" si="13"/>
        <v>100</v>
      </c>
      <c r="V35" s="774" t="s">
        <v>17</v>
      </c>
      <c r="W35" s="775">
        <f t="shared" si="14"/>
        <v>100</v>
      </c>
      <c r="X35" s="1809"/>
      <c r="Y35" s="3170"/>
      <c r="Z35" s="1810" t="str">
        <f t="shared" si="15"/>
        <v>建筑结构</v>
      </c>
      <c r="AA35" s="1807">
        <f t="shared" si="3"/>
        <v>1</v>
      </c>
      <c r="AB35" s="1807">
        <f t="shared" si="4"/>
        <v>1</v>
      </c>
      <c r="AC35" s="2668">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6" t="str">
        <f t="shared" si="11"/>
        <v>公共部分装修</v>
      </c>
      <c r="R36" s="774" t="s">
        <v>17</v>
      </c>
      <c r="S36" s="775">
        <f t="shared" si="12"/>
        <v>100</v>
      </c>
      <c r="T36" s="774" t="s">
        <v>17</v>
      </c>
      <c r="U36" s="775">
        <f t="shared" si="13"/>
        <v>100</v>
      </c>
      <c r="V36" s="774" t="s">
        <v>17</v>
      </c>
      <c r="W36" s="775">
        <f t="shared" si="14"/>
        <v>100</v>
      </c>
      <c r="X36" s="1809"/>
      <c r="Y36" s="3170"/>
      <c r="Z36" s="1810" t="str">
        <f t="shared" si="15"/>
        <v>公共部分装修</v>
      </c>
      <c r="AA36" s="1807">
        <f t="shared" si="3"/>
        <v>1</v>
      </c>
      <c r="AB36" s="1807">
        <f t="shared" si="4"/>
        <v>1</v>
      </c>
      <c r="AC36" s="2668">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6" t="str">
        <f t="shared" si="11"/>
        <v>成新度</v>
      </c>
      <c r="R37" s="774" t="s">
        <v>17</v>
      </c>
      <c r="S37" s="775" t="e">
        <f t="shared" si="12"/>
        <v>#N/A</v>
      </c>
      <c r="T37" s="774" t="s">
        <v>17</v>
      </c>
      <c r="U37" s="775" t="e">
        <f t="shared" si="13"/>
        <v>#N/A</v>
      </c>
      <c r="V37" s="774" t="s">
        <v>17</v>
      </c>
      <c r="W37" s="775" t="e">
        <f t="shared" si="14"/>
        <v>#N/A</v>
      </c>
      <c r="X37" s="1809"/>
      <c r="Y37" s="3170"/>
      <c r="Z37" s="1810" t="str">
        <f t="shared" si="15"/>
        <v>成新度</v>
      </c>
      <c r="AA37" s="1807" t="e">
        <f t="shared" si="3"/>
        <v>#N/A</v>
      </c>
      <c r="AB37" s="1807" t="e">
        <f t="shared" si="4"/>
        <v>#N/A</v>
      </c>
      <c r="AC37" s="2668"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1"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65">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2571</v>
      </c>
      <c r="Q39" s="1806" t="str">
        <f t="shared" si="11"/>
        <v>物业管理</v>
      </c>
      <c r="R39" s="774" t="s">
        <v>17</v>
      </c>
      <c r="S39" s="775">
        <f t="shared" si="12"/>
        <v>100</v>
      </c>
      <c r="T39" s="774" t="s">
        <v>17</v>
      </c>
      <c r="U39" s="775">
        <f t="shared" si="13"/>
        <v>100</v>
      </c>
      <c r="V39" s="774" t="s">
        <v>17</v>
      </c>
      <c r="W39" s="775">
        <f t="shared" si="14"/>
        <v>100</v>
      </c>
      <c r="X39" s="1809"/>
      <c r="Y39" s="3170" t="s">
        <v>2571</v>
      </c>
      <c r="Z39" s="1810" t="str">
        <f t="shared" si="15"/>
        <v>物业管理</v>
      </c>
      <c r="AA39" s="1807">
        <f t="shared" si="3"/>
        <v>1</v>
      </c>
      <c r="AB39" s="1807">
        <f t="shared" si="4"/>
        <v>1</v>
      </c>
      <c r="AC39" s="2668">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6" t="str">
        <f t="shared" si="11"/>
        <v>市政基础设施</v>
      </c>
      <c r="R40" s="774" t="s">
        <v>17</v>
      </c>
      <c r="S40" s="775">
        <f t="shared" si="12"/>
        <v>100</v>
      </c>
      <c r="T40" s="774" t="s">
        <v>17</v>
      </c>
      <c r="U40" s="775">
        <f t="shared" si="13"/>
        <v>100</v>
      </c>
      <c r="V40" s="774" t="s">
        <v>17</v>
      </c>
      <c r="W40" s="775">
        <f t="shared" si="14"/>
        <v>100</v>
      </c>
      <c r="X40" s="1809"/>
      <c r="Y40" s="3170"/>
      <c r="Z40" s="1810" t="str">
        <f t="shared" si="15"/>
        <v>市政基础设施</v>
      </c>
      <c r="AA40" s="1807">
        <f t="shared" si="3"/>
        <v>1</v>
      </c>
      <c r="AB40" s="1807">
        <f t="shared" si="4"/>
        <v>1</v>
      </c>
      <c r="AC40" s="2668">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6" t="str">
        <f t="shared" si="11"/>
        <v>层高</v>
      </c>
      <c r="R41" s="774" t="s">
        <v>17</v>
      </c>
      <c r="S41" s="775">
        <f t="shared" si="12"/>
        <v>100</v>
      </c>
      <c r="T41" s="774" t="s">
        <v>17</v>
      </c>
      <c r="U41" s="775">
        <f t="shared" si="13"/>
        <v>100</v>
      </c>
      <c r="V41" s="774" t="s">
        <v>17</v>
      </c>
      <c r="W41" s="775">
        <f t="shared" si="14"/>
        <v>100</v>
      </c>
      <c r="X41" s="1809"/>
      <c r="Y41" s="3170"/>
      <c r="Z41" s="1810" t="str">
        <f t="shared" si="15"/>
        <v>层高</v>
      </c>
      <c r="AA41" s="1807">
        <f t="shared" si="3"/>
        <v>1</v>
      </c>
      <c r="AB41" s="1807">
        <f t="shared" si="4"/>
        <v>1</v>
      </c>
      <c r="AC41" s="2668">
        <f t="shared" si="5"/>
        <v>1</v>
      </c>
    </row>
    <row r="42" spans="1:29" s="471" customFormat="1" ht="15">
      <c r="A42" s="468"/>
      <c r="B42" s="1808"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07">
        <f t="shared" si="3"/>
        <v>1</v>
      </c>
      <c r="AB42" s="1807">
        <f t="shared" si="4"/>
        <v>1</v>
      </c>
      <c r="AC42" s="2668">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6" t="str">
        <f t="shared" si="11"/>
        <v>内部装修</v>
      </c>
      <c r="R43" s="774" t="s">
        <v>17</v>
      </c>
      <c r="S43" s="775">
        <f t="shared" si="12"/>
        <v>100</v>
      </c>
      <c r="T43" s="774" t="s">
        <v>17</v>
      </c>
      <c r="U43" s="775">
        <f t="shared" si="13"/>
        <v>100</v>
      </c>
      <c r="V43" s="774" t="s">
        <v>17</v>
      </c>
      <c r="W43" s="775">
        <f t="shared" si="14"/>
        <v>100</v>
      </c>
      <c r="X43" s="1809"/>
      <c r="Y43" s="3170"/>
      <c r="Z43" s="1810" t="str">
        <f t="shared" si="15"/>
        <v>内部装修</v>
      </c>
      <c r="AA43" s="1807">
        <f t="shared" si="3"/>
        <v>1</v>
      </c>
      <c r="AB43" s="1807">
        <f t="shared" si="4"/>
        <v>1</v>
      </c>
      <c r="AC43" s="2668">
        <f t="shared" si="5"/>
        <v>1</v>
      </c>
    </row>
    <row r="44" spans="1:29" ht="15">
      <c r="A44" s="472"/>
      <c r="B44" s="422" t="s">
        <v>2582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31"/>
      <c r="Q44" s="1806" t="str">
        <f t="shared" si="11"/>
        <v>内部装修维护情况</v>
      </c>
      <c r="R44" s="774" t="s">
        <v>17</v>
      </c>
      <c r="S44" s="775">
        <f t="shared" si="12"/>
        <v>100</v>
      </c>
      <c r="T44" s="774" t="s">
        <v>17</v>
      </c>
      <c r="U44" s="775">
        <f t="shared" si="13"/>
        <v>100</v>
      </c>
      <c r="V44" s="774" t="s">
        <v>17</v>
      </c>
      <c r="W44" s="775">
        <f t="shared" si="14"/>
        <v>100</v>
      </c>
      <c r="X44" s="1809"/>
      <c r="Y44" s="3170"/>
      <c r="Z44" s="1810" t="str">
        <f t="shared" si="15"/>
        <v>内部装修维护情况</v>
      </c>
      <c r="AA44" s="1807">
        <f t="shared" si="3"/>
        <v>1</v>
      </c>
      <c r="AB44" s="1807">
        <f t="shared" si="4"/>
        <v>1</v>
      </c>
      <c r="AC44" s="2668">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1">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65">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6">
        <f t="shared" si="11"/>
        <v>111</v>
      </c>
      <c r="R46" s="774" t="s">
        <v>17</v>
      </c>
      <c r="S46" s="775">
        <f t="shared" si="12"/>
        <v>100</v>
      </c>
      <c r="T46" s="774" t="s">
        <v>17</v>
      </c>
      <c r="U46" s="775">
        <f t="shared" si="13"/>
        <v>100</v>
      </c>
      <c r="V46" s="774" t="s">
        <v>17</v>
      </c>
      <c r="W46" s="775">
        <f t="shared" si="14"/>
        <v>100</v>
      </c>
      <c r="X46" s="1809"/>
      <c r="Y46" s="3170"/>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6">
        <f t="shared" si="11"/>
        <v>111</v>
      </c>
      <c r="R47" s="774" t="s">
        <v>17</v>
      </c>
      <c r="S47" s="775">
        <f t="shared" si="12"/>
        <v>100</v>
      </c>
      <c r="T47" s="774" t="s">
        <v>17</v>
      </c>
      <c r="U47" s="775">
        <f t="shared" si="13"/>
        <v>100</v>
      </c>
      <c r="V47" s="774" t="s">
        <v>17</v>
      </c>
      <c r="W47" s="775">
        <f t="shared" si="14"/>
        <v>100</v>
      </c>
      <c r="X47" s="1809"/>
      <c r="Y47" s="3233"/>
      <c r="Z47" s="1810">
        <f t="shared" si="15"/>
        <v>111</v>
      </c>
      <c r="AA47" s="1807">
        <f t="shared" si="3"/>
        <v>1</v>
      </c>
      <c r="AB47" s="1807">
        <f t="shared" si="4"/>
        <v>1</v>
      </c>
      <c r="AC47" s="2668">
        <f t="shared" si="5"/>
        <v>1</v>
      </c>
    </row>
    <row r="48" spans="1:29" ht="15">
      <c r="A48" s="479" t="s">
        <v>2583</v>
      </c>
      <c r="B48" s="480"/>
      <c r="C48" s="1406" t="s">
        <v>1</v>
      </c>
      <c r="D48" s="1407"/>
      <c r="E48" s="1408"/>
      <c r="F48" s="1409"/>
      <c r="G48" s="1410"/>
      <c r="H48" s="1411"/>
      <c r="I48" s="1408"/>
      <c r="J48" s="485"/>
      <c r="K48" s="783"/>
      <c r="L48" s="1143"/>
      <c r="M48" s="1131"/>
      <c r="N48" s="1131"/>
      <c r="O48" s="1131"/>
      <c r="P48" s="3164" t="str">
        <f>A48</f>
        <v>成交单价（元/平方米）</v>
      </c>
      <c r="Q48" s="3165"/>
      <c r="R48" s="3229">
        <f>E48</f>
        <v>0</v>
      </c>
      <c r="S48" s="3229"/>
      <c r="T48" s="3229">
        <f>G48</f>
        <v>0</v>
      </c>
      <c r="U48" s="3229"/>
      <c r="V48" s="3229">
        <f>I48</f>
        <v>0</v>
      </c>
      <c r="W48" s="3229"/>
      <c r="X48" s="446"/>
      <c r="Y48" s="781"/>
      <c r="Z48" s="446"/>
      <c r="AA48" s="446"/>
      <c r="AB48" s="446"/>
      <c r="AC48" s="630"/>
    </row>
    <row r="49" spans="1:29" ht="15.75" thickBot="1">
      <c r="A49" s="486" t="s">
        <v>2675</v>
      </c>
      <c r="B49" s="487"/>
      <c r="C49" s="1412" t="e">
        <f>R50</f>
        <v>#DIV/0!</v>
      </c>
      <c r="D49" s="1413"/>
      <c r="E49" s="1414" t="e">
        <f>R49</f>
        <v>#DIV/0!</v>
      </c>
      <c r="F49" s="1414"/>
      <c r="G49" s="1412" t="e">
        <f>T49</f>
        <v>#DIV/0!</v>
      </c>
      <c r="H49" s="1413"/>
      <c r="I49" s="1414" t="e">
        <f>V49</f>
        <v>#DIV/0!</v>
      </c>
      <c r="J49" s="489"/>
      <c r="K49" s="784"/>
      <c r="L49" s="1143"/>
      <c r="M49" s="1131"/>
      <c r="N49" s="1131"/>
      <c r="O49" s="1131"/>
      <c r="P49" s="3164" t="str">
        <f>A49</f>
        <v>比较价值（元/平方米）</v>
      </c>
      <c r="Q49" s="3165"/>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2676</v>
      </c>
      <c r="B50" s="493"/>
      <c r="C50" s="1416" t="e">
        <f>R50</f>
        <v>#DIV/0!</v>
      </c>
      <c r="D50" s="1416"/>
      <c r="E50" s="1416"/>
      <c r="F50" s="1416"/>
      <c r="G50" s="1416"/>
      <c r="H50" s="1416"/>
      <c r="I50" s="1416"/>
      <c r="J50" s="494"/>
      <c r="K50" s="785"/>
      <c r="L50" s="1143"/>
      <c r="M50" s="1131"/>
      <c r="N50" s="1131"/>
      <c r="O50" s="1131"/>
      <c r="P50" s="3236" t="str">
        <f>A50</f>
        <v>估价对象XX用房的比较价值（楼面单价，元/平方米）</v>
      </c>
      <c r="Q50" s="3237"/>
      <c r="R50" s="3238" t="e">
        <f>IF(F1="售价",ROUND(AVERAGE(R49:V49),0),ROUND(AVERAGE(R49:V49),1))</f>
        <v>#DIV/0!</v>
      </c>
      <c r="S50" s="3238"/>
      <c r="T50" s="3238"/>
      <c r="U50" s="3238"/>
      <c r="V50" s="3238"/>
      <c r="W50" s="3238"/>
      <c r="X50" s="2648"/>
      <c r="Y50" s="2648"/>
      <c r="Z50" s="2648"/>
      <c r="AA50" s="2648"/>
      <c r="AB50" s="2648"/>
      <c r="AC50" s="2649"/>
    </row>
    <row r="51" spans="1:29">
      <c r="A51" s="1144"/>
      <c r="B51" s="1144"/>
      <c r="C51" s="1144"/>
      <c r="D51" s="1144"/>
      <c r="E51" s="1144"/>
      <c r="F51" s="1144"/>
      <c r="G51" s="1147"/>
      <c r="H51" s="1144"/>
      <c r="I51" s="1144"/>
      <c r="J51" s="1144"/>
      <c r="K51" s="1108"/>
      <c r="L51" s="1109"/>
      <c r="M51" s="1144"/>
      <c r="N51" s="1144"/>
      <c r="O51" s="1144"/>
    </row>
    <row r="52" spans="1:29">
      <c r="A52" s="1144"/>
      <c r="B52" s="1144"/>
      <c r="C52" s="1144"/>
      <c r="D52" s="1144"/>
      <c r="E52" s="1144"/>
      <c r="F52" s="1144"/>
      <c r="G52" s="1144"/>
      <c r="H52" s="1144"/>
      <c r="I52" s="1144"/>
      <c r="J52" s="1144"/>
      <c r="K52" s="1108"/>
      <c r="L52" s="1109"/>
      <c r="M52" s="1144"/>
      <c r="N52" s="1144"/>
      <c r="O52" s="1144"/>
    </row>
    <row r="53" spans="1:29" ht="13.5" customHeight="1">
      <c r="A53" s="1144"/>
      <c r="B53" s="1144"/>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4"/>
      <c r="N53" s="1144"/>
      <c r="O53" s="1144"/>
    </row>
    <row r="54" spans="1:29" ht="13.5" customHeight="1">
      <c r="A54" s="1144"/>
      <c r="B54" s="1144"/>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4"/>
      <c r="N54" s="1144"/>
      <c r="O54" s="1144"/>
    </row>
    <row r="55" spans="1:29" s="502" customFormat="1" ht="13.5" customHeight="1">
      <c r="A55" s="1145"/>
      <c r="B55" s="1145"/>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8"/>
      <c r="L57" s="1109"/>
      <c r="M57" s="1144"/>
      <c r="N57" s="1144"/>
      <c r="O57" s="1144"/>
    </row>
    <row r="58" spans="1:29" ht="21.75" thickBot="1">
      <c r="A58" s="763" t="s">
        <v>2680</v>
      </c>
      <c r="B58" s="759"/>
      <c r="C58" s="764"/>
      <c r="D58" s="764"/>
      <c r="E58" s="764"/>
      <c r="F58" s="765"/>
      <c r="G58" s="765"/>
      <c r="H58" s="764"/>
      <c r="I58" s="764"/>
      <c r="J58" s="764"/>
      <c r="K58" s="766"/>
      <c r="L58" s="1161"/>
      <c r="M58" s="1159"/>
      <c r="N58" s="1159"/>
      <c r="O58" s="1159"/>
      <c r="P58" s="2675"/>
      <c r="Q58" s="504"/>
    </row>
    <row r="59" spans="1:29" s="508" customFormat="1" ht="15">
      <c r="A59" s="505" t="s">
        <v>2554</v>
      </c>
      <c r="B59" s="506"/>
      <c r="C59" s="1573" t="str">
        <f>YEAR(C7)&amp;"-"&amp;MONTH(C7)</f>
        <v>2018-11</v>
      </c>
      <c r="D59" s="1574">
        <f>EDATE(C59,-1)</f>
        <v>43374</v>
      </c>
      <c r="E59" s="1574">
        <f>EDATE(D59,-1)</f>
        <v>43344</v>
      </c>
      <c r="F59" s="1574">
        <f t="shared" ref="F59:O59" si="16">EDATE(E59,-1)</f>
        <v>43313</v>
      </c>
      <c r="G59" s="1574">
        <f t="shared" si="16"/>
        <v>43282</v>
      </c>
      <c r="H59" s="1574">
        <f t="shared" si="16"/>
        <v>43252</v>
      </c>
      <c r="I59" s="1574">
        <f t="shared" si="16"/>
        <v>43221</v>
      </c>
      <c r="J59" s="1574">
        <f t="shared" si="16"/>
        <v>43191</v>
      </c>
      <c r="K59" s="1574">
        <f t="shared" si="16"/>
        <v>43160</v>
      </c>
      <c r="L59" s="1574">
        <f t="shared" si="16"/>
        <v>43132</v>
      </c>
      <c r="M59" s="1574">
        <f t="shared" si="16"/>
        <v>43101</v>
      </c>
      <c r="N59" s="1574">
        <f t="shared" si="16"/>
        <v>43070</v>
      </c>
      <c r="O59" s="1574">
        <f t="shared" si="16"/>
        <v>43040</v>
      </c>
      <c r="P59" s="1570"/>
    </row>
    <row r="60" spans="1:29" s="117" customFormat="1" ht="15">
      <c r="A60" s="509"/>
      <c r="B60" s="510"/>
      <c r="C60" s="1572">
        <v>100</v>
      </c>
      <c r="D60" s="512"/>
      <c r="E60" s="512"/>
      <c r="F60" s="512"/>
      <c r="G60" s="512"/>
      <c r="H60" s="512"/>
      <c r="I60" s="512"/>
      <c r="J60" s="512"/>
      <c r="K60" s="512"/>
      <c r="L60" s="512"/>
      <c r="M60" s="513"/>
      <c r="N60" s="512"/>
      <c r="O60" s="513"/>
      <c r="P60" s="2676"/>
    </row>
    <row r="61" spans="1:29" s="117" customFormat="1" ht="15.75" thickBot="1">
      <c r="A61" s="515" t="s">
        <v>2591</v>
      </c>
      <c r="B61" s="516"/>
      <c r="C61" s="517"/>
      <c r="D61" s="518"/>
      <c r="E61" s="518"/>
      <c r="F61" s="518"/>
      <c r="G61" s="518"/>
      <c r="H61" s="518"/>
      <c r="I61" s="518"/>
      <c r="J61" s="518"/>
      <c r="K61" s="518"/>
      <c r="L61" s="518"/>
      <c r="M61" s="519"/>
      <c r="N61" s="518"/>
      <c r="O61" s="519"/>
      <c r="P61" s="2676"/>
      <c r="Q61" s="504"/>
    </row>
    <row r="62" spans="1:29" s="117" customFormat="1" ht="15">
      <c r="A62" s="521" t="s">
        <v>2556</v>
      </c>
      <c r="B62" s="510"/>
      <c r="C62" s="522" t="s">
        <v>2658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2594</v>
      </c>
      <c r="B64" s="528" t="s">
        <v>2560</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2"/>
      <c r="O66" s="1152"/>
      <c r="P66" s="267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78"/>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2695</v>
      </c>
      <c r="C83" s="660" t="s">
        <v>2681</v>
      </c>
      <c r="D83" s="660" t="s">
        <v>2682</v>
      </c>
      <c r="E83" s="660" t="s">
        <v>2683</v>
      </c>
      <c r="F83" s="660" t="s">
        <v>2684</v>
      </c>
      <c r="G83" s="660" t="s">
        <v>2685</v>
      </c>
      <c r="H83" s="539"/>
      <c r="I83" s="539"/>
      <c r="J83" s="539"/>
      <c r="K83" s="539"/>
      <c r="L83" s="539"/>
      <c r="M83" s="1381"/>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2705</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2569</v>
      </c>
      <c r="B101" s="528" t="s">
        <v>2618</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2620</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2622</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2706</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2623</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2624</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2707</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2690</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2626</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华澳国际信托有限公司：</v>
      </c>
    </row>
    <row r="4" spans="1:1" ht="72">
      <c r="A4" s="1944" t="str">
        <f>"受贵公司委托，我公司对"&amp;项目基本情况!S1&amp;"进行了预评估。"</f>
        <v>受贵公司委托，我公司对山东省寿光市圣城街（益阳铁路改线后停用线路）370783001204GB11736W00000000号等7宗商业用地出让国有建设用地使用权及金海路西，农圣街南（文化中心）等28处办公用房房地产出让国有建设用地使用权及在建建筑物房地产抵押价值进行了预评估。</v>
      </c>
    </row>
    <row r="5" spans="1:1" ht="18.75">
      <c r="A5" s="1945" t="s">
        <v>1612</v>
      </c>
    </row>
    <row r="6" spans="1:1" ht="18.75">
      <c r="A6" s="1946" t="s">
        <v>1613</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寿光市圣城街（益阳铁路改线后停用线路）370783001204GB11736W00000000号等7宗商业用地出让国有建设用地使用权及金海路西，农圣街南（文化中心）等28处办公用房房地产出让国有建设用地使用权及在建建筑物房地产，为山东寿光农村商业银行股份有限公司、潍坊银行股份有限公司寿光支行、寿光市金财公有资产经营有限公司所有。根据《国有土地使用证》[]，估价对象（分摊）出让国有建设用地使用权面积为49727平方米，建筑面积为38865.6平方米。</v>
      </c>
    </row>
    <row r="8" spans="1:1" ht="57.75">
      <c r="A8" s="1947" t="s">
        <v>1614</v>
      </c>
    </row>
    <row r="9" spans="1:1" ht="18.75">
      <c r="A9" s="1946" t="s">
        <v>1615</v>
      </c>
    </row>
    <row r="10" spans="1:1" ht="126">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寿光市圣城街（益阳铁路改线后停用线路）370783001204GB11736W00000000号等7宗商业用地出让国有建设用地使用权及金海路西，农圣街南（文化中心）等28处办公用房房地产出让国有建设用地使用权及在建建筑物房地产,属山东寿光农村商业银行股份有限公司、潍坊银行股份有限公司寿光支行、寿光市金财公有资产经营有限公司开发建设的，该项目尚在开发建设中。根据《国有土地使用证》[]，估价对象（分摊）出让国有建设用地使用权面积为49727平方米，规划建筑面积为38865.6平方米。</v>
      </c>
    </row>
    <row r="11" spans="1:1" ht="76.5">
      <c r="A11" s="1947" t="s">
        <v>1616</v>
      </c>
    </row>
    <row r="12" spans="1:1" ht="18.75">
      <c r="A12" s="1945" t="s">
        <v>1617</v>
      </c>
    </row>
    <row r="13" spans="1:1" ht="38.25" customHeight="1">
      <c r="A13" s="1948" t="str">
        <f>IF(项目基本情况!B8="抵押",IF(项目基本情况!B5=项目基本情况!B6,定义!C51,定义!B51),定义!D51)</f>
        <v>寿光市生态湿地旅游开发有限公司拟使用山东省寿光市圣城街（益阳铁路改线后停用线路）370783001204GB11736W00000000号等7宗商业用地出让国有建设用地使用权及金海路西，农圣街南（文化中心）等28处办公用房房地产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2018年11月13日（评估专业人员实地查勘之日）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13日，估价对象规划用途为商业、办公，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2534</v>
      </c>
      <c r="B1" s="2663" t="s">
        <v>2708</v>
      </c>
      <c r="C1" s="1619" t="s">
        <v>2536</v>
      </c>
      <c r="D1" s="1620"/>
      <c r="E1" s="1629"/>
      <c r="F1" s="2578"/>
      <c r="G1" s="1630" t="s">
        <v>2649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2333</v>
      </c>
      <c r="B2" s="1417" t="e">
        <f ca="1">IF(C2="——",ROUND(C43*D3/10000,0),ROUND(C43*D3/10000,0)-D2)</f>
        <v>#DIV/0!</v>
      </c>
      <c r="C2" s="2580"/>
      <c r="D2" s="1124" t="e">
        <f ca="1">SUMIF(INDIRECT("'"&amp;F2&amp;"'"&amp;"!A:A"),"承租人权益价值",INDIRECT("'"&amp;F2&amp;"'"&amp;"!c:c"))</f>
        <v>#REF!</v>
      </c>
      <c r="E2" s="2581" t="s">
        <v>2334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38865.599999999999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2651</v>
      </c>
      <c r="B4" s="402"/>
      <c r="C4" s="3162" t="s">
        <v>2652</v>
      </c>
      <c r="D4" s="3175"/>
      <c r="E4" s="3176" t="s">
        <v>2653</v>
      </c>
      <c r="F4" s="3177"/>
      <c r="G4" s="3162" t="s">
        <v>2654</v>
      </c>
      <c r="H4" s="3175"/>
      <c r="I4" s="3162" t="s">
        <v>2655</v>
      </c>
      <c r="J4" s="3175"/>
      <c r="K4" s="610" t="s">
        <v>2656</v>
      </c>
      <c r="L4" s="1130"/>
      <c r="M4" s="1131"/>
      <c r="N4" s="1131"/>
      <c r="O4" s="1131"/>
      <c r="P4" s="3178" t="s">
        <v>2657</v>
      </c>
      <c r="Q4" s="3179"/>
      <c r="R4" s="3184" t="s">
        <v>2653</v>
      </c>
      <c r="S4" s="3185"/>
      <c r="T4" s="3184" t="s">
        <v>2654</v>
      </c>
      <c r="U4" s="3185"/>
      <c r="V4" s="3171" t="s">
        <v>2655</v>
      </c>
      <c r="W4" s="3171"/>
      <c r="X4" s="1809"/>
      <c r="Y4" s="3184" t="s">
        <v>2657</v>
      </c>
      <c r="Z4" s="3185"/>
      <c r="AA4" s="3172" t="s">
        <v>2653</v>
      </c>
      <c r="AB4" s="3173" t="s">
        <v>2654</v>
      </c>
      <c r="AC4" s="3172" t="s">
        <v>2655</v>
      </c>
    </row>
    <row r="5" spans="1:29" ht="15">
      <c r="A5" s="404"/>
      <c r="B5" s="405"/>
      <c r="C5" s="3192" t="s">
        <v>2548</v>
      </c>
      <c r="D5" s="3193"/>
      <c r="E5" s="3199" t="s">
        <v>2549</v>
      </c>
      <c r="F5" s="3200"/>
      <c r="G5" s="3192" t="s">
        <v>2550</v>
      </c>
      <c r="H5" s="3193"/>
      <c r="I5" s="3192" t="s">
        <v>2551</v>
      </c>
      <c r="J5" s="3193"/>
      <c r="K5" s="610"/>
      <c r="L5" s="1130"/>
      <c r="M5" s="1131"/>
      <c r="N5" s="1131"/>
      <c r="O5" s="1131"/>
      <c r="P5" s="3180"/>
      <c r="Q5" s="3181"/>
      <c r="R5" s="3186"/>
      <c r="S5" s="3187"/>
      <c r="T5" s="3186"/>
      <c r="U5" s="3187"/>
      <c r="V5" s="3171"/>
      <c r="W5" s="3171"/>
      <c r="X5" s="1809"/>
      <c r="Y5" s="3186"/>
      <c r="Z5" s="3187"/>
      <c r="AA5" s="3173"/>
      <c r="AB5" s="3173"/>
      <c r="AC5" s="3173"/>
    </row>
    <row r="6" spans="1:29" ht="15.75" thickBot="1">
      <c r="A6" s="406"/>
      <c r="B6" s="407"/>
      <c r="C6" s="3190" t="s">
        <v>2552</v>
      </c>
      <c r="D6" s="3191"/>
      <c r="E6" s="3197" t="s">
        <v>2552</v>
      </c>
      <c r="F6" s="3198"/>
      <c r="G6" s="3190" t="s">
        <v>2552</v>
      </c>
      <c r="H6" s="3191"/>
      <c r="I6" s="3190" t="s">
        <v>2552</v>
      </c>
      <c r="J6" s="3191"/>
      <c r="K6" s="610" t="s">
        <v>2553</v>
      </c>
      <c r="L6" s="1130"/>
      <c r="M6" s="1131"/>
      <c r="N6" s="1131"/>
      <c r="O6" s="1131"/>
      <c r="P6" s="3182"/>
      <c r="Q6" s="3183"/>
      <c r="R6" s="3186"/>
      <c r="S6" s="3187"/>
      <c r="T6" s="3188"/>
      <c r="U6" s="3189"/>
      <c r="V6" s="3171"/>
      <c r="W6" s="3171"/>
      <c r="X6" s="1809"/>
      <c r="Y6" s="3188"/>
      <c r="Z6" s="3189"/>
      <c r="AA6" s="3174"/>
      <c r="AB6" s="3174"/>
      <c r="AC6" s="3174"/>
    </row>
    <row r="7" spans="1:29" s="117" customFormat="1" ht="15.75" thickBot="1">
      <c r="A7" s="408" t="s">
        <v>2554</v>
      </c>
      <c r="B7" s="409"/>
      <c r="C7" s="410">
        <f>'数据-取费表'!B2</f>
        <v>43417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4" t="s">
        <v>2555</v>
      </c>
      <c r="Q7" s="3196"/>
      <c r="R7" s="770" t="s">
        <v>17</v>
      </c>
      <c r="S7" s="771">
        <f t="shared" ref="S7:S15" si="0">F7</f>
        <v>0</v>
      </c>
      <c r="T7" s="770" t="s">
        <v>17</v>
      </c>
      <c r="U7" s="771">
        <f t="shared" ref="U7:U15" si="1">H7</f>
        <v>0</v>
      </c>
      <c r="V7" s="770" t="s">
        <v>17</v>
      </c>
      <c r="W7" s="771">
        <f t="shared" ref="W7:W15" si="2">J7</f>
        <v>0</v>
      </c>
      <c r="X7" s="772"/>
      <c r="Y7" s="3194" t="s">
        <v>2555</v>
      </c>
      <c r="Z7" s="3195"/>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4" t="s">
        <v>2558</v>
      </c>
      <c r="Q8" s="3195"/>
      <c r="R8" s="770" t="s">
        <v>17</v>
      </c>
      <c r="S8" s="771">
        <f t="shared" si="0"/>
        <v>0</v>
      </c>
      <c r="T8" s="770" t="s">
        <v>17</v>
      </c>
      <c r="U8" s="771">
        <f t="shared" si="1"/>
        <v>0</v>
      </c>
      <c r="V8" s="770" t="s">
        <v>17</v>
      </c>
      <c r="W8" s="771">
        <f t="shared" si="2"/>
        <v>0</v>
      </c>
      <c r="X8" s="772"/>
      <c r="Y8" s="3194" t="s">
        <v>2558</v>
      </c>
      <c r="Z8" s="3195"/>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5" t="s">
        <v>2561</v>
      </c>
      <c r="Q9" s="1791"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5"/>
      <c r="Q10" s="1791"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5"/>
      <c r="Q11" s="1791"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65"/>
      <c r="Q12" s="1791">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65"/>
      <c r="Q13" s="1791">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65"/>
      <c r="Q14" s="1791">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2565</v>
      </c>
      <c r="B15" s="69" t="s">
        <v>2709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7" t="s">
        <v>2566</v>
      </c>
      <c r="Q15" s="1806" t="str">
        <f t="shared" si="6"/>
        <v>产业集聚程度</v>
      </c>
      <c r="R15" s="774" t="s">
        <v>17</v>
      </c>
      <c r="S15" s="775">
        <f t="shared" si="0"/>
        <v>100</v>
      </c>
      <c r="T15" s="774" t="s">
        <v>17</v>
      </c>
      <c r="U15" s="775">
        <f t="shared" si="1"/>
        <v>100</v>
      </c>
      <c r="V15" s="774" t="s">
        <v>17</v>
      </c>
      <c r="W15" s="775">
        <f t="shared" si="2"/>
        <v>100</v>
      </c>
      <c r="X15" s="1809"/>
      <c r="Y15" s="3167" t="s">
        <v>2566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0"/>
      <c r="M16" s="1131"/>
      <c r="N16" s="1131"/>
      <c r="O16" s="1139"/>
      <c r="P16" s="3168"/>
      <c r="Q16" s="1806"/>
      <c r="R16" s="774"/>
      <c r="S16" s="775"/>
      <c r="T16" s="774"/>
      <c r="U16" s="775"/>
      <c r="V16" s="774"/>
      <c r="W16" s="775"/>
      <c r="X16" s="1809"/>
      <c r="Y16" s="3168"/>
      <c r="Z16" s="1810"/>
      <c r="AA16" s="1807">
        <v>1</v>
      </c>
      <c r="AB16" s="1807">
        <v>1</v>
      </c>
      <c r="AC16" s="1807">
        <v>1</v>
      </c>
    </row>
    <row r="17" spans="1:29" ht="85.5">
      <c r="A17" s="428"/>
      <c r="B17" s="451" t="s">
        <v>2101</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8"/>
      <c r="Q17" s="1806" t="str">
        <f>B17</f>
        <v>交通便捷度</v>
      </c>
      <c r="R17" s="774" t="s">
        <v>17</v>
      </c>
      <c r="S17" s="775">
        <f>F17</f>
        <v>100</v>
      </c>
      <c r="T17" s="774" t="s">
        <v>17</v>
      </c>
      <c r="U17" s="775">
        <f>H17</f>
        <v>100</v>
      </c>
      <c r="V17" s="774" t="s">
        <v>17</v>
      </c>
      <c r="W17" s="775">
        <f>J17</f>
        <v>100</v>
      </c>
      <c r="X17" s="1809"/>
      <c r="Y17" s="3168"/>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40"/>
      <c r="M18" s="1131"/>
      <c r="N18" s="1131"/>
      <c r="O18" s="1139"/>
      <c r="P18" s="3168"/>
      <c r="Q18" s="1806"/>
      <c r="R18" s="774"/>
      <c r="S18" s="775"/>
      <c r="T18" s="774"/>
      <c r="U18" s="775"/>
      <c r="V18" s="774"/>
      <c r="W18" s="775"/>
      <c r="X18" s="1809"/>
      <c r="Y18" s="3168"/>
      <c r="Z18" s="1810"/>
      <c r="AA18" s="1807">
        <v>1</v>
      </c>
      <c r="AB18" s="1807">
        <v>1</v>
      </c>
      <c r="AC18" s="1807">
        <v>1</v>
      </c>
    </row>
    <row r="19" spans="1:29" ht="42.75">
      <c r="A19" s="428"/>
      <c r="B19" s="451" t="s">
        <v>2694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8"/>
      <c r="Q19" s="1806" t="str">
        <f>B19</f>
        <v>公共配套设施</v>
      </c>
      <c r="R19" s="774" t="s">
        <v>17</v>
      </c>
      <c r="S19" s="775">
        <f>F19</f>
        <v>100</v>
      </c>
      <c r="T19" s="774" t="s">
        <v>17</v>
      </c>
      <c r="U19" s="775">
        <f>H19</f>
        <v>100</v>
      </c>
      <c r="V19" s="774" t="s">
        <v>17</v>
      </c>
      <c r="W19" s="775">
        <f>J19</f>
        <v>100</v>
      </c>
      <c r="X19" s="1809"/>
      <c r="Y19" s="3168"/>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40"/>
      <c r="M20" s="1131"/>
      <c r="N20" s="1131"/>
      <c r="O20" s="1139"/>
      <c r="P20" s="3168"/>
      <c r="Q20" s="1806"/>
      <c r="R20" s="774"/>
      <c r="S20" s="775"/>
      <c r="T20" s="774"/>
      <c r="U20" s="775"/>
      <c r="V20" s="774"/>
      <c r="W20" s="775"/>
      <c r="X20" s="1809"/>
      <c r="Y20" s="3168"/>
      <c r="Z20" s="1810"/>
      <c r="AA20" s="1807">
        <v>1</v>
      </c>
      <c r="AB20" s="1807">
        <v>1</v>
      </c>
      <c r="AC20" s="1807">
        <v>1</v>
      </c>
    </row>
    <row r="21" spans="1:29" ht="28.5">
      <c r="A21" s="428"/>
      <c r="B21" s="1383" t="s">
        <v>2695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8"/>
      <c r="Q21" s="1806" t="str">
        <f>B21</f>
        <v>基础设施水平</v>
      </c>
      <c r="R21" s="774" t="s">
        <v>17</v>
      </c>
      <c r="S21" s="775">
        <f>F21</f>
        <v>100</v>
      </c>
      <c r="T21" s="774" t="s">
        <v>17</v>
      </c>
      <c r="U21" s="775">
        <f>H21</f>
        <v>100</v>
      </c>
      <c r="V21" s="774" t="s">
        <v>17</v>
      </c>
      <c r="W21" s="775">
        <f>J21</f>
        <v>100</v>
      </c>
      <c r="X21" s="1809"/>
      <c r="Y21" s="3168"/>
      <c r="Z21" s="1810" t="str">
        <f>Q21</f>
        <v>基础设施水平</v>
      </c>
      <c r="AA21" s="1807">
        <f t="shared" ref="AA21" si="8">D21/F21</f>
        <v>1</v>
      </c>
      <c r="AB21" s="1807">
        <f t="shared" ref="AB21" si="9">D21/H21</f>
        <v>1</v>
      </c>
      <c r="AC21" s="1807">
        <f t="shared" ref="AC21" si="10">D21/J21</f>
        <v>1</v>
      </c>
    </row>
    <row r="22" spans="1:29" ht="15">
      <c r="A22" s="428"/>
      <c r="B22" s="1383"/>
      <c r="C22" s="2602"/>
      <c r="D22" s="448"/>
      <c r="E22" s="447"/>
      <c r="F22" s="449"/>
      <c r="G22" s="447"/>
      <c r="H22" s="448"/>
      <c r="I22" s="447"/>
      <c r="J22" s="448"/>
      <c r="K22" s="1382"/>
      <c r="L22" s="1140"/>
      <c r="M22" s="1131"/>
      <c r="N22" s="1131"/>
      <c r="O22" s="1139"/>
      <c r="P22" s="3168"/>
      <c r="Q22" s="1806"/>
      <c r="R22" s="774"/>
      <c r="S22" s="775"/>
      <c r="T22" s="774"/>
      <c r="U22" s="775"/>
      <c r="V22" s="774"/>
      <c r="W22" s="775"/>
      <c r="X22" s="1809"/>
      <c r="Y22" s="3168"/>
      <c r="Z22" s="1810"/>
      <c r="AA22" s="1807">
        <v>1</v>
      </c>
      <c r="AB22" s="1807">
        <v>1</v>
      </c>
      <c r="AC22" s="1807">
        <v>1</v>
      </c>
    </row>
    <row r="23" spans="1:29" ht="71.25">
      <c r="A23" s="428"/>
      <c r="B23" s="451" t="s">
        <v>2696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8"/>
      <c r="Q23" s="1806" t="str">
        <f>B23</f>
        <v>环境质量</v>
      </c>
      <c r="R23" s="774" t="s">
        <v>17</v>
      </c>
      <c r="S23" s="775">
        <f>F23</f>
        <v>100</v>
      </c>
      <c r="T23" s="774" t="s">
        <v>17</v>
      </c>
      <c r="U23" s="775">
        <f>H23</f>
        <v>100</v>
      </c>
      <c r="V23" s="774" t="s">
        <v>17</v>
      </c>
      <c r="W23" s="775">
        <f>J23</f>
        <v>100</v>
      </c>
      <c r="X23" s="1809"/>
      <c r="Y23" s="3168"/>
      <c r="Z23" s="1810" t="str">
        <f>Q23</f>
        <v>环境质量</v>
      </c>
      <c r="AA23" s="1807">
        <f t="shared" si="3"/>
        <v>1</v>
      </c>
      <c r="AB23" s="1807">
        <f t="shared" si="4"/>
        <v>1</v>
      </c>
      <c r="AC23" s="1807">
        <f t="shared" si="5"/>
        <v>1</v>
      </c>
    </row>
    <row r="24" spans="1:29" ht="15">
      <c r="A24" s="428"/>
      <c r="B24" s="1383"/>
      <c r="C24" s="447"/>
      <c r="D24" s="448"/>
      <c r="E24" s="2599"/>
      <c r="F24" s="449"/>
      <c r="G24" s="2598"/>
      <c r="H24" s="448"/>
      <c r="I24" s="2599"/>
      <c r="J24" s="448"/>
      <c r="K24" s="615"/>
      <c r="L24" s="1140"/>
      <c r="M24" s="1131"/>
      <c r="N24" s="1131"/>
      <c r="O24" s="1139"/>
      <c r="P24" s="3168"/>
      <c r="Q24" s="1806"/>
      <c r="R24" s="774"/>
      <c r="S24" s="775"/>
      <c r="T24" s="774"/>
      <c r="U24" s="775"/>
      <c r="V24" s="774"/>
      <c r="W24" s="775"/>
      <c r="X24" s="1809"/>
      <c r="Y24" s="3168"/>
      <c r="Z24" s="1810"/>
      <c r="AA24" s="1807">
        <v>1</v>
      </c>
      <c r="AB24" s="1807">
        <v>1</v>
      </c>
      <c r="AC24" s="1807">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8"/>
      <c r="Q25" s="1806">
        <f>B25</f>
        <v>111</v>
      </c>
      <c r="R25" s="774" t="s">
        <v>17</v>
      </c>
      <c r="S25" s="775">
        <f>F25</f>
        <v>100</v>
      </c>
      <c r="T25" s="774" t="s">
        <v>17</v>
      </c>
      <c r="U25" s="775">
        <f>H25</f>
        <v>100</v>
      </c>
      <c r="V25" s="774" t="s">
        <v>17</v>
      </c>
      <c r="W25" s="775">
        <f>J25</f>
        <v>100</v>
      </c>
      <c r="X25" s="1809"/>
      <c r="Y25" s="3168"/>
      <c r="Z25" s="1810">
        <f>Q25</f>
        <v>111</v>
      </c>
      <c r="AA25" s="1807">
        <f t="shared" si="3"/>
        <v>1</v>
      </c>
      <c r="AB25" s="1807">
        <f t="shared" si="4"/>
        <v>1</v>
      </c>
      <c r="AC25" s="1807">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8"/>
      <c r="Q26" s="1806">
        <f t="shared" ref="Q26:Q40" si="11">B26</f>
        <v>111</v>
      </c>
      <c r="R26" s="774" t="s">
        <v>17</v>
      </c>
      <c r="S26" s="775">
        <f>F26</f>
        <v>100</v>
      </c>
      <c r="T26" s="774" t="s">
        <v>17</v>
      </c>
      <c r="U26" s="775">
        <f>H26</f>
        <v>100</v>
      </c>
      <c r="V26" s="774" t="s">
        <v>17</v>
      </c>
      <c r="W26" s="775">
        <f>J26</f>
        <v>100</v>
      </c>
      <c r="X26" s="1809"/>
      <c r="Y26" s="3168"/>
      <c r="Z26" s="1810">
        <f>Q26</f>
        <v>111</v>
      </c>
      <c r="AA26" s="1807">
        <f t="shared" si="3"/>
        <v>1</v>
      </c>
      <c r="AB26" s="1807">
        <f t="shared" si="4"/>
        <v>1</v>
      </c>
      <c r="AC26" s="1807">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8"/>
      <c r="Q27" s="1791">
        <f t="shared" si="11"/>
        <v>111</v>
      </c>
      <c r="R27" s="770" t="s">
        <v>17</v>
      </c>
      <c r="S27" s="771">
        <f>F27</f>
        <v>100</v>
      </c>
      <c r="T27" s="770" t="s">
        <v>17</v>
      </c>
      <c r="U27" s="771">
        <f>H27</f>
        <v>100</v>
      </c>
      <c r="V27" s="770" t="s">
        <v>17</v>
      </c>
      <c r="W27" s="771">
        <f>J27</f>
        <v>100</v>
      </c>
      <c r="X27" s="772"/>
      <c r="Y27" s="3168"/>
      <c r="Z27" s="55">
        <f>Q27</f>
        <v>111</v>
      </c>
      <c r="AA27" s="1807">
        <f>D27/F27</f>
        <v>1</v>
      </c>
      <c r="AB27" s="1807">
        <f>D27/H27</f>
        <v>1</v>
      </c>
      <c r="AC27" s="1807">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8"/>
      <c r="Q28" s="1806">
        <f t="shared" si="11"/>
        <v>111</v>
      </c>
      <c r="R28" s="774" t="s">
        <v>17</v>
      </c>
      <c r="S28" s="775">
        <f t="shared" ref="S28:S40" si="12">F28</f>
        <v>100</v>
      </c>
      <c r="T28" s="774" t="s">
        <v>17</v>
      </c>
      <c r="U28" s="775">
        <f t="shared" ref="U28:U40" si="13">H28</f>
        <v>100</v>
      </c>
      <c r="V28" s="774" t="s">
        <v>17</v>
      </c>
      <c r="W28" s="775">
        <f t="shared" ref="W28:W40" si="14">J28</f>
        <v>100</v>
      </c>
      <c r="X28" s="1809"/>
      <c r="Y28" s="3168"/>
      <c r="Z28" s="1810">
        <f t="shared" ref="Z28:Z40" si="15">Q28</f>
        <v>111</v>
      </c>
      <c r="AA28" s="1807">
        <f t="shared" si="3"/>
        <v>1</v>
      </c>
      <c r="AB28" s="1807">
        <f t="shared" si="4"/>
        <v>1</v>
      </c>
      <c r="AC28" s="1807">
        <f t="shared" si="5"/>
        <v>1</v>
      </c>
    </row>
    <row r="29" spans="1:29" ht="15">
      <c r="A29" s="466" t="s">
        <v>2569</v>
      </c>
      <c r="B29" s="71" t="s">
        <v>2699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169" t="s">
        <v>2571</v>
      </c>
      <c r="Q29" s="1806" t="str">
        <f t="shared" si="11"/>
        <v>建筑类型</v>
      </c>
      <c r="R29" s="774" t="s">
        <v>17</v>
      </c>
      <c r="S29" s="775">
        <f t="shared" si="12"/>
        <v>100</v>
      </c>
      <c r="T29" s="774" t="s">
        <v>17</v>
      </c>
      <c r="U29" s="775">
        <f t="shared" si="13"/>
        <v>100</v>
      </c>
      <c r="V29" s="774" t="s">
        <v>17</v>
      </c>
      <c r="W29" s="775">
        <f t="shared" si="14"/>
        <v>100</v>
      </c>
      <c r="X29" s="1809"/>
      <c r="Y29" s="3170" t="s">
        <v>2571</v>
      </c>
      <c r="Z29" s="1810" t="str">
        <f t="shared" si="15"/>
        <v>建筑类型</v>
      </c>
      <c r="AA29" s="1807">
        <f t="shared" si="3"/>
        <v>1</v>
      </c>
      <c r="AB29" s="1807">
        <f t="shared" si="4"/>
        <v>1</v>
      </c>
      <c r="AC29" s="1807">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07" t="e">
        <f t="shared" si="3"/>
        <v>#N/A</v>
      </c>
      <c r="AB30" s="1807" t="e">
        <f t="shared" si="4"/>
        <v>#N/A</v>
      </c>
      <c r="AC30" s="1807"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0"/>
      <c r="Q31" s="1806" t="str">
        <f t="shared" si="11"/>
        <v>建筑结构</v>
      </c>
      <c r="R31" s="774" t="s">
        <v>17</v>
      </c>
      <c r="S31" s="775">
        <f t="shared" si="12"/>
        <v>100</v>
      </c>
      <c r="T31" s="774" t="s">
        <v>17</v>
      </c>
      <c r="U31" s="775">
        <f t="shared" si="13"/>
        <v>100</v>
      </c>
      <c r="V31" s="774" t="s">
        <v>17</v>
      </c>
      <c r="W31" s="775">
        <f t="shared" si="14"/>
        <v>100</v>
      </c>
      <c r="X31" s="1809"/>
      <c r="Y31" s="3170"/>
      <c r="Z31" s="1810" t="str">
        <f t="shared" si="15"/>
        <v>建筑结构</v>
      </c>
      <c r="AA31" s="1807">
        <f t="shared" si="3"/>
        <v>1</v>
      </c>
      <c r="AB31" s="1807">
        <f t="shared" si="4"/>
        <v>1</v>
      </c>
      <c r="AC31" s="1807">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0"/>
      <c r="Q32" s="1806" t="str">
        <f t="shared" si="11"/>
        <v>公共部分装修</v>
      </c>
      <c r="R32" s="774" t="s">
        <v>17</v>
      </c>
      <c r="S32" s="775">
        <f t="shared" si="12"/>
        <v>100</v>
      </c>
      <c r="T32" s="774" t="s">
        <v>17</v>
      </c>
      <c r="U32" s="775">
        <f t="shared" si="13"/>
        <v>100</v>
      </c>
      <c r="V32" s="774" t="s">
        <v>17</v>
      </c>
      <c r="W32" s="775">
        <f t="shared" si="14"/>
        <v>100</v>
      </c>
      <c r="X32" s="1809"/>
      <c r="Y32" s="3170"/>
      <c r="Z32" s="1810" t="str">
        <f t="shared" si="15"/>
        <v>公共部分装修</v>
      </c>
      <c r="AA32" s="1807">
        <f t="shared" si="3"/>
        <v>1</v>
      </c>
      <c r="AB32" s="1807">
        <f t="shared" si="4"/>
        <v>1</v>
      </c>
      <c r="AC32" s="1807">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0"/>
      <c r="Q33" s="1806" t="str">
        <f t="shared" si="11"/>
        <v>成新度</v>
      </c>
      <c r="R33" s="774" t="s">
        <v>17</v>
      </c>
      <c r="S33" s="775" t="e">
        <f t="shared" si="12"/>
        <v>#N/A</v>
      </c>
      <c r="T33" s="774" t="s">
        <v>17</v>
      </c>
      <c r="U33" s="775" t="e">
        <f t="shared" si="13"/>
        <v>#N/A</v>
      </c>
      <c r="V33" s="774" t="s">
        <v>17</v>
      </c>
      <c r="W33" s="775" t="e">
        <f t="shared" si="14"/>
        <v>#N/A</v>
      </c>
      <c r="X33" s="1809"/>
      <c r="Y33" s="3170"/>
      <c r="Z33" s="1810" t="str">
        <f t="shared" si="15"/>
        <v>成新度</v>
      </c>
      <c r="AA33" s="1807" t="e">
        <f t="shared" si="3"/>
        <v>#N/A</v>
      </c>
      <c r="AB33" s="1807" t="e">
        <f t="shared" si="4"/>
        <v>#N/A</v>
      </c>
      <c r="AC33" s="1807"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0"/>
      <c r="Q34" s="1791"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0" t="s">
        <v>2571</v>
      </c>
      <c r="Q35" s="1806" t="str">
        <f t="shared" si="11"/>
        <v>市政基础设施</v>
      </c>
      <c r="R35" s="774" t="s">
        <v>17</v>
      </c>
      <c r="S35" s="775">
        <f t="shared" si="12"/>
        <v>100</v>
      </c>
      <c r="T35" s="774" t="s">
        <v>17</v>
      </c>
      <c r="U35" s="775">
        <f t="shared" si="13"/>
        <v>100</v>
      </c>
      <c r="V35" s="774" t="s">
        <v>17</v>
      </c>
      <c r="W35" s="775">
        <f t="shared" si="14"/>
        <v>100</v>
      </c>
      <c r="X35" s="1809"/>
      <c r="Y35" s="3170" t="s">
        <v>2571</v>
      </c>
      <c r="Z35" s="1810" t="str">
        <f t="shared" si="15"/>
        <v>市政基础设施</v>
      </c>
      <c r="AA35" s="1807">
        <f t="shared" si="3"/>
        <v>1</v>
      </c>
      <c r="AB35" s="1807">
        <f t="shared" si="4"/>
        <v>1</v>
      </c>
      <c r="AC35" s="1807">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0"/>
      <c r="Q36" s="1806" t="str">
        <f t="shared" si="11"/>
        <v>内部装修</v>
      </c>
      <c r="R36" s="774" t="s">
        <v>17</v>
      </c>
      <c r="S36" s="775">
        <f t="shared" si="12"/>
        <v>100</v>
      </c>
      <c r="T36" s="774" t="s">
        <v>17</v>
      </c>
      <c r="U36" s="775">
        <f t="shared" si="13"/>
        <v>100</v>
      </c>
      <c r="V36" s="774" t="s">
        <v>17</v>
      </c>
      <c r="W36" s="775">
        <f t="shared" si="14"/>
        <v>100</v>
      </c>
      <c r="X36" s="1809"/>
      <c r="Y36" s="3170"/>
      <c r="Z36" s="1810" t="str">
        <f t="shared" si="15"/>
        <v>内部装修</v>
      </c>
      <c r="AA36" s="1807">
        <f t="shared" si="3"/>
        <v>1</v>
      </c>
      <c r="AB36" s="1807">
        <f t="shared" si="4"/>
        <v>1</v>
      </c>
      <c r="AC36" s="1807">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0"/>
      <c r="Q37" s="1806" t="str">
        <f t="shared" si="11"/>
        <v>内部装修状况</v>
      </c>
      <c r="R37" s="774" t="s">
        <v>17</v>
      </c>
      <c r="S37" s="775">
        <f t="shared" si="12"/>
        <v>100</v>
      </c>
      <c r="T37" s="774" t="s">
        <v>17</v>
      </c>
      <c r="U37" s="775">
        <f t="shared" si="13"/>
        <v>100</v>
      </c>
      <c r="V37" s="774" t="s">
        <v>17</v>
      </c>
      <c r="W37" s="775">
        <f t="shared" si="14"/>
        <v>100</v>
      </c>
      <c r="X37" s="1809"/>
      <c r="Y37" s="3170"/>
      <c r="Z37" s="1810" t="str">
        <f t="shared" si="15"/>
        <v>内部装修状况</v>
      </c>
      <c r="AA37" s="1807">
        <f t="shared" si="3"/>
        <v>1</v>
      </c>
      <c r="AB37" s="1807">
        <f t="shared" si="4"/>
        <v>1</v>
      </c>
      <c r="AC37" s="1807">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07">
        <f t="shared" si="3"/>
        <v>1</v>
      </c>
      <c r="AB38" s="1807">
        <f t="shared" si="4"/>
        <v>1</v>
      </c>
      <c r="AC38" s="1807">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0"/>
      <c r="Q39" s="1806">
        <f t="shared" si="11"/>
        <v>111</v>
      </c>
      <c r="R39" s="774" t="s">
        <v>17</v>
      </c>
      <c r="S39" s="775">
        <f t="shared" si="12"/>
        <v>100</v>
      </c>
      <c r="T39" s="774" t="s">
        <v>17</v>
      </c>
      <c r="U39" s="775">
        <f t="shared" si="13"/>
        <v>100</v>
      </c>
      <c r="V39" s="774" t="s">
        <v>17</v>
      </c>
      <c r="W39" s="775">
        <f t="shared" si="14"/>
        <v>100</v>
      </c>
      <c r="X39" s="1809"/>
      <c r="Y39" s="3170"/>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6">
        <f t="shared" si="11"/>
        <v>111</v>
      </c>
      <c r="R40" s="774" t="s">
        <v>17</v>
      </c>
      <c r="S40" s="775">
        <f t="shared" si="12"/>
        <v>100</v>
      </c>
      <c r="T40" s="774" t="s">
        <v>17</v>
      </c>
      <c r="U40" s="775">
        <f t="shared" si="13"/>
        <v>100</v>
      </c>
      <c r="V40" s="774" t="s">
        <v>17</v>
      </c>
      <c r="W40" s="775">
        <f t="shared" si="14"/>
        <v>100</v>
      </c>
      <c r="X40" s="1809"/>
      <c r="Y40" s="3233"/>
      <c r="Z40" s="1810">
        <f t="shared" si="15"/>
        <v>111</v>
      </c>
      <c r="AA40" s="1807">
        <f t="shared" si="3"/>
        <v>1</v>
      </c>
      <c r="AB40" s="1807">
        <f t="shared" si="4"/>
        <v>1</v>
      </c>
      <c r="AC40" s="1807">
        <f t="shared" si="5"/>
        <v>1</v>
      </c>
    </row>
    <row r="41" spans="1:29" ht="15">
      <c r="A41" s="479" t="s">
        <v>2583</v>
      </c>
      <c r="B41" s="480"/>
      <c r="C41" s="1406" t="s">
        <v>1</v>
      </c>
      <c r="D41" s="1407"/>
      <c r="E41" s="1408"/>
      <c r="F41" s="1409"/>
      <c r="G41" s="1410"/>
      <c r="H41" s="1411"/>
      <c r="I41" s="1408"/>
      <c r="J41" s="1411"/>
      <c r="K41" s="783"/>
      <c r="L41" s="1143"/>
      <c r="M41" s="1144"/>
      <c r="N41" s="1131"/>
      <c r="O41" s="1144"/>
      <c r="P41" s="3165" t="str">
        <f>A41</f>
        <v>成交单价（元/平方米）</v>
      </c>
      <c r="Q41" s="3165"/>
      <c r="R41" s="3229">
        <f>E41</f>
        <v>0</v>
      </c>
      <c r="S41" s="3229"/>
      <c r="T41" s="3229">
        <f>G41</f>
        <v>0</v>
      </c>
      <c r="U41" s="3229"/>
      <c r="V41" s="3229">
        <f>I41</f>
        <v>0</v>
      </c>
      <c r="W41" s="3229"/>
      <c r="X41" s="759"/>
      <c r="Y41" s="781"/>
      <c r="Z41" s="759"/>
      <c r="AA41" s="759"/>
      <c r="AB41" s="759"/>
      <c r="AC41" s="759"/>
    </row>
    <row r="42" spans="1:29" ht="15.75" thickBot="1">
      <c r="A42" s="486" t="s">
        <v>2675</v>
      </c>
      <c r="B42" s="487"/>
      <c r="C42" s="1412" t="e">
        <f>R43</f>
        <v>#DIV/0!</v>
      </c>
      <c r="D42" s="1413"/>
      <c r="E42" s="1414" t="e">
        <f>R42</f>
        <v>#DIV/0!</v>
      </c>
      <c r="F42" s="1414"/>
      <c r="G42" s="1412" t="e">
        <f>T42</f>
        <v>#DIV/0!</v>
      </c>
      <c r="H42" s="1413"/>
      <c r="I42" s="1414" t="e">
        <f>V42</f>
        <v>#DIV/0!</v>
      </c>
      <c r="J42" s="1413"/>
      <c r="K42" s="784"/>
      <c r="L42" s="1143"/>
      <c r="M42" s="1144"/>
      <c r="N42" s="1131"/>
      <c r="O42" s="1144"/>
      <c r="P42" s="3165" t="str">
        <f>A42</f>
        <v>比较价值（元/平方米）</v>
      </c>
      <c r="Q42" s="3165"/>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2676</v>
      </c>
      <c r="B43" s="493"/>
      <c r="C43" s="1416" t="e">
        <f>R43</f>
        <v>#DIV/0!</v>
      </c>
      <c r="D43" s="1416"/>
      <c r="E43" s="1416"/>
      <c r="F43" s="1416"/>
      <c r="G43" s="1416"/>
      <c r="H43" s="1416"/>
      <c r="I43" s="1416"/>
      <c r="J43" s="1416"/>
      <c r="K43" s="785"/>
      <c r="L43" s="1143"/>
      <c r="M43" s="1144"/>
      <c r="N43" s="1144"/>
      <c r="O43" s="1144"/>
      <c r="P43" s="3159" t="str">
        <f>A43</f>
        <v>估价对象XX用房的比较价值（楼面单价，元/平方米）</v>
      </c>
      <c r="Q43" s="3160"/>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8"/>
      <c r="L44" s="1109"/>
      <c r="M44" s="1144"/>
      <c r="N44" s="1144"/>
      <c r="O44" s="1144"/>
    </row>
    <row r="45" spans="1:29">
      <c r="A45" s="1144"/>
      <c r="B45" s="1144"/>
      <c r="C45" s="1144"/>
      <c r="D45" s="1144"/>
      <c r="E45" s="1144"/>
      <c r="F45" s="1144"/>
      <c r="G45" s="1144"/>
      <c r="H45" s="1144"/>
      <c r="I45" s="1144"/>
      <c r="J45" s="1144"/>
      <c r="K45" s="1108"/>
      <c r="L45" s="1109"/>
      <c r="M45" s="1144"/>
      <c r="N45" s="1144"/>
      <c r="O45" s="1144"/>
    </row>
    <row r="46" spans="1:29" ht="13.5" customHeight="1">
      <c r="A46" s="1144"/>
      <c r="B46" s="1144"/>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4"/>
      <c r="N46" s="1144"/>
      <c r="O46" s="1144"/>
    </row>
    <row r="47" spans="1:29" ht="13.5" customHeight="1">
      <c r="A47" s="1144"/>
      <c r="B47" s="1144"/>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4"/>
      <c r="N47" s="1144"/>
      <c r="O47" s="1144"/>
    </row>
    <row r="48" spans="1:29" s="502" customFormat="1" ht="13.5" customHeight="1">
      <c r="A48" s="1145"/>
      <c r="B48" s="1145"/>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8"/>
      <c r="L50" s="1109"/>
      <c r="M50" s="1144"/>
      <c r="N50" s="1144"/>
      <c r="O50" s="1144"/>
    </row>
    <row r="51" spans="1:17" ht="21.75" thickBot="1">
      <c r="A51" s="763" t="s">
        <v>2680</v>
      </c>
      <c r="B51" s="759"/>
      <c r="C51" s="764"/>
      <c r="D51" s="764"/>
      <c r="E51" s="764"/>
      <c r="F51" s="765"/>
      <c r="G51" s="765"/>
      <c r="H51" s="764"/>
      <c r="I51" s="764"/>
      <c r="J51" s="764"/>
      <c r="K51" s="1160"/>
      <c r="L51" s="1161"/>
      <c r="M51" s="1159"/>
      <c r="N51" s="1159"/>
      <c r="O51" s="1159"/>
      <c r="P51" s="503"/>
      <c r="Q51" s="504"/>
    </row>
    <row r="52" spans="1:17" s="508" customFormat="1" ht="15">
      <c r="A52" s="505" t="s">
        <v>2554</v>
      </c>
      <c r="B52" s="506"/>
      <c r="C52" s="1573" t="str">
        <f>YEAR(C7)&amp;"-"&amp;MONTH(C7)</f>
        <v>2018-11</v>
      </c>
      <c r="D52" s="1574">
        <f>EDATE(C52,-1)</f>
        <v>43374</v>
      </c>
      <c r="E52" s="1574">
        <f t="shared" ref="E52:O52" si="16">EDATE(D52,-1)</f>
        <v>43344</v>
      </c>
      <c r="F52" s="1574">
        <f t="shared" si="16"/>
        <v>43313</v>
      </c>
      <c r="G52" s="1574">
        <f t="shared" si="16"/>
        <v>43282</v>
      </c>
      <c r="H52" s="1574">
        <f t="shared" si="16"/>
        <v>43252</v>
      </c>
      <c r="I52" s="1574">
        <f t="shared" si="16"/>
        <v>43221</v>
      </c>
      <c r="J52" s="1574">
        <f t="shared" si="16"/>
        <v>43191</v>
      </c>
      <c r="K52" s="1574">
        <f t="shared" si="16"/>
        <v>43160</v>
      </c>
      <c r="L52" s="1574">
        <f t="shared" si="16"/>
        <v>43132</v>
      </c>
      <c r="M52" s="1574">
        <f t="shared" si="16"/>
        <v>43101</v>
      </c>
      <c r="N52" s="1574">
        <f t="shared" si="16"/>
        <v>43070</v>
      </c>
      <c r="O52" s="1574">
        <f t="shared" si="16"/>
        <v>43040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2594</v>
      </c>
      <c r="B57" s="528" t="s">
        <v>2560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2569</v>
      </c>
      <c r="B88" s="528" t="s">
        <v>2618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2620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2622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2713</v>
      </c>
      <c r="B1" s="1618"/>
      <c r="C1" s="1619" t="s">
        <v>2536</v>
      </c>
      <c r="D1" s="1620"/>
      <c r="E1" s="1621"/>
      <c r="F1" s="2578"/>
      <c r="G1" s="1622" t="s">
        <v>2649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2333</v>
      </c>
      <c r="B2" s="1417" t="e">
        <f ca="1">IF(C2="——",IF(B37="元/平方米",ROUND(C39*D3/10000,0),ROUND(F3*C39/10000,0)),IF(B37="元/平方米",ROUND(C39*D3/10000,0),ROUND(F3*C39/10000,0))-D2)</f>
        <v>#DIV/0!</v>
      </c>
      <c r="C2" s="2580"/>
      <c r="D2" s="1124" t="e">
        <f ca="1">SUMIF(INDIRECT("'"&amp;F2&amp;"'"&amp;"!A:A"),"承租人权益价值",INDIRECT("'"&amp;F2&amp;"'"&amp;"!c:c"))</f>
        <v>#REF!</v>
      </c>
      <c r="E2" s="2581" t="s">
        <v>2334</v>
      </c>
      <c r="F2" s="2582"/>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2651</v>
      </c>
      <c r="B4" s="402"/>
      <c r="C4" s="3162" t="s">
        <v>2652</v>
      </c>
      <c r="D4" s="3175"/>
      <c r="E4" s="3176" t="s">
        <v>2653</v>
      </c>
      <c r="F4" s="3177"/>
      <c r="G4" s="3162" t="s">
        <v>2654</v>
      </c>
      <c r="H4" s="3175"/>
      <c r="I4" s="3162" t="s">
        <v>2655</v>
      </c>
      <c r="J4" s="3175"/>
      <c r="K4" s="610" t="s">
        <v>2656</v>
      </c>
      <c r="L4" s="1130"/>
      <c r="M4" s="1131"/>
      <c r="N4" s="1131"/>
      <c r="O4" s="1131"/>
      <c r="P4" s="3178" t="s">
        <v>2657</v>
      </c>
      <c r="Q4" s="3179"/>
      <c r="R4" s="3184" t="s">
        <v>2653</v>
      </c>
      <c r="S4" s="3185"/>
      <c r="T4" s="3184" t="s">
        <v>2654</v>
      </c>
      <c r="U4" s="3185"/>
      <c r="V4" s="3171" t="s">
        <v>2655</v>
      </c>
      <c r="W4" s="3171"/>
      <c r="X4" s="1809"/>
      <c r="Y4" s="3184" t="s">
        <v>2657</v>
      </c>
      <c r="Z4" s="3185"/>
      <c r="AA4" s="3172" t="s">
        <v>2653</v>
      </c>
      <c r="AB4" s="3173" t="s">
        <v>2654</v>
      </c>
      <c r="AC4" s="3172" t="s">
        <v>2655</v>
      </c>
    </row>
    <row r="5" spans="1:29" ht="15">
      <c r="A5" s="404"/>
      <c r="B5" s="405"/>
      <c r="C5" s="3192" t="s">
        <v>2548</v>
      </c>
      <c r="D5" s="3193"/>
      <c r="E5" s="3199" t="s">
        <v>2549</v>
      </c>
      <c r="F5" s="3200"/>
      <c r="G5" s="3192" t="s">
        <v>2550</v>
      </c>
      <c r="H5" s="3193"/>
      <c r="I5" s="3192" t="s">
        <v>2551</v>
      </c>
      <c r="J5" s="3193"/>
      <c r="K5" s="610"/>
      <c r="L5" s="1130"/>
      <c r="M5" s="1131"/>
      <c r="N5" s="1131"/>
      <c r="O5" s="1131"/>
      <c r="P5" s="3180"/>
      <c r="Q5" s="3181"/>
      <c r="R5" s="3186"/>
      <c r="S5" s="3187"/>
      <c r="T5" s="3186"/>
      <c r="U5" s="3187"/>
      <c r="V5" s="3171"/>
      <c r="W5" s="3171"/>
      <c r="X5" s="1809"/>
      <c r="Y5" s="3186"/>
      <c r="Z5" s="3187"/>
      <c r="AA5" s="3173"/>
      <c r="AB5" s="3173"/>
      <c r="AC5" s="3173"/>
    </row>
    <row r="6" spans="1:29" ht="15.75" thickBot="1">
      <c r="A6" s="406"/>
      <c r="B6" s="407"/>
      <c r="C6" s="3190" t="s">
        <v>2552</v>
      </c>
      <c r="D6" s="3191"/>
      <c r="E6" s="3197" t="s">
        <v>2552</v>
      </c>
      <c r="F6" s="3198"/>
      <c r="G6" s="3190" t="s">
        <v>2552</v>
      </c>
      <c r="H6" s="3191"/>
      <c r="I6" s="3190" t="s">
        <v>2552</v>
      </c>
      <c r="J6" s="3191"/>
      <c r="K6" s="610" t="s">
        <v>2553</v>
      </c>
      <c r="L6" s="1130"/>
      <c r="M6" s="1131"/>
      <c r="N6" s="1131"/>
      <c r="O6" s="1131"/>
      <c r="P6" s="3182"/>
      <c r="Q6" s="3183"/>
      <c r="R6" s="3186"/>
      <c r="S6" s="3187"/>
      <c r="T6" s="3188"/>
      <c r="U6" s="3189"/>
      <c r="V6" s="3171"/>
      <c r="W6" s="3171"/>
      <c r="X6" s="1809"/>
      <c r="Y6" s="3188"/>
      <c r="Z6" s="3189"/>
      <c r="AA6" s="3174"/>
      <c r="AB6" s="3174"/>
      <c r="AC6" s="3174"/>
    </row>
    <row r="7" spans="1:29" s="117" customFormat="1" ht="15.75" thickBot="1">
      <c r="A7" s="408" t="s">
        <v>2554</v>
      </c>
      <c r="B7" s="409"/>
      <c r="C7" s="410">
        <f>'数据-取费表'!B2</f>
        <v>43417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4" t="s">
        <v>2555</v>
      </c>
      <c r="Q7" s="3196"/>
      <c r="R7" s="770" t="s">
        <v>17</v>
      </c>
      <c r="S7" s="771">
        <f t="shared" ref="S7:S14" si="0">F7</f>
        <v>0</v>
      </c>
      <c r="T7" s="770" t="s">
        <v>17</v>
      </c>
      <c r="U7" s="771">
        <f t="shared" ref="U7:U14" si="1">H7</f>
        <v>0</v>
      </c>
      <c r="V7" s="770" t="s">
        <v>17</v>
      </c>
      <c r="W7" s="771">
        <f t="shared" ref="W7:W14" si="2">J7</f>
        <v>0</v>
      </c>
      <c r="X7" s="772"/>
      <c r="Y7" s="3194" t="s">
        <v>2555</v>
      </c>
      <c r="Z7" s="3195"/>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4" t="s">
        <v>2558</v>
      </c>
      <c r="Q8" s="3195"/>
      <c r="R8" s="770" t="s">
        <v>17</v>
      </c>
      <c r="S8" s="771">
        <f t="shared" si="0"/>
        <v>0</v>
      </c>
      <c r="T8" s="770" t="s">
        <v>17</v>
      </c>
      <c r="U8" s="771">
        <f t="shared" si="1"/>
        <v>0</v>
      </c>
      <c r="V8" s="770" t="s">
        <v>17</v>
      </c>
      <c r="W8" s="771">
        <f t="shared" si="2"/>
        <v>0</v>
      </c>
      <c r="X8" s="772"/>
      <c r="Y8" s="3194" t="s">
        <v>2558</v>
      </c>
      <c r="Z8" s="3195"/>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5" t="s">
        <v>2561</v>
      </c>
      <c r="Q9" s="1791" t="str">
        <f t="shared" ref="Q9:Q14" si="6">B9</f>
        <v>用途</v>
      </c>
      <c r="R9" s="770" t="s">
        <v>17</v>
      </c>
      <c r="S9" s="771">
        <f t="shared" si="0"/>
        <v>100</v>
      </c>
      <c r="T9" s="770" t="s">
        <v>17</v>
      </c>
      <c r="U9" s="771">
        <f t="shared" si="1"/>
        <v>100</v>
      </c>
      <c r="V9" s="770" t="s">
        <v>17</v>
      </c>
      <c r="W9" s="771">
        <f t="shared" si="2"/>
        <v>100</v>
      </c>
      <c r="X9" s="772"/>
      <c r="Y9" s="3013"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5"/>
      <c r="Q10" s="1791"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5"/>
      <c r="Q11" s="1791">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5"/>
      <c r="Q12" s="1791">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5"/>
      <c r="Q13" s="1791">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2565</v>
      </c>
      <c r="B14" s="629" t="s">
        <v>2715</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7" t="s">
        <v>2566</v>
      </c>
      <c r="Q14" s="1806" t="str">
        <f t="shared" si="6"/>
        <v>交通便捷度</v>
      </c>
      <c r="R14" s="774" t="s">
        <v>17</v>
      </c>
      <c r="S14" s="775">
        <f t="shared" si="0"/>
        <v>100</v>
      </c>
      <c r="T14" s="774" t="s">
        <v>17</v>
      </c>
      <c r="U14" s="775">
        <f t="shared" si="1"/>
        <v>100</v>
      </c>
      <c r="V14" s="774" t="s">
        <v>17</v>
      </c>
      <c r="W14" s="775">
        <f t="shared" si="2"/>
        <v>100</v>
      </c>
      <c r="X14" s="1809"/>
      <c r="Y14" s="3167" t="s">
        <v>2566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0"/>
      <c r="M15" s="1131"/>
      <c r="N15" s="1131"/>
      <c r="O15" s="1131"/>
      <c r="P15" s="3168"/>
      <c r="Q15" s="1806"/>
      <c r="R15" s="774"/>
      <c r="S15" s="775"/>
      <c r="T15" s="774"/>
      <c r="U15" s="775"/>
      <c r="V15" s="774"/>
      <c r="W15" s="775"/>
      <c r="X15" s="1809"/>
      <c r="Y15" s="3168"/>
      <c r="Z15" s="1810"/>
      <c r="AA15" s="1807">
        <v>1</v>
      </c>
      <c r="AB15" s="1807">
        <v>1</v>
      </c>
      <c r="AC15" s="1807">
        <v>1</v>
      </c>
    </row>
    <row r="16" spans="1:29" ht="42.75">
      <c r="A16" s="404"/>
      <c r="B16" s="631" t="s">
        <v>2694</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8"/>
      <c r="Q16" s="1806" t="str">
        <f>B16</f>
        <v>公共配套设施</v>
      </c>
      <c r="R16" s="774" t="s">
        <v>17</v>
      </c>
      <c r="S16" s="775">
        <f>F16</f>
        <v>100</v>
      </c>
      <c r="T16" s="774" t="s">
        <v>17</v>
      </c>
      <c r="U16" s="775">
        <f>H16</f>
        <v>100</v>
      </c>
      <c r="V16" s="774" t="s">
        <v>17</v>
      </c>
      <c r="W16" s="775">
        <f>J16</f>
        <v>100</v>
      </c>
      <c r="X16" s="1809"/>
      <c r="Y16" s="3168"/>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40"/>
      <c r="M17" s="1131"/>
      <c r="N17" s="1131"/>
      <c r="O17" s="1131"/>
      <c r="P17" s="3168"/>
      <c r="Q17" s="1806"/>
      <c r="R17" s="774"/>
      <c r="S17" s="775"/>
      <c r="T17" s="774"/>
      <c r="U17" s="775"/>
      <c r="V17" s="774"/>
      <c r="W17" s="775"/>
      <c r="X17" s="1809"/>
      <c r="Y17" s="3168"/>
      <c r="Z17" s="1810"/>
      <c r="AA17" s="1807">
        <v>1</v>
      </c>
      <c r="AB17" s="1807">
        <v>1</v>
      </c>
      <c r="AC17" s="1807">
        <v>1</v>
      </c>
    </row>
    <row r="18" spans="1:29" ht="28.5">
      <c r="A18" s="404"/>
      <c r="B18" s="633" t="s">
        <v>2695</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8"/>
      <c r="Q18" s="1806" t="str">
        <f>B18</f>
        <v>基础设施水平</v>
      </c>
      <c r="R18" s="774" t="s">
        <v>17</v>
      </c>
      <c r="S18" s="775">
        <f>F18</f>
        <v>100</v>
      </c>
      <c r="T18" s="774" t="s">
        <v>17</v>
      </c>
      <c r="U18" s="775">
        <f>H18</f>
        <v>100</v>
      </c>
      <c r="V18" s="774" t="s">
        <v>17</v>
      </c>
      <c r="W18" s="775">
        <f>J18</f>
        <v>100</v>
      </c>
      <c r="X18" s="1809"/>
      <c r="Y18" s="3168"/>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82"/>
      <c r="L19" s="1140"/>
      <c r="M19" s="1131"/>
      <c r="N19" s="1131"/>
      <c r="O19" s="1131"/>
      <c r="P19" s="3168"/>
      <c r="Q19" s="1806"/>
      <c r="R19" s="774"/>
      <c r="S19" s="775"/>
      <c r="T19" s="774"/>
      <c r="U19" s="775"/>
      <c r="V19" s="774"/>
      <c r="W19" s="775"/>
      <c r="X19" s="1809"/>
      <c r="Y19" s="3168"/>
      <c r="Z19" s="1810"/>
      <c r="AA19" s="1807">
        <v>1</v>
      </c>
      <c r="AB19" s="1807">
        <v>1</v>
      </c>
      <c r="AC19" s="1807">
        <v>1</v>
      </c>
    </row>
    <row r="20" spans="1:29" ht="57">
      <c r="A20" s="404"/>
      <c r="B20" s="631" t="s">
        <v>2716</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8"/>
      <c r="Q20" s="1806" t="str">
        <f>B20</f>
        <v>自然及人文环境</v>
      </c>
      <c r="R20" s="774" t="s">
        <v>17</v>
      </c>
      <c r="S20" s="775">
        <f>F20</f>
        <v>100</v>
      </c>
      <c r="T20" s="774" t="s">
        <v>17</v>
      </c>
      <c r="U20" s="775">
        <f>H20</f>
        <v>100</v>
      </c>
      <c r="V20" s="774" t="s">
        <v>17</v>
      </c>
      <c r="W20" s="775">
        <f>J20</f>
        <v>100</v>
      </c>
      <c r="X20" s="1809"/>
      <c r="Y20" s="3168"/>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0"/>
      <c r="M21" s="1131"/>
      <c r="N21" s="1131"/>
      <c r="O21" s="1131"/>
      <c r="P21" s="3168"/>
      <c r="Q21" s="1806"/>
      <c r="R21" s="774"/>
      <c r="S21" s="775"/>
      <c r="T21" s="774"/>
      <c r="U21" s="775"/>
      <c r="V21" s="774"/>
      <c r="W21" s="775"/>
      <c r="X21" s="1809"/>
      <c r="Y21" s="3168"/>
      <c r="Z21" s="1810"/>
      <c r="AA21" s="1807">
        <v>1</v>
      </c>
      <c r="AB21" s="1807">
        <v>1</v>
      </c>
      <c r="AC21" s="1807">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8"/>
      <c r="Q22" s="1806" t="str">
        <f>B22</f>
        <v>楼层</v>
      </c>
      <c r="R22" s="774" t="s">
        <v>17</v>
      </c>
      <c r="S22" s="775">
        <f>F22</f>
        <v>100</v>
      </c>
      <c r="T22" s="774" t="s">
        <v>17</v>
      </c>
      <c r="U22" s="775">
        <f>H22</f>
        <v>100</v>
      </c>
      <c r="V22" s="774" t="s">
        <v>17</v>
      </c>
      <c r="W22" s="775">
        <f>J22</f>
        <v>100</v>
      </c>
      <c r="X22" s="1809"/>
      <c r="Y22" s="3168"/>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8"/>
      <c r="Q23" s="1806">
        <f>B23</f>
        <v>111</v>
      </c>
      <c r="R23" s="774" t="s">
        <v>17</v>
      </c>
      <c r="S23" s="775">
        <f>F23</f>
        <v>100</v>
      </c>
      <c r="T23" s="774" t="s">
        <v>17</v>
      </c>
      <c r="U23" s="775">
        <f>H23</f>
        <v>100</v>
      </c>
      <c r="V23" s="774" t="s">
        <v>17</v>
      </c>
      <c r="W23" s="775">
        <f>J23</f>
        <v>100</v>
      </c>
      <c r="X23" s="1809"/>
      <c r="Y23" s="3168"/>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8"/>
      <c r="Q24" s="1806">
        <f t="shared" ref="Q24:Q36" si="11">B24</f>
        <v>111</v>
      </c>
      <c r="R24" s="774" t="s">
        <v>17</v>
      </c>
      <c r="S24" s="775">
        <f>F24</f>
        <v>100</v>
      </c>
      <c r="T24" s="774" t="s">
        <v>17</v>
      </c>
      <c r="U24" s="775">
        <f>H24</f>
        <v>100</v>
      </c>
      <c r="V24" s="774" t="s">
        <v>17</v>
      </c>
      <c r="W24" s="775">
        <f>J24</f>
        <v>100</v>
      </c>
      <c r="X24" s="1809"/>
      <c r="Y24" s="3168"/>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8"/>
      <c r="Q25" s="1791">
        <f t="shared" si="11"/>
        <v>111</v>
      </c>
      <c r="R25" s="770" t="s">
        <v>17</v>
      </c>
      <c r="S25" s="771">
        <f>F25</f>
        <v>100</v>
      </c>
      <c r="T25" s="770" t="s">
        <v>17</v>
      </c>
      <c r="U25" s="771">
        <f>H25</f>
        <v>100</v>
      </c>
      <c r="V25" s="770" t="s">
        <v>17</v>
      </c>
      <c r="W25" s="771">
        <f>J25</f>
        <v>100</v>
      </c>
      <c r="X25" s="772"/>
      <c r="Y25" s="3168"/>
      <c r="Z25" s="55">
        <f>Q25</f>
        <v>111</v>
      </c>
      <c r="AA25" s="1807">
        <f>D25/F25</f>
        <v>1</v>
      </c>
      <c r="AB25" s="1807">
        <f>D25/H25</f>
        <v>1</v>
      </c>
      <c r="AC25" s="1807">
        <f>D25/J25</f>
        <v>1</v>
      </c>
    </row>
    <row r="26" spans="1:29" ht="15">
      <c r="A26" s="652" t="s">
        <v>2569</v>
      </c>
      <c r="B26" s="70" t="s">
        <v>2718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9" t="s">
        <v>2571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170" t="s">
        <v>2571</v>
      </c>
      <c r="Z26" s="1810" t="str">
        <f t="shared" ref="Z26:Z36" si="15">Q26</f>
        <v>配套类型</v>
      </c>
      <c r="AA26" s="1807">
        <f t="shared" si="3"/>
        <v>1</v>
      </c>
      <c r="AB26" s="1807">
        <f t="shared" si="4"/>
        <v>1</v>
      </c>
      <c r="AC26" s="1807">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07">
        <f t="shared" si="3"/>
        <v>1</v>
      </c>
      <c r="AB27" s="1807">
        <f t="shared" si="4"/>
        <v>1</v>
      </c>
      <c r="AC27" s="1807">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0"/>
      <c r="Q28" s="1806" t="str">
        <f t="shared" si="11"/>
        <v>公共部分装修</v>
      </c>
      <c r="R28" s="774" t="s">
        <v>17</v>
      </c>
      <c r="S28" s="775">
        <f t="shared" si="12"/>
        <v>100</v>
      </c>
      <c r="T28" s="774" t="s">
        <v>17</v>
      </c>
      <c r="U28" s="775">
        <f t="shared" si="13"/>
        <v>100</v>
      </c>
      <c r="V28" s="774" t="s">
        <v>17</v>
      </c>
      <c r="W28" s="775">
        <f t="shared" si="14"/>
        <v>100</v>
      </c>
      <c r="X28" s="1809"/>
      <c r="Y28" s="3170"/>
      <c r="Z28" s="1810" t="str">
        <f t="shared" si="15"/>
        <v>公共部分装修</v>
      </c>
      <c r="AA28" s="1807">
        <f t="shared" si="3"/>
        <v>1</v>
      </c>
      <c r="AB28" s="1807">
        <f t="shared" si="4"/>
        <v>1</v>
      </c>
      <c r="AC28" s="1807">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0"/>
      <c r="Q29" s="1806" t="str">
        <f t="shared" si="11"/>
        <v>成新率</v>
      </c>
      <c r="R29" s="774" t="s">
        <v>17</v>
      </c>
      <c r="S29" s="775" t="e">
        <f t="shared" si="12"/>
        <v>#N/A</v>
      </c>
      <c r="T29" s="774" t="s">
        <v>17</v>
      </c>
      <c r="U29" s="775" t="e">
        <f t="shared" si="13"/>
        <v>#N/A</v>
      </c>
      <c r="V29" s="774" t="s">
        <v>17</v>
      </c>
      <c r="W29" s="775" t="e">
        <f t="shared" si="14"/>
        <v>#N/A</v>
      </c>
      <c r="X29" s="1809"/>
      <c r="Y29" s="3170"/>
      <c r="Z29" s="1810" t="str">
        <f t="shared" si="15"/>
        <v>成新率</v>
      </c>
      <c r="AA29" s="1807" t="e">
        <f t="shared" si="3"/>
        <v>#N/A</v>
      </c>
      <c r="AB29" s="1807" t="e">
        <f t="shared" si="4"/>
        <v>#N/A</v>
      </c>
      <c r="AC29" s="1807"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0"/>
      <c r="Q30" s="1806" t="str">
        <f t="shared" si="11"/>
        <v>物业等级</v>
      </c>
      <c r="R30" s="774" t="s">
        <v>17</v>
      </c>
      <c r="S30" s="775">
        <f t="shared" si="12"/>
        <v>100</v>
      </c>
      <c r="T30" s="774" t="s">
        <v>17</v>
      </c>
      <c r="U30" s="775">
        <f t="shared" si="13"/>
        <v>100</v>
      </c>
      <c r="V30" s="774" t="s">
        <v>17</v>
      </c>
      <c r="W30" s="775">
        <f t="shared" si="14"/>
        <v>100</v>
      </c>
      <c r="X30" s="1809"/>
      <c r="Y30" s="3170"/>
      <c r="Z30" s="1810" t="str">
        <f t="shared" si="15"/>
        <v>物业等级</v>
      </c>
      <c r="AA30" s="1807">
        <f t="shared" si="3"/>
        <v>1</v>
      </c>
      <c r="AB30" s="1807">
        <f t="shared" si="4"/>
        <v>1</v>
      </c>
      <c r="AC30" s="1807">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0"/>
      <c r="Q31" s="1791"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0" t="s">
        <v>2571</v>
      </c>
      <c r="Q32" s="1806" t="str">
        <f t="shared" si="11"/>
        <v>车位类型</v>
      </c>
      <c r="R32" s="774" t="s">
        <v>17</v>
      </c>
      <c r="S32" s="775">
        <f t="shared" si="12"/>
        <v>100</v>
      </c>
      <c r="T32" s="774" t="s">
        <v>17</v>
      </c>
      <c r="U32" s="775">
        <f t="shared" si="13"/>
        <v>100</v>
      </c>
      <c r="V32" s="774" t="s">
        <v>17</v>
      </c>
      <c r="W32" s="775">
        <f t="shared" si="14"/>
        <v>100</v>
      </c>
      <c r="X32" s="1809"/>
      <c r="Y32" s="3170" t="s">
        <v>2571</v>
      </c>
      <c r="Z32" s="1810" t="str">
        <f t="shared" si="15"/>
        <v>车位类型</v>
      </c>
      <c r="AA32" s="1807">
        <f t="shared" si="3"/>
        <v>1</v>
      </c>
      <c r="AB32" s="1807">
        <f t="shared" si="4"/>
        <v>1</v>
      </c>
      <c r="AC32" s="1807">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0"/>
      <c r="Q33" s="1806" t="str">
        <f t="shared" si="11"/>
        <v>是否直接入户</v>
      </c>
      <c r="R33" s="774" t="s">
        <v>17</v>
      </c>
      <c r="S33" s="775">
        <f t="shared" si="12"/>
        <v>100</v>
      </c>
      <c r="T33" s="774" t="s">
        <v>17</v>
      </c>
      <c r="U33" s="775">
        <f t="shared" si="13"/>
        <v>100</v>
      </c>
      <c r="V33" s="774" t="s">
        <v>17</v>
      </c>
      <c r="W33" s="775">
        <f t="shared" si="14"/>
        <v>100</v>
      </c>
      <c r="X33" s="1809"/>
      <c r="Y33" s="3170"/>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0"/>
      <c r="Q34" s="1806">
        <f t="shared" si="11"/>
        <v>111</v>
      </c>
      <c r="R34" s="774" t="s">
        <v>17</v>
      </c>
      <c r="S34" s="775">
        <f t="shared" si="12"/>
        <v>100</v>
      </c>
      <c r="T34" s="774" t="s">
        <v>17</v>
      </c>
      <c r="U34" s="775">
        <f t="shared" si="13"/>
        <v>100</v>
      </c>
      <c r="V34" s="774" t="s">
        <v>17</v>
      </c>
      <c r="W34" s="775">
        <f t="shared" si="14"/>
        <v>100</v>
      </c>
      <c r="X34" s="1809"/>
      <c r="Y34" s="3170"/>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0"/>
      <c r="Q36" s="1806">
        <f t="shared" si="11"/>
        <v>111</v>
      </c>
      <c r="R36" s="774" t="s">
        <v>17</v>
      </c>
      <c r="S36" s="775">
        <f t="shared" si="12"/>
        <v>100</v>
      </c>
      <c r="T36" s="774" t="s">
        <v>17</v>
      </c>
      <c r="U36" s="775">
        <f t="shared" si="13"/>
        <v>100</v>
      </c>
      <c r="V36" s="774" t="s">
        <v>17</v>
      </c>
      <c r="W36" s="775">
        <f t="shared" si="14"/>
        <v>100</v>
      </c>
      <c r="X36" s="1809"/>
      <c r="Y36" s="3170"/>
      <c r="Z36" s="1810">
        <f t="shared" si="15"/>
        <v>111</v>
      </c>
      <c r="AA36" s="1807">
        <f t="shared" si="3"/>
        <v>1</v>
      </c>
      <c r="AB36" s="1807">
        <f t="shared" si="4"/>
        <v>1</v>
      </c>
      <c r="AC36" s="1807">
        <f t="shared" si="5"/>
        <v>1</v>
      </c>
    </row>
    <row r="37" spans="1:29" ht="15">
      <c r="A37" s="479" t="s">
        <v>2726</v>
      </c>
      <c r="B37" s="2689" t="s">
        <v>2727</v>
      </c>
      <c r="C37" s="1406" t="s">
        <v>1</v>
      </c>
      <c r="D37" s="1407"/>
      <c r="E37" s="1408"/>
      <c r="F37" s="1409"/>
      <c r="G37" s="1410"/>
      <c r="H37" s="1411"/>
      <c r="I37" s="1408"/>
      <c r="J37" s="1411"/>
      <c r="K37" s="619"/>
      <c r="L37" s="1143"/>
      <c r="M37" s="1144"/>
      <c r="N37" s="1131"/>
      <c r="O37" s="1144"/>
      <c r="P37" s="3165" t="str">
        <f>A37</f>
        <v>成交单价</v>
      </c>
      <c r="Q37" s="3165"/>
      <c r="R37" s="3229">
        <f>E37</f>
        <v>0</v>
      </c>
      <c r="S37" s="3229"/>
      <c r="T37" s="3229">
        <f>G37</f>
        <v>0</v>
      </c>
      <c r="U37" s="3229"/>
      <c r="V37" s="3229">
        <f>I37</f>
        <v>0</v>
      </c>
      <c r="W37" s="3229"/>
      <c r="X37" s="759"/>
      <c r="Y37" s="781"/>
      <c r="Z37" s="759"/>
      <c r="AA37" s="759"/>
      <c r="AB37" s="759"/>
      <c r="AC37" s="759"/>
    </row>
    <row r="38" spans="1:29" ht="15.75" thickBot="1">
      <c r="A38" s="486" t="s">
        <v>2728</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65" t="str">
        <f>A38</f>
        <v>比较价值（元/平方米）</v>
      </c>
      <c r="Q38" s="3165"/>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2729</v>
      </c>
      <c r="B39" s="493"/>
      <c r="C39" s="1416" t="e">
        <f>R39</f>
        <v>#DIV/0!</v>
      </c>
      <c r="D39" s="1416"/>
      <c r="E39" s="1416"/>
      <c r="F39" s="1416"/>
      <c r="G39" s="1416"/>
      <c r="H39" s="1416"/>
      <c r="I39" s="1416"/>
      <c r="J39" s="1416"/>
      <c r="K39" s="621"/>
      <c r="L39" s="1143"/>
      <c r="M39" s="1144"/>
      <c r="N39" s="1144"/>
      <c r="O39" s="1144"/>
      <c r="P39" s="3159" t="str">
        <f>A39</f>
        <v>估价对象XX用房的比较价值（楼面单价，元/平方米）</v>
      </c>
      <c r="Q39" s="3160"/>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8"/>
      <c r="L40" s="1109"/>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8"/>
      <c r="L41" s="1109"/>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8"/>
      <c r="L46" s="1109"/>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2733</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2734</v>
      </c>
      <c r="B48" s="506"/>
      <c r="C48" s="1573" t="str">
        <f>YEAR(C7)&amp;"-"&amp;MONTH(C7)</f>
        <v>2018-11</v>
      </c>
      <c r="D48" s="1574">
        <f>EDATE(C48,-1)</f>
        <v>43374</v>
      </c>
      <c r="E48" s="1574">
        <f t="shared" ref="E48:O48" si="16">EDATE(D48,-1)</f>
        <v>43344</v>
      </c>
      <c r="F48" s="1574">
        <f t="shared" si="16"/>
        <v>43313</v>
      </c>
      <c r="G48" s="1574">
        <f t="shared" si="16"/>
        <v>43282</v>
      </c>
      <c r="H48" s="1574">
        <f t="shared" si="16"/>
        <v>43252</v>
      </c>
      <c r="I48" s="1574">
        <f t="shared" si="16"/>
        <v>43221</v>
      </c>
      <c r="J48" s="1574">
        <f t="shared" si="16"/>
        <v>43191</v>
      </c>
      <c r="K48" s="1574">
        <f t="shared" si="16"/>
        <v>43160</v>
      </c>
      <c r="L48" s="1574">
        <f t="shared" si="16"/>
        <v>43132</v>
      </c>
      <c r="M48" s="1574">
        <f t="shared" si="16"/>
        <v>43101</v>
      </c>
      <c r="N48" s="1574">
        <f t="shared" si="16"/>
        <v>43070</v>
      </c>
      <c r="O48" s="1574">
        <f t="shared" si="16"/>
        <v>43040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2591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2556</v>
      </c>
      <c r="B51" s="510"/>
      <c r="C51" s="522" t="s">
        <v>2658</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2594</v>
      </c>
      <c r="B53" s="528" t="s">
        <v>2560</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2609</v>
      </c>
      <c r="C65" s="578" t="s">
        <v>2603</v>
      </c>
      <c r="D65" s="578" t="s">
        <v>2604</v>
      </c>
      <c r="E65" s="578" t="s">
        <v>2605</v>
      </c>
      <c r="F65" s="578" t="s">
        <v>2606</v>
      </c>
      <c r="G65" s="578" t="s">
        <v>2607</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2695</v>
      </c>
      <c r="C67" s="660" t="s">
        <v>2681</v>
      </c>
      <c r="D67" s="660" t="s">
        <v>2682</v>
      </c>
      <c r="E67" s="660" t="s">
        <v>2683</v>
      </c>
      <c r="F67" s="660" t="s">
        <v>2684</v>
      </c>
      <c r="G67" s="660" t="s">
        <v>2685</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2615</v>
      </c>
      <c r="C69" s="578" t="s">
        <v>2603</v>
      </c>
      <c r="D69" s="578" t="s">
        <v>2604</v>
      </c>
      <c r="E69" s="578" t="s">
        <v>2605</v>
      </c>
      <c r="F69" s="578" t="s">
        <v>2606</v>
      </c>
      <c r="G69" s="578" t="s">
        <v>2607</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2735</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2569</v>
      </c>
      <c r="B79" s="528" t="s">
        <v>2736</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2737</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2622</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2739</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2741</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2742</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2713</v>
      </c>
      <c r="B1" s="1618"/>
      <c r="C1" s="1619" t="s">
        <v>2536</v>
      </c>
      <c r="D1" s="1620"/>
      <c r="E1" s="1629"/>
      <c r="F1" s="2578"/>
      <c r="G1" s="1630" t="s">
        <v>2649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2333</v>
      </c>
      <c r="B2" s="1417" t="e">
        <f ca="1">IF(C2="——",ROUND(C37*D3/10000,0),ROUND(C37*D3/10000,0)-D2)</f>
        <v>#DIV/0!</v>
      </c>
      <c r="C2" s="2580"/>
      <c r="D2" s="1124" t="e">
        <f ca="1">SUMIF(INDIRECT("'"&amp;F2&amp;"'"&amp;"!A:A"),"承租人权益价值",INDIRECT("'"&amp;F2&amp;"'"&amp;"!c:c"))</f>
        <v>#REF!</v>
      </c>
      <c r="E2" s="2581" t="s">
        <v>2334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2651</v>
      </c>
      <c r="B4" s="402"/>
      <c r="C4" s="3162" t="s">
        <v>2652</v>
      </c>
      <c r="D4" s="3175"/>
      <c r="E4" s="3176" t="s">
        <v>2653</v>
      </c>
      <c r="F4" s="3177"/>
      <c r="G4" s="3162" t="s">
        <v>2654</v>
      </c>
      <c r="H4" s="3175"/>
      <c r="I4" s="3162" t="s">
        <v>2655</v>
      </c>
      <c r="J4" s="3175"/>
      <c r="K4" s="610" t="s">
        <v>2656</v>
      </c>
      <c r="L4" s="1130"/>
      <c r="M4" s="1131"/>
      <c r="N4" s="1131"/>
      <c r="O4" s="1131"/>
      <c r="P4" s="3178" t="s">
        <v>2657</v>
      </c>
      <c r="Q4" s="3179"/>
      <c r="R4" s="3184" t="s">
        <v>2653</v>
      </c>
      <c r="S4" s="3185"/>
      <c r="T4" s="3184" t="s">
        <v>2654</v>
      </c>
      <c r="U4" s="3185"/>
      <c r="V4" s="3171" t="s">
        <v>2655</v>
      </c>
      <c r="W4" s="3171"/>
      <c r="X4" s="1809"/>
      <c r="Y4" s="3184" t="s">
        <v>2657</v>
      </c>
      <c r="Z4" s="3185"/>
      <c r="AA4" s="3172" t="s">
        <v>2653</v>
      </c>
      <c r="AB4" s="3173" t="s">
        <v>2654</v>
      </c>
      <c r="AC4" s="3172" t="s">
        <v>2655</v>
      </c>
    </row>
    <row r="5" spans="1:29" ht="15">
      <c r="A5" s="404"/>
      <c r="B5" s="405"/>
      <c r="C5" s="3192" t="s">
        <v>2548</v>
      </c>
      <c r="D5" s="3193"/>
      <c r="E5" s="3199" t="s">
        <v>2549</v>
      </c>
      <c r="F5" s="3200"/>
      <c r="G5" s="3192" t="s">
        <v>2550</v>
      </c>
      <c r="H5" s="3193"/>
      <c r="I5" s="3192" t="s">
        <v>2551</v>
      </c>
      <c r="J5" s="3193"/>
      <c r="K5" s="610"/>
      <c r="L5" s="1130"/>
      <c r="M5" s="1131"/>
      <c r="N5" s="1131"/>
      <c r="O5" s="1131"/>
      <c r="P5" s="3180"/>
      <c r="Q5" s="3181"/>
      <c r="R5" s="3186"/>
      <c r="S5" s="3187"/>
      <c r="T5" s="3186"/>
      <c r="U5" s="3187"/>
      <c r="V5" s="3171"/>
      <c r="W5" s="3171"/>
      <c r="X5" s="1809"/>
      <c r="Y5" s="3186"/>
      <c r="Z5" s="3187"/>
      <c r="AA5" s="3173"/>
      <c r="AB5" s="3173"/>
      <c r="AC5" s="3173"/>
    </row>
    <row r="6" spans="1:29" ht="15.75" thickBot="1">
      <c r="A6" s="406"/>
      <c r="B6" s="407"/>
      <c r="C6" s="3190" t="s">
        <v>2552</v>
      </c>
      <c r="D6" s="3191"/>
      <c r="E6" s="3197" t="s">
        <v>2552</v>
      </c>
      <c r="F6" s="3198"/>
      <c r="G6" s="3190" t="s">
        <v>2552</v>
      </c>
      <c r="H6" s="3191"/>
      <c r="I6" s="3190" t="s">
        <v>2552</v>
      </c>
      <c r="J6" s="3191"/>
      <c r="K6" s="610" t="s">
        <v>2553</v>
      </c>
      <c r="L6" s="1130"/>
      <c r="M6" s="1131"/>
      <c r="N6" s="1131"/>
      <c r="O6" s="1131"/>
      <c r="P6" s="3182"/>
      <c r="Q6" s="3183"/>
      <c r="R6" s="3186"/>
      <c r="S6" s="3187"/>
      <c r="T6" s="3188"/>
      <c r="U6" s="3189"/>
      <c r="V6" s="3171"/>
      <c r="W6" s="3171"/>
      <c r="X6" s="1809"/>
      <c r="Y6" s="3188"/>
      <c r="Z6" s="3189"/>
      <c r="AA6" s="3174"/>
      <c r="AB6" s="3174"/>
      <c r="AC6" s="3174"/>
    </row>
    <row r="7" spans="1:29" s="117" customFormat="1" ht="15.75" thickBot="1">
      <c r="A7" s="408" t="s">
        <v>2554</v>
      </c>
      <c r="B7" s="409"/>
      <c r="C7" s="410">
        <f>'数据-取费表'!B2</f>
        <v>43417</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4" t="s">
        <v>2555</v>
      </c>
      <c r="Q7" s="3196"/>
      <c r="R7" s="770" t="s">
        <v>17</v>
      </c>
      <c r="S7" s="771">
        <f t="shared" ref="S7:S14" si="0">F7</f>
        <v>0</v>
      </c>
      <c r="T7" s="770" t="s">
        <v>17</v>
      </c>
      <c r="U7" s="771">
        <f t="shared" ref="U7:U14" si="1">H7</f>
        <v>0</v>
      </c>
      <c r="V7" s="770" t="s">
        <v>17</v>
      </c>
      <c r="W7" s="771">
        <f t="shared" ref="W7:W14" si="2">J7</f>
        <v>0</v>
      </c>
      <c r="X7" s="772"/>
      <c r="Y7" s="3194" t="s">
        <v>2555</v>
      </c>
      <c r="Z7" s="3195"/>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4" t="s">
        <v>2558</v>
      </c>
      <c r="Q8" s="3195"/>
      <c r="R8" s="770" t="s">
        <v>17</v>
      </c>
      <c r="S8" s="771">
        <f t="shared" si="0"/>
        <v>0</v>
      </c>
      <c r="T8" s="770" t="s">
        <v>17</v>
      </c>
      <c r="U8" s="771">
        <f t="shared" si="1"/>
        <v>0</v>
      </c>
      <c r="V8" s="770" t="s">
        <v>17</v>
      </c>
      <c r="W8" s="771">
        <f t="shared" si="2"/>
        <v>0</v>
      </c>
      <c r="X8" s="772"/>
      <c r="Y8" s="3194" t="s">
        <v>2558</v>
      </c>
      <c r="Z8" s="3195"/>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5" t="s">
        <v>2561</v>
      </c>
      <c r="Q9" s="1791" t="str">
        <f t="shared" ref="Q9:Q14" si="6">B9</f>
        <v>用途</v>
      </c>
      <c r="R9" s="770" t="s">
        <v>17</v>
      </c>
      <c r="S9" s="771">
        <f t="shared" si="0"/>
        <v>100</v>
      </c>
      <c r="T9" s="770" t="s">
        <v>17</v>
      </c>
      <c r="U9" s="771">
        <f t="shared" si="1"/>
        <v>100</v>
      </c>
      <c r="V9" s="770" t="s">
        <v>17</v>
      </c>
      <c r="W9" s="771">
        <f t="shared" si="2"/>
        <v>100</v>
      </c>
      <c r="X9" s="772"/>
      <c r="Y9" s="3013"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5"/>
      <c r="Q10" s="1791"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5"/>
      <c r="Q11" s="1791">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5"/>
      <c r="Q12" s="1791">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65"/>
      <c r="Q13" s="1791">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2565</v>
      </c>
      <c r="B14" s="69" t="s">
        <v>2715</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7" t="s">
        <v>2566</v>
      </c>
      <c r="Q14" s="1806" t="str">
        <f t="shared" si="6"/>
        <v>交通便捷度</v>
      </c>
      <c r="R14" s="774" t="s">
        <v>17</v>
      </c>
      <c r="S14" s="775">
        <f t="shared" si="0"/>
        <v>100</v>
      </c>
      <c r="T14" s="774" t="s">
        <v>17</v>
      </c>
      <c r="U14" s="775">
        <f t="shared" si="1"/>
        <v>100</v>
      </c>
      <c r="V14" s="774" t="s">
        <v>17</v>
      </c>
      <c r="W14" s="775">
        <f t="shared" si="2"/>
        <v>100</v>
      </c>
      <c r="X14" s="1809"/>
      <c r="Y14" s="3167" t="s">
        <v>2566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0"/>
      <c r="M15" s="1131"/>
      <c r="N15" s="1131"/>
      <c r="O15" s="1139"/>
      <c r="P15" s="3168"/>
      <c r="Q15" s="1806"/>
      <c r="R15" s="774"/>
      <c r="S15" s="775"/>
      <c r="T15" s="774"/>
      <c r="U15" s="775"/>
      <c r="V15" s="774"/>
      <c r="W15" s="775"/>
      <c r="X15" s="1809"/>
      <c r="Y15" s="3168"/>
      <c r="Z15" s="1810"/>
      <c r="AA15" s="1807">
        <v>1</v>
      </c>
      <c r="AB15" s="1807">
        <v>1</v>
      </c>
      <c r="AC15" s="1807">
        <v>1</v>
      </c>
    </row>
    <row r="16" spans="1:29" ht="42.75">
      <c r="A16" s="428"/>
      <c r="B16" s="451" t="s">
        <v>2694</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8"/>
      <c r="Q16" s="1806" t="str">
        <f>B16</f>
        <v>公共配套设施</v>
      </c>
      <c r="R16" s="774" t="s">
        <v>17</v>
      </c>
      <c r="S16" s="775">
        <f>F16</f>
        <v>100</v>
      </c>
      <c r="T16" s="774" t="s">
        <v>17</v>
      </c>
      <c r="U16" s="775">
        <f>H16</f>
        <v>100</v>
      </c>
      <c r="V16" s="774" t="s">
        <v>17</v>
      </c>
      <c r="W16" s="775">
        <f>J16</f>
        <v>100</v>
      </c>
      <c r="X16" s="1809"/>
      <c r="Y16" s="3168"/>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40"/>
      <c r="M17" s="1131"/>
      <c r="N17" s="1131"/>
      <c r="O17" s="1139"/>
      <c r="P17" s="3168"/>
      <c r="Q17" s="1806"/>
      <c r="R17" s="774"/>
      <c r="S17" s="775"/>
      <c r="T17" s="774"/>
      <c r="U17" s="775"/>
      <c r="V17" s="774"/>
      <c r="W17" s="775"/>
      <c r="X17" s="1809"/>
      <c r="Y17" s="3168"/>
      <c r="Z17" s="1810"/>
      <c r="AA17" s="1807">
        <v>1</v>
      </c>
      <c r="AB17" s="1807">
        <v>1</v>
      </c>
      <c r="AC17" s="1807">
        <v>1</v>
      </c>
    </row>
    <row r="18" spans="1:29" ht="28.5">
      <c r="A18" s="428"/>
      <c r="B18" s="1383" t="s">
        <v>2695</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8"/>
      <c r="Q18" s="1806" t="str">
        <f>B18</f>
        <v>基础设施水平</v>
      </c>
      <c r="R18" s="774" t="s">
        <v>17</v>
      </c>
      <c r="S18" s="775">
        <f>F18</f>
        <v>100</v>
      </c>
      <c r="T18" s="774" t="s">
        <v>17</v>
      </c>
      <c r="U18" s="775">
        <f>H18</f>
        <v>100</v>
      </c>
      <c r="V18" s="774" t="s">
        <v>17</v>
      </c>
      <c r="W18" s="775">
        <f>J18</f>
        <v>100</v>
      </c>
      <c r="X18" s="1809"/>
      <c r="Y18" s="3168"/>
      <c r="Z18" s="1810" t="str">
        <f>Q18</f>
        <v>基础设施水平</v>
      </c>
      <c r="AA18" s="1807">
        <f t="shared" ref="AA18" si="8">D18/F18</f>
        <v>1</v>
      </c>
      <c r="AB18" s="1807">
        <f t="shared" ref="AB18" si="9">D18/H18</f>
        <v>1</v>
      </c>
      <c r="AC18" s="1807">
        <f t="shared" ref="AC18" si="10">D18/J18</f>
        <v>1</v>
      </c>
    </row>
    <row r="19" spans="1:29" ht="15">
      <c r="A19" s="428"/>
      <c r="B19" s="1383"/>
      <c r="C19" s="2602"/>
      <c r="D19" s="450"/>
      <c r="E19" s="2602"/>
      <c r="F19" s="453"/>
      <c r="G19" s="2602"/>
      <c r="H19" s="448"/>
      <c r="I19" s="447"/>
      <c r="J19" s="448"/>
      <c r="K19" s="1382"/>
      <c r="L19" s="1140"/>
      <c r="M19" s="1131"/>
      <c r="N19" s="1131"/>
      <c r="O19" s="1139"/>
      <c r="P19" s="3168"/>
      <c r="Q19" s="1806"/>
      <c r="R19" s="774"/>
      <c r="S19" s="775"/>
      <c r="T19" s="774"/>
      <c r="U19" s="775"/>
      <c r="V19" s="774"/>
      <c r="W19" s="775"/>
      <c r="X19" s="1809"/>
      <c r="Y19" s="3168"/>
      <c r="Z19" s="1810"/>
      <c r="AA19" s="1807">
        <v>1</v>
      </c>
      <c r="AB19" s="1807">
        <v>1</v>
      </c>
      <c r="AC19" s="1807">
        <v>1</v>
      </c>
    </row>
    <row r="20" spans="1:29" ht="57">
      <c r="A20" s="428"/>
      <c r="B20" s="451" t="s">
        <v>2716</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8"/>
      <c r="Q20" s="1806" t="str">
        <f>B20</f>
        <v>自然及人文环境</v>
      </c>
      <c r="R20" s="774" t="s">
        <v>17</v>
      </c>
      <c r="S20" s="775">
        <f>F20</f>
        <v>100</v>
      </c>
      <c r="T20" s="774" t="s">
        <v>17</v>
      </c>
      <c r="U20" s="775">
        <f>H20</f>
        <v>100</v>
      </c>
      <c r="V20" s="774" t="s">
        <v>17</v>
      </c>
      <c r="W20" s="775">
        <f>J20</f>
        <v>100</v>
      </c>
      <c r="X20" s="1809"/>
      <c r="Y20" s="3168"/>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0"/>
      <c r="M21" s="1131"/>
      <c r="N21" s="1131"/>
      <c r="O21" s="1139"/>
      <c r="P21" s="3168"/>
      <c r="Q21" s="1806"/>
      <c r="R21" s="774"/>
      <c r="S21" s="775"/>
      <c r="T21" s="774"/>
      <c r="U21" s="775"/>
      <c r="V21" s="774"/>
      <c r="W21" s="775"/>
      <c r="X21" s="1809"/>
      <c r="Y21" s="3168"/>
      <c r="Z21" s="1810"/>
      <c r="AA21" s="1807">
        <v>1</v>
      </c>
      <c r="AB21" s="1807">
        <v>1</v>
      </c>
      <c r="AC21" s="1807">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8"/>
      <c r="Q22" s="1806" t="str">
        <f>B22</f>
        <v>楼层</v>
      </c>
      <c r="R22" s="774" t="s">
        <v>17</v>
      </c>
      <c r="S22" s="775">
        <f>F22</f>
        <v>100</v>
      </c>
      <c r="T22" s="774" t="s">
        <v>17</v>
      </c>
      <c r="U22" s="775">
        <f>H22</f>
        <v>100</v>
      </c>
      <c r="V22" s="774" t="s">
        <v>17</v>
      </c>
      <c r="W22" s="775">
        <f>J22</f>
        <v>100</v>
      </c>
      <c r="X22" s="1809"/>
      <c r="Y22" s="3168"/>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8"/>
      <c r="Q23" s="1806">
        <f>B23</f>
        <v>111</v>
      </c>
      <c r="R23" s="774" t="s">
        <v>17</v>
      </c>
      <c r="S23" s="775">
        <f>F23</f>
        <v>100</v>
      </c>
      <c r="T23" s="774" t="s">
        <v>17</v>
      </c>
      <c r="U23" s="775">
        <f>H23</f>
        <v>100</v>
      </c>
      <c r="V23" s="774" t="s">
        <v>17</v>
      </c>
      <c r="W23" s="775">
        <f>J23</f>
        <v>100</v>
      </c>
      <c r="X23" s="1809"/>
      <c r="Y23" s="3168"/>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8"/>
      <c r="Q24" s="1806">
        <f t="shared" ref="Q24:Q34" si="11">B24</f>
        <v>111</v>
      </c>
      <c r="R24" s="774" t="s">
        <v>17</v>
      </c>
      <c r="S24" s="775">
        <f>F24</f>
        <v>100</v>
      </c>
      <c r="T24" s="774" t="s">
        <v>17</v>
      </c>
      <c r="U24" s="775">
        <f>H24</f>
        <v>100</v>
      </c>
      <c r="V24" s="774" t="s">
        <v>17</v>
      </c>
      <c r="W24" s="775">
        <f>J24</f>
        <v>100</v>
      </c>
      <c r="X24" s="1809"/>
      <c r="Y24" s="3168"/>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68"/>
      <c r="Q25" s="1791">
        <f t="shared" si="11"/>
        <v>111</v>
      </c>
      <c r="R25" s="770" t="s">
        <v>17</v>
      </c>
      <c r="S25" s="771">
        <f>F25</f>
        <v>100</v>
      </c>
      <c r="T25" s="770" t="s">
        <v>17</v>
      </c>
      <c r="U25" s="771">
        <f>H25</f>
        <v>100</v>
      </c>
      <c r="V25" s="770" t="s">
        <v>17</v>
      </c>
      <c r="W25" s="771">
        <f>J25</f>
        <v>100</v>
      </c>
      <c r="X25" s="772"/>
      <c r="Y25" s="3168"/>
      <c r="Z25" s="55">
        <f>Q25</f>
        <v>111</v>
      </c>
      <c r="AA25" s="1807">
        <f>D25/F25</f>
        <v>1</v>
      </c>
      <c r="AB25" s="1807">
        <f>D25/H25</f>
        <v>1</v>
      </c>
      <c r="AC25" s="1807">
        <f>D25/J25</f>
        <v>1</v>
      </c>
    </row>
    <row r="26" spans="1:29" ht="15">
      <c r="A26" s="466" t="s">
        <v>2569</v>
      </c>
      <c r="B26" s="71" t="s">
        <v>2720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169" t="s">
        <v>2571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170" t="s">
        <v>2571</v>
      </c>
      <c r="Z26" s="1810" t="str">
        <f t="shared" ref="Z26:Z34" si="15">Q26</f>
        <v>公共部分装修</v>
      </c>
      <c r="AA26" s="1807">
        <f t="shared" si="3"/>
        <v>1</v>
      </c>
      <c r="AB26" s="1807">
        <f t="shared" si="4"/>
        <v>1</v>
      </c>
      <c r="AC26" s="1807">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07" t="e">
        <f t="shared" si="3"/>
        <v>#N/A</v>
      </c>
      <c r="AB27" s="1807" t="e">
        <f t="shared" si="4"/>
        <v>#N/A</v>
      </c>
      <c r="AC27" s="1807"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0"/>
      <c r="Q28" s="1806" t="str">
        <f t="shared" si="11"/>
        <v>物业等级</v>
      </c>
      <c r="R28" s="774" t="s">
        <v>17</v>
      </c>
      <c r="S28" s="775">
        <f t="shared" si="12"/>
        <v>100</v>
      </c>
      <c r="T28" s="774" t="s">
        <v>17</v>
      </c>
      <c r="U28" s="775">
        <f t="shared" si="13"/>
        <v>100</v>
      </c>
      <c r="V28" s="774" t="s">
        <v>17</v>
      </c>
      <c r="W28" s="775">
        <f t="shared" si="14"/>
        <v>100</v>
      </c>
      <c r="X28" s="1809"/>
      <c r="Y28" s="3170"/>
      <c r="Z28" s="1810" t="str">
        <f t="shared" si="15"/>
        <v>物业等级</v>
      </c>
      <c r="AA28" s="1807">
        <f t="shared" si="3"/>
        <v>1</v>
      </c>
      <c r="AB28" s="1807">
        <f t="shared" si="4"/>
        <v>1</v>
      </c>
      <c r="AC28" s="1807">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0"/>
      <c r="Q29" s="1806" t="str">
        <f t="shared" si="11"/>
        <v>有无电梯</v>
      </c>
      <c r="R29" s="774" t="s">
        <v>17</v>
      </c>
      <c r="S29" s="775">
        <f t="shared" si="12"/>
        <v>100</v>
      </c>
      <c r="T29" s="774" t="s">
        <v>17</v>
      </c>
      <c r="U29" s="775">
        <f t="shared" si="13"/>
        <v>100</v>
      </c>
      <c r="V29" s="774" t="s">
        <v>17</v>
      </c>
      <c r="W29" s="775">
        <f t="shared" si="14"/>
        <v>100</v>
      </c>
      <c r="X29" s="1809"/>
      <c r="Y29" s="3170"/>
      <c r="Z29" s="1810" t="str">
        <f t="shared" si="15"/>
        <v>有无电梯</v>
      </c>
      <c r="AA29" s="1807">
        <f t="shared" si="3"/>
        <v>1</v>
      </c>
      <c r="AB29" s="1807">
        <f t="shared" si="4"/>
        <v>1</v>
      </c>
      <c r="AC29" s="1807">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0"/>
      <c r="Q30" s="1806" t="str">
        <f t="shared" si="11"/>
        <v>建筑面积</v>
      </c>
      <c r="R30" s="774" t="s">
        <v>17</v>
      </c>
      <c r="S30" s="775" t="e">
        <f t="shared" si="12"/>
        <v>#N/A</v>
      </c>
      <c r="T30" s="774" t="s">
        <v>17</v>
      </c>
      <c r="U30" s="775" t="e">
        <f t="shared" si="13"/>
        <v>#N/A</v>
      </c>
      <c r="V30" s="774" t="s">
        <v>17</v>
      </c>
      <c r="W30" s="775" t="e">
        <f t="shared" si="14"/>
        <v>#N/A</v>
      </c>
      <c r="X30" s="1809"/>
      <c r="Y30" s="3170"/>
      <c r="Z30" s="1810" t="str">
        <f t="shared" si="15"/>
        <v>建筑面积</v>
      </c>
      <c r="AA30" s="1807" t="e">
        <f t="shared" si="3"/>
        <v>#N/A</v>
      </c>
      <c r="AB30" s="1807" t="e">
        <f t="shared" si="4"/>
        <v>#N/A</v>
      </c>
      <c r="AC30" s="1807"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0"/>
      <c r="Q31" s="1791"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0" t="s">
        <v>2571</v>
      </c>
      <c r="Q32" s="1806">
        <f t="shared" si="11"/>
        <v>111</v>
      </c>
      <c r="R32" s="774" t="s">
        <v>17</v>
      </c>
      <c r="S32" s="775">
        <f t="shared" si="12"/>
        <v>100</v>
      </c>
      <c r="T32" s="774" t="s">
        <v>17</v>
      </c>
      <c r="U32" s="775">
        <f t="shared" si="13"/>
        <v>100</v>
      </c>
      <c r="V32" s="774" t="s">
        <v>17</v>
      </c>
      <c r="W32" s="775">
        <f t="shared" si="14"/>
        <v>100</v>
      </c>
      <c r="X32" s="1809"/>
      <c r="Y32" s="3170" t="s">
        <v>2571</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0"/>
      <c r="Q33" s="1806">
        <f t="shared" si="11"/>
        <v>111</v>
      </c>
      <c r="R33" s="774" t="s">
        <v>17</v>
      </c>
      <c r="S33" s="775">
        <f t="shared" si="12"/>
        <v>100</v>
      </c>
      <c r="T33" s="774" t="s">
        <v>17</v>
      </c>
      <c r="U33" s="775">
        <f t="shared" si="13"/>
        <v>100</v>
      </c>
      <c r="V33" s="774" t="s">
        <v>17</v>
      </c>
      <c r="W33" s="775">
        <f t="shared" si="14"/>
        <v>100</v>
      </c>
      <c r="X33" s="1809"/>
      <c r="Y33" s="3170"/>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70"/>
      <c r="Q34" s="1806">
        <f t="shared" si="11"/>
        <v>111</v>
      </c>
      <c r="R34" s="774" t="s">
        <v>17</v>
      </c>
      <c r="S34" s="775">
        <f t="shared" si="12"/>
        <v>100</v>
      </c>
      <c r="T34" s="774" t="s">
        <v>17</v>
      </c>
      <c r="U34" s="775">
        <f t="shared" si="13"/>
        <v>100</v>
      </c>
      <c r="V34" s="774" t="s">
        <v>17</v>
      </c>
      <c r="W34" s="775">
        <f t="shared" si="14"/>
        <v>100</v>
      </c>
      <c r="X34" s="1809"/>
      <c r="Y34" s="3170"/>
      <c r="Z34" s="1810">
        <f t="shared" si="15"/>
        <v>111</v>
      </c>
      <c r="AA34" s="1807">
        <f t="shared" si="3"/>
        <v>1</v>
      </c>
      <c r="AB34" s="1807">
        <f t="shared" si="4"/>
        <v>1</v>
      </c>
      <c r="AC34" s="1807">
        <f t="shared" si="5"/>
        <v>1</v>
      </c>
    </row>
    <row r="35" spans="1:29" ht="15">
      <c r="A35" s="479" t="s">
        <v>2583</v>
      </c>
      <c r="B35" s="480"/>
      <c r="C35" s="1406" t="s">
        <v>1</v>
      </c>
      <c r="D35" s="1407"/>
      <c r="E35" s="1408"/>
      <c r="F35" s="1409"/>
      <c r="G35" s="1410"/>
      <c r="H35" s="1411"/>
      <c r="I35" s="1408"/>
      <c r="J35" s="1411"/>
      <c r="K35" s="783"/>
      <c r="L35" s="1143"/>
      <c r="M35" s="1144"/>
      <c r="N35" s="1131"/>
      <c r="O35" s="1144"/>
      <c r="P35" s="3165" t="str">
        <f>A35</f>
        <v>成交单价（元/平方米）</v>
      </c>
      <c r="Q35" s="3165"/>
      <c r="R35" s="3229">
        <f>E35</f>
        <v>0</v>
      </c>
      <c r="S35" s="3229"/>
      <c r="T35" s="3229">
        <f>G35</f>
        <v>0</v>
      </c>
      <c r="U35" s="3229"/>
      <c r="V35" s="3229">
        <f>I35</f>
        <v>0</v>
      </c>
      <c r="W35" s="3229"/>
      <c r="X35" s="759"/>
      <c r="Y35" s="781"/>
      <c r="Z35" s="759"/>
      <c r="AA35" s="759"/>
      <c r="AB35" s="759"/>
      <c r="AC35" s="759"/>
    </row>
    <row r="36" spans="1:29" ht="15.75" thickBot="1">
      <c r="A36" s="486" t="s">
        <v>2675</v>
      </c>
      <c r="B36" s="487"/>
      <c r="C36" s="1412" t="e">
        <f>R37</f>
        <v>#DIV/0!</v>
      </c>
      <c r="D36" s="1413"/>
      <c r="E36" s="1414" t="e">
        <f>R36</f>
        <v>#DIV/0!</v>
      </c>
      <c r="F36" s="1414"/>
      <c r="G36" s="1412" t="e">
        <f>T36</f>
        <v>#DIV/0!</v>
      </c>
      <c r="H36" s="1413"/>
      <c r="I36" s="1414" t="e">
        <f>V36</f>
        <v>#DIV/0!</v>
      </c>
      <c r="J36" s="1413"/>
      <c r="K36" s="784"/>
      <c r="L36" s="1143"/>
      <c r="M36" s="1144"/>
      <c r="N36" s="1131"/>
      <c r="O36" s="1144"/>
      <c r="P36" s="3165" t="str">
        <f>A36</f>
        <v>比较价值（元/平方米）</v>
      </c>
      <c r="Q36" s="3165"/>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2676</v>
      </c>
      <c r="B37" s="493"/>
      <c r="C37" s="1416" t="e">
        <f>R37</f>
        <v>#DIV/0!</v>
      </c>
      <c r="D37" s="1416"/>
      <c r="E37" s="1416"/>
      <c r="F37" s="1416"/>
      <c r="G37" s="1416"/>
      <c r="H37" s="1416"/>
      <c r="I37" s="1416"/>
      <c r="J37" s="1416"/>
      <c r="K37" s="785"/>
      <c r="L37" s="1143"/>
      <c r="M37" s="1144"/>
      <c r="N37" s="1144"/>
      <c r="O37" s="1144"/>
      <c r="P37" s="3159" t="str">
        <f>A37</f>
        <v>估价对象XX用房的比较价值（楼面单价，元/平方米）</v>
      </c>
      <c r="Q37" s="3160"/>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8"/>
      <c r="L38" s="1109"/>
      <c r="M38" s="1144"/>
      <c r="N38" s="1144"/>
      <c r="O38" s="1144"/>
    </row>
    <row r="39" spans="1:29">
      <c r="A39" s="1144"/>
      <c r="B39" s="1144"/>
      <c r="C39" s="1144"/>
      <c r="D39" s="1144"/>
      <c r="E39" s="1144"/>
      <c r="F39" s="1144"/>
      <c r="G39" s="1144"/>
      <c r="H39" s="1144"/>
      <c r="I39" s="1144"/>
      <c r="J39" s="1144"/>
      <c r="K39" s="1108"/>
      <c r="L39" s="1109"/>
      <c r="M39" s="1144"/>
      <c r="N39" s="1144"/>
      <c r="O39" s="1144"/>
    </row>
    <row r="40" spans="1:29" ht="13.5" customHeight="1">
      <c r="A40" s="1144"/>
      <c r="B40" s="1144"/>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4"/>
      <c r="N40" s="1144"/>
      <c r="O40" s="1144"/>
    </row>
    <row r="41" spans="1:29" ht="13.5" customHeight="1">
      <c r="A41" s="1144"/>
      <c r="B41" s="1144"/>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4"/>
      <c r="N41" s="1144"/>
      <c r="O41" s="1144"/>
    </row>
    <row r="42" spans="1:29" s="502" customFormat="1" ht="13.5" customHeight="1">
      <c r="A42" s="1145"/>
      <c r="B42" s="1145"/>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8"/>
      <c r="L44" s="1109"/>
      <c r="M44" s="1144"/>
      <c r="N44" s="1144"/>
      <c r="O44" s="1144"/>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3" t="str">
        <f>YEAR(C7)&amp;"-"&amp;MONTH(C7)</f>
        <v>2018-11</v>
      </c>
      <c r="D46" s="1574">
        <f>EDATE(C46,-1)</f>
        <v>43374</v>
      </c>
      <c r="E46" s="1574">
        <f t="shared" ref="E46:O46" si="16">EDATE(D46,-1)</f>
        <v>43344</v>
      </c>
      <c r="F46" s="1574">
        <f t="shared" si="16"/>
        <v>43313</v>
      </c>
      <c r="G46" s="1574">
        <f t="shared" si="16"/>
        <v>43282</v>
      </c>
      <c r="H46" s="1574">
        <f t="shared" si="16"/>
        <v>43252</v>
      </c>
      <c r="I46" s="1574">
        <f t="shared" si="16"/>
        <v>43221</v>
      </c>
      <c r="J46" s="1574">
        <f t="shared" si="16"/>
        <v>43191</v>
      </c>
      <c r="K46" s="1574">
        <f t="shared" si="16"/>
        <v>43160</v>
      </c>
      <c r="L46" s="1574">
        <f t="shared" si="16"/>
        <v>43132</v>
      </c>
      <c r="M46" s="1574">
        <f t="shared" si="16"/>
        <v>43101</v>
      </c>
      <c r="N46" s="1574">
        <f t="shared" si="16"/>
        <v>43070</v>
      </c>
      <c r="O46" s="1574">
        <f t="shared" si="16"/>
        <v>43040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2594</v>
      </c>
      <c r="B51" s="528" t="s">
        <v>2560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2569</v>
      </c>
      <c r="B77" s="528" t="s">
        <v>2622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2651</v>
      </c>
      <c r="B4" s="402"/>
      <c r="C4" s="3162" t="s">
        <v>2652</v>
      </c>
      <c r="D4" s="3175"/>
      <c r="E4" s="3176" t="s">
        <v>2653</v>
      </c>
      <c r="F4" s="3177"/>
      <c r="G4" s="3162" t="s">
        <v>2654</v>
      </c>
      <c r="H4" s="3175"/>
      <c r="I4" s="3162" t="s">
        <v>2655</v>
      </c>
      <c r="J4" s="3175"/>
      <c r="K4" s="610" t="s">
        <v>2656</v>
      </c>
      <c r="L4" s="1130"/>
      <c r="M4" s="1131"/>
      <c r="N4" s="1131"/>
      <c r="O4" s="1131"/>
      <c r="P4" s="3178" t="s">
        <v>2657</v>
      </c>
      <c r="Q4" s="3179"/>
      <c r="R4" s="3184" t="s">
        <v>2653</v>
      </c>
      <c r="S4" s="3185"/>
      <c r="T4" s="3184" t="s">
        <v>2654</v>
      </c>
      <c r="U4" s="3185"/>
      <c r="V4" s="3171" t="s">
        <v>2655</v>
      </c>
      <c r="W4" s="3171"/>
      <c r="X4" s="1809"/>
      <c r="Y4" s="3184" t="s">
        <v>2657</v>
      </c>
      <c r="Z4" s="3185"/>
      <c r="AA4" s="3172" t="s">
        <v>2653</v>
      </c>
      <c r="AB4" s="3173" t="s">
        <v>2654</v>
      </c>
      <c r="AC4" s="3172" t="s">
        <v>2655</v>
      </c>
    </row>
    <row r="5" spans="1:29" ht="15">
      <c r="A5" s="404"/>
      <c r="B5" s="405"/>
      <c r="C5" s="3192" t="s">
        <v>2548</v>
      </c>
      <c r="D5" s="3193"/>
      <c r="E5" s="3199" t="s">
        <v>2549</v>
      </c>
      <c r="F5" s="3200"/>
      <c r="G5" s="3192" t="s">
        <v>2550</v>
      </c>
      <c r="H5" s="3193"/>
      <c r="I5" s="3192" t="s">
        <v>2551</v>
      </c>
      <c r="J5" s="3193"/>
      <c r="K5" s="610"/>
      <c r="L5" s="1130"/>
      <c r="M5" s="1131"/>
      <c r="N5" s="1131"/>
      <c r="O5" s="1131"/>
      <c r="P5" s="3180"/>
      <c r="Q5" s="3181"/>
      <c r="R5" s="3186"/>
      <c r="S5" s="3187"/>
      <c r="T5" s="3186"/>
      <c r="U5" s="3187"/>
      <c r="V5" s="3171"/>
      <c r="W5" s="3171"/>
      <c r="X5" s="1809"/>
      <c r="Y5" s="3186"/>
      <c r="Z5" s="3187"/>
      <c r="AA5" s="3173"/>
      <c r="AB5" s="3173"/>
      <c r="AC5" s="3173"/>
    </row>
    <row r="6" spans="1:29" ht="15.75" thickBot="1">
      <c r="A6" s="406"/>
      <c r="B6" s="407"/>
      <c r="C6" s="3251" t="s">
        <v>2803</v>
      </c>
      <c r="D6" s="3252"/>
      <c r="E6" s="3253" t="s">
        <v>2803</v>
      </c>
      <c r="F6" s="3254"/>
      <c r="G6" s="3251" t="s">
        <v>2803</v>
      </c>
      <c r="H6" s="3252"/>
      <c r="I6" s="3251" t="s">
        <v>2803</v>
      </c>
      <c r="J6" s="3252"/>
      <c r="K6" s="610" t="s">
        <v>2553</v>
      </c>
      <c r="L6" s="1130"/>
      <c r="M6" s="1131"/>
      <c r="N6" s="1131"/>
      <c r="O6" s="1131"/>
      <c r="P6" s="3182"/>
      <c r="Q6" s="3183"/>
      <c r="R6" s="3186"/>
      <c r="S6" s="3187"/>
      <c r="T6" s="3188"/>
      <c r="U6" s="3189"/>
      <c r="V6" s="3171"/>
      <c r="W6" s="3171"/>
      <c r="X6" s="1809"/>
      <c r="Y6" s="3188"/>
      <c r="Z6" s="3189"/>
      <c r="AA6" s="3174"/>
      <c r="AB6" s="3174"/>
      <c r="AC6" s="3174"/>
    </row>
    <row r="7" spans="1:29" s="117" customFormat="1" ht="15.75" thickBot="1">
      <c r="A7" s="408" t="s">
        <v>2554</v>
      </c>
      <c r="B7" s="409"/>
      <c r="C7" s="410">
        <f>'数据-取费表'!B2</f>
        <v>43417</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4" t="s">
        <v>2555</v>
      </c>
      <c r="Q7" s="3196"/>
      <c r="R7" s="770" t="s">
        <v>17</v>
      </c>
      <c r="S7" s="771">
        <f t="shared" ref="S7:S15" si="0">F7</f>
        <v>0</v>
      </c>
      <c r="T7" s="770" t="s">
        <v>17</v>
      </c>
      <c r="U7" s="771">
        <f t="shared" ref="U7:U15" si="1">H7</f>
        <v>0</v>
      </c>
      <c r="V7" s="770" t="s">
        <v>17</v>
      </c>
      <c r="W7" s="771">
        <f t="shared" ref="W7:W15" si="2">J7</f>
        <v>0</v>
      </c>
      <c r="X7" s="772"/>
      <c r="Y7" s="3194" t="s">
        <v>2555</v>
      </c>
      <c r="Z7" s="3195"/>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4" t="s">
        <v>2558</v>
      </c>
      <c r="Q8" s="3195"/>
      <c r="R8" s="770" t="s">
        <v>17</v>
      </c>
      <c r="S8" s="771">
        <f t="shared" si="0"/>
        <v>0</v>
      </c>
      <c r="T8" s="770" t="s">
        <v>17</v>
      </c>
      <c r="U8" s="771">
        <f t="shared" si="1"/>
        <v>0</v>
      </c>
      <c r="V8" s="770" t="s">
        <v>17</v>
      </c>
      <c r="W8" s="771">
        <f t="shared" si="2"/>
        <v>0</v>
      </c>
      <c r="X8" s="772"/>
      <c r="Y8" s="3194" t="s">
        <v>2558</v>
      </c>
      <c r="Z8" s="3195"/>
      <c r="AA8" s="773" t="e">
        <f t="shared" ref="AA8:AA40" si="3">D8/F8</f>
        <v>#DIV/0!</v>
      </c>
      <c r="AB8" s="773" t="e">
        <f t="shared" ref="AB8:AB40" si="4">D8/H8</f>
        <v>#DIV/0!</v>
      </c>
      <c r="AC8" s="773" t="e">
        <f t="shared" ref="AC8:AC40" si="5">D8/J8</f>
        <v>#DIV/0!</v>
      </c>
    </row>
    <row r="9" spans="1:29" s="117" customFormat="1">
      <c r="A9" s="415" t="s">
        <v>2559</v>
      </c>
      <c r="B9" s="71" t="s">
        <v>2560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65" t="s">
        <v>2561</v>
      </c>
      <c r="Q9" s="1791"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65"/>
      <c r="Q10" s="1791" t="str">
        <f t="shared" si="6"/>
        <v>土地使用年限（年）</v>
      </c>
      <c r="R10" s="770" t="s">
        <v>17</v>
      </c>
      <c r="S10" s="771">
        <f t="shared" si="0"/>
        <v>113</v>
      </c>
      <c r="T10" s="770" t="s">
        <v>17</v>
      </c>
      <c r="U10" s="771">
        <f t="shared" si="1"/>
        <v>113</v>
      </c>
      <c r="V10" s="770" t="s">
        <v>17</v>
      </c>
      <c r="W10" s="771">
        <f t="shared" si="2"/>
        <v>113</v>
      </c>
      <c r="X10" s="772"/>
      <c r="Y10" s="3013"/>
      <c r="Z10" s="55" t="str">
        <f t="shared" si="7"/>
        <v>土地使用年限（年）</v>
      </c>
      <c r="AA10" s="773">
        <f t="shared" si="3"/>
        <v>0.88495575221238942</v>
      </c>
      <c r="AB10" s="773">
        <f t="shared" si="4"/>
        <v>0.88495575221238942</v>
      </c>
      <c r="AC10" s="773">
        <f t="shared" si="5"/>
        <v>0.88495575221238942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5"/>
      <c r="Q11" s="1791"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5"/>
      <c r="Q12" s="1791">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5"/>
      <c r="Q13" s="1791">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5"/>
      <c r="Q14" s="1791">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2565</v>
      </c>
      <c r="B15" s="629" t="s">
        <v>2804</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7" t="s">
        <v>2566</v>
      </c>
      <c r="Q15" s="1806" t="str">
        <f t="shared" si="6"/>
        <v>产业集聚程度</v>
      </c>
      <c r="R15" s="774" t="s">
        <v>17</v>
      </c>
      <c r="S15" s="775">
        <f t="shared" si="0"/>
        <v>100</v>
      </c>
      <c r="T15" s="774" t="s">
        <v>17</v>
      </c>
      <c r="U15" s="775">
        <f t="shared" si="1"/>
        <v>100</v>
      </c>
      <c r="V15" s="774" t="s">
        <v>17</v>
      </c>
      <c r="W15" s="775">
        <f t="shared" si="2"/>
        <v>100</v>
      </c>
      <c r="X15" s="1809"/>
      <c r="Y15" s="3167" t="s">
        <v>2566</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40"/>
      <c r="M16" s="1131"/>
      <c r="N16" s="1131"/>
      <c r="O16" s="1139"/>
      <c r="P16" s="3168"/>
      <c r="Q16" s="1806"/>
      <c r="R16" s="774"/>
      <c r="S16" s="775"/>
      <c r="T16" s="774"/>
      <c r="U16" s="775"/>
      <c r="V16" s="774"/>
      <c r="W16" s="775"/>
      <c r="X16" s="1809"/>
      <c r="Y16" s="3168"/>
      <c r="Z16" s="1810"/>
      <c r="AA16" s="1807">
        <v>1</v>
      </c>
      <c r="AB16" s="1807">
        <v>1</v>
      </c>
      <c r="AC16" s="1807">
        <v>1</v>
      </c>
    </row>
    <row r="17" spans="1:29" ht="85.5">
      <c r="A17" s="428"/>
      <c r="B17" s="631" t="s">
        <v>2715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8"/>
      <c r="Q17" s="1806" t="str">
        <f>B17</f>
        <v>交通便捷度</v>
      </c>
      <c r="R17" s="774" t="s">
        <v>17</v>
      </c>
      <c r="S17" s="775">
        <f>F17</f>
        <v>100</v>
      </c>
      <c r="T17" s="774" t="s">
        <v>17</v>
      </c>
      <c r="U17" s="775">
        <f>H17</f>
        <v>100</v>
      </c>
      <c r="V17" s="774" t="s">
        <v>17</v>
      </c>
      <c r="W17" s="775">
        <f>J17</f>
        <v>100</v>
      </c>
      <c r="X17" s="1809"/>
      <c r="Y17" s="3168"/>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40"/>
      <c r="M18" s="1131"/>
      <c r="N18" s="1131"/>
      <c r="O18" s="1139"/>
      <c r="P18" s="3168"/>
      <c r="Q18" s="1806"/>
      <c r="R18" s="774"/>
      <c r="S18" s="775"/>
      <c r="T18" s="774"/>
      <c r="U18" s="775"/>
      <c r="V18" s="774"/>
      <c r="W18" s="775"/>
      <c r="X18" s="1809"/>
      <c r="Y18" s="3168"/>
      <c r="Z18" s="1810"/>
      <c r="AA18" s="1807">
        <v>1</v>
      </c>
      <c r="AB18" s="1807">
        <v>1</v>
      </c>
      <c r="AC18" s="1807">
        <v>1</v>
      </c>
    </row>
    <row r="19" spans="1:29" ht="15">
      <c r="A19" s="428"/>
      <c r="B19" s="631" t="s">
        <v>2754</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8"/>
      <c r="Q19" s="1806" t="str">
        <f t="shared" ref="Q19:Q33" si="8">B19</f>
        <v>区域土地利用方向</v>
      </c>
      <c r="R19" s="774" t="s">
        <v>17</v>
      </c>
      <c r="S19" s="775">
        <f>F19</f>
        <v>100</v>
      </c>
      <c r="T19" s="774" t="s">
        <v>17</v>
      </c>
      <c r="U19" s="775">
        <f>H19</f>
        <v>100</v>
      </c>
      <c r="V19" s="774" t="s">
        <v>17</v>
      </c>
      <c r="W19" s="775">
        <f>J19</f>
        <v>100</v>
      </c>
      <c r="X19" s="1809"/>
      <c r="Y19" s="3168"/>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12"/>
      <c r="L20" s="1140"/>
      <c r="M20" s="1131"/>
      <c r="N20" s="1131"/>
      <c r="O20" s="1139"/>
      <c r="P20" s="3168"/>
      <c r="Q20" s="1806"/>
      <c r="R20" s="774"/>
      <c r="S20" s="775"/>
      <c r="T20" s="774"/>
      <c r="U20" s="775"/>
      <c r="V20" s="774"/>
      <c r="W20" s="775"/>
      <c r="X20" s="1809"/>
      <c r="Y20" s="3168"/>
      <c r="Z20" s="1810"/>
      <c r="AA20" s="1807"/>
      <c r="AB20" s="1807"/>
      <c r="AC20" s="1807"/>
    </row>
    <row r="21" spans="1:29" ht="71.25">
      <c r="A21" s="404"/>
      <c r="B21" s="631" t="s">
        <v>2805</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8"/>
      <c r="Q21" s="1806" t="str">
        <f t="shared" si="8"/>
        <v>环境状况</v>
      </c>
      <c r="R21" s="774" t="s">
        <v>17</v>
      </c>
      <c r="S21" s="775">
        <f>F21</f>
        <v>100</v>
      </c>
      <c r="T21" s="774" t="s">
        <v>17</v>
      </c>
      <c r="U21" s="775">
        <f>H21</f>
        <v>100</v>
      </c>
      <c r="V21" s="774" t="s">
        <v>17</v>
      </c>
      <c r="W21" s="775">
        <f>J21</f>
        <v>100</v>
      </c>
      <c r="X21" s="1809"/>
      <c r="Y21" s="3168"/>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40"/>
      <c r="M22" s="1131"/>
      <c r="N22" s="1131"/>
      <c r="O22" s="1139"/>
      <c r="P22" s="3168"/>
      <c r="Q22" s="1806"/>
      <c r="R22" s="774"/>
      <c r="S22" s="775"/>
      <c r="T22" s="774"/>
      <c r="U22" s="775"/>
      <c r="V22" s="774"/>
      <c r="W22" s="775"/>
      <c r="X22" s="1809"/>
      <c r="Y22" s="3168"/>
      <c r="Z22" s="1810"/>
      <c r="AA22" s="1807">
        <v>1</v>
      </c>
      <c r="AB22" s="1807">
        <v>1</v>
      </c>
      <c r="AC22" s="1807">
        <v>1</v>
      </c>
    </row>
    <row r="23" spans="1:29" s="117" customFormat="1" ht="42.75">
      <c r="A23" s="649"/>
      <c r="B23" s="633" t="s">
        <v>2660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8"/>
      <c r="Q23" s="1791" t="str">
        <f t="shared" si="8"/>
        <v>公共配套设施</v>
      </c>
      <c r="R23" s="770" t="s">
        <v>17</v>
      </c>
      <c r="S23" s="771">
        <f>F23</f>
        <v>100</v>
      </c>
      <c r="T23" s="770" t="s">
        <v>17</v>
      </c>
      <c r="U23" s="771">
        <f>H23</f>
        <v>100</v>
      </c>
      <c r="V23" s="770" t="s">
        <v>17</v>
      </c>
      <c r="W23" s="771">
        <f>J23</f>
        <v>100</v>
      </c>
      <c r="X23" s="772"/>
      <c r="Y23" s="3168"/>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32"/>
      <c r="M24" s="1133"/>
      <c r="N24" s="1133"/>
      <c r="O24" s="1134"/>
      <c r="P24" s="3168"/>
      <c r="Q24" s="1791"/>
      <c r="R24" s="770"/>
      <c r="S24" s="771"/>
      <c r="T24" s="770"/>
      <c r="U24" s="771"/>
      <c r="V24" s="770"/>
      <c r="W24" s="771"/>
      <c r="X24" s="772"/>
      <c r="Y24" s="3168"/>
      <c r="Z24" s="55"/>
      <c r="AA24" s="773">
        <v>1</v>
      </c>
      <c r="AB24" s="773">
        <v>1</v>
      </c>
      <c r="AC24" s="773">
        <v>1</v>
      </c>
    </row>
    <row r="25" spans="1:29" s="117" customFormat="1" ht="28.5">
      <c r="A25" s="649"/>
      <c r="B25" s="633" t="s">
        <v>2661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8"/>
      <c r="Q25" s="1791" t="str">
        <f t="shared" ref="Q25" si="9">B25</f>
        <v>基础设施水平</v>
      </c>
      <c r="R25" s="770" t="s">
        <v>17</v>
      </c>
      <c r="S25" s="771">
        <f>F25</f>
        <v>100</v>
      </c>
      <c r="T25" s="770" t="s">
        <v>17</v>
      </c>
      <c r="U25" s="771">
        <f>H25</f>
        <v>100</v>
      </c>
      <c r="V25" s="770" t="s">
        <v>17</v>
      </c>
      <c r="W25" s="771">
        <f>J25</f>
        <v>100</v>
      </c>
      <c r="X25" s="772"/>
      <c r="Y25" s="3168"/>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32"/>
      <c r="M26" s="1133"/>
      <c r="N26" s="1133"/>
      <c r="O26" s="1134"/>
      <c r="P26" s="3168"/>
      <c r="Q26" s="1791"/>
      <c r="R26" s="770"/>
      <c r="S26" s="771"/>
      <c r="T26" s="770"/>
      <c r="U26" s="771"/>
      <c r="V26" s="770"/>
      <c r="W26" s="771"/>
      <c r="X26" s="772"/>
      <c r="Y26" s="3168"/>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8"/>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168"/>
      <c r="Z27" s="1810" t="str">
        <f t="shared" ref="Z27:Z40" si="13">Q27</f>
        <v>临街状况</v>
      </c>
      <c r="AA27" s="1807">
        <f t="shared" si="3"/>
        <v>1</v>
      </c>
      <c r="AB27" s="1807">
        <f t="shared" si="4"/>
        <v>1</v>
      </c>
      <c r="AC27" s="1807">
        <f t="shared" si="5"/>
        <v>1</v>
      </c>
    </row>
    <row r="28" spans="1:29" ht="27">
      <c r="A28" s="428"/>
      <c r="B28" s="633" t="s">
        <v>2697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8"/>
      <c r="Q28" s="1806" t="str">
        <f t="shared" si="8"/>
        <v>毗邻道路的类型与等级</v>
      </c>
      <c r="R28" s="774" t="s">
        <v>17</v>
      </c>
      <c r="S28" s="775">
        <f t="shared" si="10"/>
        <v>100</v>
      </c>
      <c r="T28" s="774" t="s">
        <v>17</v>
      </c>
      <c r="U28" s="775">
        <f t="shared" si="11"/>
        <v>100</v>
      </c>
      <c r="V28" s="774" t="s">
        <v>17</v>
      </c>
      <c r="W28" s="775">
        <f t="shared" si="12"/>
        <v>100</v>
      </c>
      <c r="X28" s="1809"/>
      <c r="Y28" s="3168"/>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40"/>
      <c r="M29" s="1131"/>
      <c r="N29" s="1131"/>
      <c r="O29" s="1139"/>
      <c r="P29" s="3168"/>
      <c r="Q29" s="1806"/>
      <c r="R29" s="774"/>
      <c r="S29" s="775"/>
      <c r="T29" s="774"/>
      <c r="U29" s="775"/>
      <c r="V29" s="774"/>
      <c r="W29" s="775"/>
      <c r="X29" s="1809"/>
      <c r="Y29" s="3168"/>
      <c r="Z29" s="1810"/>
      <c r="AA29" s="1807">
        <v>1</v>
      </c>
      <c r="AB29" s="1807">
        <v>1</v>
      </c>
      <c r="AC29" s="1807">
        <v>1</v>
      </c>
    </row>
    <row r="30" spans="1:29" ht="15">
      <c r="A30" s="428"/>
      <c r="B30" s="654" t="s">
        <v>2756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8"/>
      <c r="Q30" s="1806" t="str">
        <f t="shared" si="8"/>
        <v>土地级别</v>
      </c>
      <c r="R30" s="774" t="s">
        <v>17</v>
      </c>
      <c r="S30" s="775">
        <f t="shared" si="10"/>
        <v>100</v>
      </c>
      <c r="T30" s="774" t="s">
        <v>17</v>
      </c>
      <c r="U30" s="775">
        <f t="shared" si="11"/>
        <v>100</v>
      </c>
      <c r="V30" s="774" t="s">
        <v>17</v>
      </c>
      <c r="W30" s="775">
        <f t="shared" si="12"/>
        <v>100</v>
      </c>
      <c r="X30" s="1809"/>
      <c r="Y30" s="3168"/>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8"/>
      <c r="Q31" s="1806">
        <f t="shared" si="8"/>
        <v>111</v>
      </c>
      <c r="R31" s="774" t="s">
        <v>17</v>
      </c>
      <c r="S31" s="775">
        <f t="shared" si="10"/>
        <v>100</v>
      </c>
      <c r="T31" s="774" t="s">
        <v>17</v>
      </c>
      <c r="U31" s="775">
        <f t="shared" si="11"/>
        <v>100</v>
      </c>
      <c r="V31" s="774" t="s">
        <v>17</v>
      </c>
      <c r="W31" s="775">
        <f t="shared" si="12"/>
        <v>100</v>
      </c>
      <c r="X31" s="1809"/>
      <c r="Y31" s="3168"/>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9" t="s">
        <v>2571</v>
      </c>
      <c r="Q32" s="1806">
        <f t="shared" si="8"/>
        <v>111</v>
      </c>
      <c r="R32" s="774" t="s">
        <v>17</v>
      </c>
      <c r="S32" s="775">
        <f t="shared" si="10"/>
        <v>100</v>
      </c>
      <c r="T32" s="774" t="s">
        <v>17</v>
      </c>
      <c r="U32" s="775">
        <f t="shared" si="11"/>
        <v>100</v>
      </c>
      <c r="V32" s="774" t="s">
        <v>17</v>
      </c>
      <c r="W32" s="775">
        <f t="shared" si="12"/>
        <v>100</v>
      </c>
      <c r="X32" s="1809"/>
      <c r="Y32" s="3170" t="s">
        <v>2571</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0"/>
      <c r="Q33" s="1806">
        <f t="shared" si="8"/>
        <v>111</v>
      </c>
      <c r="R33" s="777" t="s">
        <v>17</v>
      </c>
      <c r="S33" s="778">
        <f t="shared" si="10"/>
        <v>100</v>
      </c>
      <c r="T33" s="777" t="s">
        <v>17</v>
      </c>
      <c r="U33" s="778">
        <f t="shared" si="11"/>
        <v>100</v>
      </c>
      <c r="V33" s="777" t="s">
        <v>17</v>
      </c>
      <c r="W33" s="778">
        <f t="shared" si="12"/>
        <v>100</v>
      </c>
      <c r="X33" s="779"/>
      <c r="Y33" s="3170"/>
      <c r="Z33" s="780">
        <f t="shared" si="13"/>
        <v>111</v>
      </c>
      <c r="AA33" s="1807">
        <f t="shared" si="3"/>
        <v>1</v>
      </c>
      <c r="AB33" s="1807">
        <f t="shared" si="4"/>
        <v>1</v>
      </c>
      <c r="AC33" s="1807">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0"/>
      <c r="Q34" s="1806" t="str">
        <f>B34</f>
        <v>宗地面积</v>
      </c>
      <c r="R34" s="774" t="s">
        <v>17</v>
      </c>
      <c r="S34" s="775" t="e">
        <f t="shared" si="10"/>
        <v>#N/A</v>
      </c>
      <c r="T34" s="774" t="s">
        <v>17</v>
      </c>
      <c r="U34" s="775" t="e">
        <f t="shared" si="11"/>
        <v>#N/A</v>
      </c>
      <c r="V34" s="774" t="s">
        <v>17</v>
      </c>
      <c r="W34" s="775" t="e">
        <f t="shared" si="12"/>
        <v>#N/A</v>
      </c>
      <c r="X34" s="1809"/>
      <c r="Y34" s="3170"/>
      <c r="Z34" s="1810" t="str">
        <f t="shared" si="13"/>
        <v>宗地面积</v>
      </c>
      <c r="AA34" s="1807" t="e">
        <f t="shared" si="3"/>
        <v>#N/A</v>
      </c>
      <c r="AB34" s="1807" t="e">
        <f t="shared" si="4"/>
        <v>#N/A</v>
      </c>
      <c r="AC34" s="1807" t="e">
        <f t="shared" si="5"/>
        <v>#N/A</v>
      </c>
    </row>
    <row r="35" spans="1:29" ht="15">
      <c r="A35" s="472"/>
      <c r="B35" s="422" t="s">
        <v>2758</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170"/>
      <c r="Q35" s="1806" t="str">
        <f t="shared" ref="Q35:Q40" si="14">B35</f>
        <v>宗地形状</v>
      </c>
      <c r="R35" s="774" t="s">
        <v>17</v>
      </c>
      <c r="S35" s="775">
        <f t="shared" si="10"/>
        <v>100</v>
      </c>
      <c r="T35" s="774" t="s">
        <v>17</v>
      </c>
      <c r="U35" s="775">
        <f t="shared" si="11"/>
        <v>100</v>
      </c>
      <c r="V35" s="774" t="s">
        <v>17</v>
      </c>
      <c r="W35" s="775">
        <f t="shared" si="12"/>
        <v>100</v>
      </c>
      <c r="X35" s="1809"/>
      <c r="Y35" s="3170"/>
      <c r="Z35" s="1810" t="str">
        <f t="shared" si="13"/>
        <v>宗地形状</v>
      </c>
      <c r="AA35" s="1807">
        <f t="shared" si="3"/>
        <v>1</v>
      </c>
      <c r="AB35" s="1807">
        <f t="shared" si="4"/>
        <v>1</v>
      </c>
      <c r="AC35" s="1807">
        <f t="shared" si="5"/>
        <v>1</v>
      </c>
    </row>
    <row r="36" spans="1:29" s="117" customFormat="1" ht="15">
      <c r="A36" s="473"/>
      <c r="B36" s="422" t="s">
        <v>2760</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70"/>
      <c r="Q36" s="1806"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2761</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170" t="s">
        <v>2571</v>
      </c>
      <c r="Q37" s="1806" t="str">
        <f t="shared" si="14"/>
        <v>工程地质条件</v>
      </c>
      <c r="R37" s="774" t="s">
        <v>17</v>
      </c>
      <c r="S37" s="775">
        <f t="shared" si="10"/>
        <v>100</v>
      </c>
      <c r="T37" s="774" t="s">
        <v>17</v>
      </c>
      <c r="U37" s="775">
        <f t="shared" si="11"/>
        <v>100</v>
      </c>
      <c r="V37" s="774" t="s">
        <v>17</v>
      </c>
      <c r="W37" s="775">
        <f t="shared" si="12"/>
        <v>100</v>
      </c>
      <c r="X37" s="1809"/>
      <c r="Y37" s="3170" t="s">
        <v>2571</v>
      </c>
      <c r="Z37" s="1810" t="str">
        <f t="shared" si="13"/>
        <v>工程地质条件</v>
      </c>
      <c r="AA37" s="1807">
        <f t="shared" si="3"/>
        <v>1</v>
      </c>
      <c r="AB37" s="1807">
        <f t="shared" si="4"/>
        <v>1</v>
      </c>
      <c r="AC37" s="1807">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0"/>
      <c r="Q38" s="1806">
        <f t="shared" si="14"/>
        <v>111</v>
      </c>
      <c r="R38" s="774" t="s">
        <v>17</v>
      </c>
      <c r="S38" s="775">
        <f t="shared" si="10"/>
        <v>100</v>
      </c>
      <c r="T38" s="774" t="s">
        <v>17</v>
      </c>
      <c r="U38" s="775">
        <f t="shared" si="11"/>
        <v>100</v>
      </c>
      <c r="V38" s="774" t="s">
        <v>17</v>
      </c>
      <c r="W38" s="775">
        <f t="shared" si="12"/>
        <v>100</v>
      </c>
      <c r="X38" s="1809"/>
      <c r="Y38" s="3170"/>
      <c r="Z38" s="1810">
        <f t="shared" si="13"/>
        <v>111</v>
      </c>
      <c r="AA38" s="1807">
        <f t="shared" si="3"/>
        <v>1</v>
      </c>
      <c r="AB38" s="1807">
        <f t="shared" si="4"/>
        <v>1</v>
      </c>
      <c r="AC38" s="1807">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0"/>
      <c r="Q39" s="1806">
        <f t="shared" si="14"/>
        <v>111</v>
      </c>
      <c r="R39" s="774" t="s">
        <v>17</v>
      </c>
      <c r="S39" s="775">
        <f t="shared" si="10"/>
        <v>100</v>
      </c>
      <c r="T39" s="774" t="s">
        <v>17</v>
      </c>
      <c r="U39" s="775">
        <f t="shared" si="11"/>
        <v>100</v>
      </c>
      <c r="V39" s="774" t="s">
        <v>17</v>
      </c>
      <c r="W39" s="775">
        <f t="shared" si="12"/>
        <v>100</v>
      </c>
      <c r="X39" s="1809"/>
      <c r="Y39" s="3170"/>
      <c r="Z39" s="1810">
        <f t="shared" si="13"/>
        <v>111</v>
      </c>
      <c r="AA39" s="1807">
        <f t="shared" si="3"/>
        <v>1</v>
      </c>
      <c r="AB39" s="1807">
        <f t="shared" si="4"/>
        <v>1</v>
      </c>
      <c r="AC39" s="1807">
        <f t="shared" si="5"/>
        <v>1</v>
      </c>
    </row>
    <row r="40" spans="1:29" s="471" customFormat="1" ht="15.75" thickBot="1">
      <c r="A40" s="468"/>
      <c r="B40" s="1386">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0"/>
      <c r="Q40" s="1806">
        <f t="shared" si="14"/>
        <v>111</v>
      </c>
      <c r="R40" s="777" t="s">
        <v>17</v>
      </c>
      <c r="S40" s="778">
        <f t="shared" si="10"/>
        <v>100</v>
      </c>
      <c r="T40" s="777" t="s">
        <v>17</v>
      </c>
      <c r="U40" s="778">
        <f t="shared" si="11"/>
        <v>100</v>
      </c>
      <c r="V40" s="777" t="s">
        <v>17</v>
      </c>
      <c r="W40" s="778">
        <f t="shared" si="12"/>
        <v>100</v>
      </c>
      <c r="X40" s="779"/>
      <c r="Y40" s="3170"/>
      <c r="Z40" s="780">
        <f t="shared" si="13"/>
        <v>111</v>
      </c>
      <c r="AA40" s="1807">
        <f t="shared" si="3"/>
        <v>1</v>
      </c>
      <c r="AB40" s="1807">
        <f t="shared" si="4"/>
        <v>1</v>
      </c>
      <c r="AC40" s="1807">
        <f t="shared" si="5"/>
        <v>1</v>
      </c>
    </row>
    <row r="41" spans="1:29" ht="15">
      <c r="A41" s="479" t="s">
        <v>2726</v>
      </c>
      <c r="B41" s="2698" t="s">
        <v>2806</v>
      </c>
      <c r="C41" s="682" t="s">
        <v>1</v>
      </c>
      <c r="D41" s="481"/>
      <c r="E41" s="482"/>
      <c r="F41" s="483"/>
      <c r="G41" s="484"/>
      <c r="H41" s="485"/>
      <c r="I41" s="482"/>
      <c r="J41" s="485"/>
      <c r="K41" s="783"/>
      <c r="L41" s="1143"/>
      <c r="M41" s="1131"/>
      <c r="N41" s="1131"/>
      <c r="O41" s="1144"/>
      <c r="P41" s="3165" t="str">
        <f>A41</f>
        <v>成交单价</v>
      </c>
      <c r="Q41" s="3165"/>
      <c r="R41" s="3171">
        <f>E41</f>
        <v>0</v>
      </c>
      <c r="S41" s="3171"/>
      <c r="T41" s="3171">
        <f>G41</f>
        <v>0</v>
      </c>
      <c r="U41" s="3171"/>
      <c r="V41" s="3171">
        <f>I41</f>
        <v>0</v>
      </c>
      <c r="W41" s="3171"/>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3"/>
      <c r="M42" s="1131"/>
      <c r="N42" s="1131"/>
      <c r="O42" s="1144"/>
      <c r="P42" s="3165" t="str">
        <f>A42</f>
        <v>比较价值（元/平方米）</v>
      </c>
      <c r="Q42" s="3165"/>
      <c r="R42" s="3158" t="e">
        <f>ROUND(PRODUCT(R41,AA7:AA40),0)</f>
        <v>#DIV/0!</v>
      </c>
      <c r="S42" s="3158"/>
      <c r="T42" s="3158" t="e">
        <f>ROUND(PRODUCT(T41,AB7:AB40),0)</f>
        <v>#DIV/0!</v>
      </c>
      <c r="U42" s="3158"/>
      <c r="V42" s="3158" t="e">
        <f>ROUND(PRODUCT(V41,AC7:AC40),0)</f>
        <v>#DIV/0!</v>
      </c>
      <c r="W42" s="3158"/>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3"/>
      <c r="M43" s="1131"/>
      <c r="N43" s="1131"/>
      <c r="O43" s="1144"/>
      <c r="P43" s="3159" t="str">
        <f>A43</f>
        <v>估价对象XX用房的比较价值（楼面单价，元/平方米）</v>
      </c>
      <c r="Q43" s="3160"/>
      <c r="R43" s="3161" t="e">
        <f>ROUND(AVERAGE(R42:V42),0)</f>
        <v>#DIV/0!</v>
      </c>
      <c r="S43" s="3161"/>
      <c r="T43" s="3161"/>
      <c r="U43" s="3161"/>
      <c r="V43" s="3161"/>
      <c r="W43" s="3161"/>
      <c r="X43" s="759"/>
      <c r="Y43" s="759"/>
      <c r="Z43" s="759"/>
      <c r="AA43" s="759"/>
      <c r="AB43" s="759"/>
      <c r="AC43" s="759"/>
    </row>
    <row r="44" spans="1:29">
      <c r="A44" s="1144"/>
      <c r="B44" s="1144"/>
      <c r="C44" s="1144"/>
      <c r="D44" s="1144"/>
      <c r="E44" s="1144"/>
      <c r="F44" s="1144"/>
      <c r="G44" s="1147"/>
      <c r="H44" s="1144"/>
      <c r="I44" s="1144"/>
      <c r="J44" s="1144"/>
      <c r="K44" s="1108"/>
      <c r="L44" s="1109"/>
      <c r="M44" s="1131"/>
      <c r="N44" s="1131"/>
      <c r="O44" s="1144"/>
    </row>
    <row r="45" spans="1:29">
      <c r="A45" s="1144"/>
      <c r="B45" s="1144"/>
      <c r="C45" s="1144"/>
      <c r="D45" s="1144"/>
      <c r="E45" s="1144"/>
      <c r="F45" s="1144"/>
      <c r="G45" s="1144"/>
      <c r="H45" s="1144"/>
      <c r="I45" s="1144"/>
      <c r="J45" s="1144"/>
      <c r="K45" s="1108"/>
      <c r="L45" s="1109"/>
      <c r="M45" s="1131"/>
      <c r="N45" s="1131"/>
      <c r="O45" s="1144"/>
    </row>
    <row r="46" spans="1:29" ht="13.5" customHeight="1">
      <c r="A46" s="1144"/>
      <c r="B46" s="1144"/>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1"/>
      <c r="N46" s="1131"/>
      <c r="O46" s="1144"/>
    </row>
    <row r="47" spans="1:29" ht="13.5" customHeight="1">
      <c r="A47" s="1144"/>
      <c r="B47" s="1144"/>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4"/>
      <c r="N47" s="1144"/>
      <c r="O47" s="1144"/>
    </row>
    <row r="48" spans="1:29" s="502" customFormat="1" ht="13.5" customHeight="1">
      <c r="A48" s="1145"/>
      <c r="B48" s="1145"/>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2764</v>
      </c>
      <c r="B50" s="685" t="s">
        <v>2765</v>
      </c>
      <c r="C50" s="2699" t="s">
        <v>2766</v>
      </c>
      <c r="D50" s="2700" t="s">
        <v>2767</v>
      </c>
      <c r="E50" s="686" t="s">
        <v>2768</v>
      </c>
      <c r="F50" s="687" t="s">
        <v>2769</v>
      </c>
      <c r="G50" s="3162" t="s">
        <v>2770</v>
      </c>
      <c r="H50" s="3163"/>
      <c r="I50" s="1810" t="s">
        <v>2807</v>
      </c>
      <c r="J50" s="1810" t="str">
        <f>项目基本情况!F35</f>
        <v>山东省</v>
      </c>
      <c r="K50" s="2702" t="s">
        <v>2772</v>
      </c>
      <c r="L50" s="1109"/>
      <c r="M50" s="1144"/>
      <c r="N50" s="1144"/>
      <c r="O50" s="1144"/>
    </row>
    <row r="51" spans="1:17" s="692" customFormat="1">
      <c r="A51" s="688" t="s">
        <v>2773</v>
      </c>
      <c r="B51" s="689" t="e">
        <f>C43</f>
        <v>#DIV/0!</v>
      </c>
      <c r="C51" s="690">
        <v>1</v>
      </c>
      <c r="D51" s="1163">
        <v>1</v>
      </c>
      <c r="E51" s="690">
        <f>'数据-汇总表'!E8+'数据-汇总表'!E9</f>
        <v>38865.599999999999</v>
      </c>
      <c r="F51" s="691" t="e">
        <f t="shared" ref="F51:F60" si="15">ROUND(B51*E51/10000,0)</f>
        <v>#DIV/0!</v>
      </c>
      <c r="G51" s="3164"/>
      <c r="H51" s="3165"/>
      <c r="I51" s="945">
        <v>1</v>
      </c>
      <c r="J51" s="945">
        <v>1</v>
      </c>
      <c r="K51" s="1145"/>
      <c r="L51" s="944"/>
      <c r="M51" s="944"/>
      <c r="N51" s="944"/>
      <c r="O51" s="944"/>
    </row>
    <row r="52" spans="1:17" s="692" customFormat="1">
      <c r="A52" s="693" t="s">
        <v>2774</v>
      </c>
      <c r="B52" s="262" t="e">
        <f>ROUND($C$43*C52*D52,0)</f>
        <v>#DIV/0!</v>
      </c>
      <c r="C52" s="200">
        <f t="shared" ref="C52:C60" si="16">IF($C$50="北京市系数",I52,J52)</f>
        <v>0</v>
      </c>
      <c r="D52" s="1164">
        <v>0.25</v>
      </c>
      <c r="E52" s="694"/>
      <c r="F52" s="691" t="e">
        <f t="shared" si="15"/>
        <v>#DIV/0!</v>
      </c>
      <c r="G52" s="3166" t="s">
        <v>2775</v>
      </c>
      <c r="H52" s="1107">
        <f>项目基本情况!B37</f>
        <v>0</v>
      </c>
      <c r="I52" s="945">
        <f>SUMIF(修正!A45:A56,H52,修正!B45:B56)</f>
        <v>0</v>
      </c>
      <c r="J52" s="946"/>
      <c r="K52" s="1144"/>
      <c r="L52" s="944"/>
      <c r="M52" s="944"/>
      <c r="N52" s="944"/>
      <c r="O52" s="944"/>
    </row>
    <row r="53" spans="1:17" s="692" customFormat="1">
      <c r="A53" s="693" t="s">
        <v>2776</v>
      </c>
      <c r="B53" s="262" t="e">
        <f t="shared" ref="B53:B60" si="17">ROUND($C$43*C53*D53,0)</f>
        <v>#DIV/0!</v>
      </c>
      <c r="C53" s="200">
        <f t="shared" si="16"/>
        <v>0</v>
      </c>
      <c r="D53" s="1164">
        <v>0.25</v>
      </c>
      <c r="E53" s="694"/>
      <c r="F53" s="691" t="e">
        <f t="shared" si="15"/>
        <v>#DIV/0!</v>
      </c>
      <c r="G53" s="3166"/>
      <c r="H53" s="1107">
        <f>项目基本情况!B37</f>
        <v>0</v>
      </c>
      <c r="I53" s="945">
        <f>SUMIF(修正!A45:A56,H53,修正!C45:C56)</f>
        <v>0</v>
      </c>
      <c r="J53" s="946"/>
      <c r="K53" s="1145"/>
      <c r="L53" s="944"/>
      <c r="M53" s="944"/>
      <c r="N53" s="944"/>
      <c r="O53" s="944"/>
    </row>
    <row r="54" spans="1:17" s="692" customFormat="1">
      <c r="A54" s="693" t="s">
        <v>2777</v>
      </c>
      <c r="B54" s="262" t="e">
        <f t="shared" si="17"/>
        <v>#DIV/0!</v>
      </c>
      <c r="C54" s="200">
        <f t="shared" si="16"/>
        <v>0</v>
      </c>
      <c r="D54" s="1164">
        <v>0.25</v>
      </c>
      <c r="E54" s="694"/>
      <c r="F54" s="691" t="e">
        <f t="shared" si="15"/>
        <v>#DIV/0!</v>
      </c>
      <c r="G54" s="3166"/>
      <c r="H54" s="1107">
        <f>项目基本情况!B37</f>
        <v>0</v>
      </c>
      <c r="I54" s="945">
        <f>SUMIF(修正!A45:A56,H54,修正!D45:D56)</f>
        <v>0</v>
      </c>
      <c r="J54" s="946"/>
      <c r="K54" s="1144"/>
      <c r="L54" s="944"/>
      <c r="M54" s="944"/>
      <c r="N54" s="944"/>
      <c r="O54" s="944"/>
    </row>
    <row r="55" spans="1:17" s="692" customFormat="1">
      <c r="A55" s="693" t="s">
        <v>2778</v>
      </c>
      <c r="B55" s="262" t="e">
        <f t="shared" si="17"/>
        <v>#DIV/0!</v>
      </c>
      <c r="C55" s="200">
        <f t="shared" si="16"/>
        <v>0</v>
      </c>
      <c r="D55" s="1164">
        <v>0.25</v>
      </c>
      <c r="E55" s="694"/>
      <c r="F55" s="691" t="e">
        <f t="shared" si="15"/>
        <v>#DIV/0!</v>
      </c>
      <c r="G55" s="3166"/>
      <c r="H55" s="1107">
        <f>项目基本情况!B37</f>
        <v>0</v>
      </c>
      <c r="I55" s="945">
        <f>SUMIF(修正!A45:A56,H55,修正!E45:E56)</f>
        <v>0</v>
      </c>
      <c r="J55" s="946"/>
      <c r="K55" s="1145"/>
      <c r="L55" s="944"/>
      <c r="M55" s="944"/>
      <c r="N55" s="944"/>
      <c r="O55" s="944"/>
    </row>
    <row r="56" spans="1:17" s="692" customFormat="1">
      <c r="A56" s="693" t="s">
        <v>2779</v>
      </c>
      <c r="B56" s="262" t="e">
        <f t="shared" si="17"/>
        <v>#DIV/0!</v>
      </c>
      <c r="C56" s="200">
        <f t="shared" si="16"/>
        <v>0</v>
      </c>
      <c r="D56" s="1164">
        <v>0.25</v>
      </c>
      <c r="E56" s="261">
        <f>'数据-汇总表'!E11</f>
        <v>0</v>
      </c>
      <c r="F56" s="691" t="e">
        <f t="shared" si="15"/>
        <v>#DIV/0!</v>
      </c>
      <c r="G56" s="2703" t="s">
        <v>2780</v>
      </c>
      <c r="H56" s="1107">
        <f>项目基本情况!C37</f>
        <v>0</v>
      </c>
      <c r="I56" s="945">
        <f>SUMIF(修正!A45:A56,H56,修正!F45:F56)</f>
        <v>0</v>
      </c>
      <c r="J56" s="946"/>
      <c r="K56" s="1144"/>
      <c r="L56" s="944"/>
      <c r="M56" s="944"/>
      <c r="N56" s="944"/>
      <c r="O56" s="944"/>
    </row>
    <row r="57" spans="1:17" s="692" customFormat="1">
      <c r="A57" s="693" t="s">
        <v>2781</v>
      </c>
      <c r="B57" s="262" t="e">
        <f t="shared" si="17"/>
        <v>#DIV/0!</v>
      </c>
      <c r="C57" s="200">
        <f t="shared" si="16"/>
        <v>0</v>
      </c>
      <c r="D57" s="1164">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5"/>
      <c r="L57" s="944"/>
      <c r="M57" s="944"/>
      <c r="N57" s="944"/>
      <c r="O57" s="944"/>
    </row>
    <row r="58" spans="1:17" s="692" customFormat="1">
      <c r="A58" s="693" t="s">
        <v>2783</v>
      </c>
      <c r="B58" s="262" t="e">
        <f t="shared" si="17"/>
        <v>#DIV/0!</v>
      </c>
      <c r="C58" s="200">
        <f t="shared" si="16"/>
        <v>0</v>
      </c>
      <c r="D58" s="1164">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4"/>
      <c r="L58" s="944"/>
      <c r="M58" s="944"/>
      <c r="N58" s="944"/>
      <c r="O58" s="944"/>
    </row>
    <row r="59" spans="1:17" s="692" customFormat="1">
      <c r="A59" s="693" t="s">
        <v>2785</v>
      </c>
      <c r="B59" s="262" t="e">
        <f t="shared" si="17"/>
        <v>#DIV/0!</v>
      </c>
      <c r="C59" s="200">
        <f t="shared" si="16"/>
        <v>0</v>
      </c>
      <c r="D59" s="1164">
        <v>0.25</v>
      </c>
      <c r="E59" s="261">
        <f>'数据-汇总表'!E14</f>
        <v>0</v>
      </c>
      <c r="F59" s="691" t="e">
        <f t="shared" si="15"/>
        <v>#DIV/0!</v>
      </c>
      <c r="G59" s="2703" t="s">
        <v>2775</v>
      </c>
      <c r="H59" s="1107">
        <f>项目基本情况!B37</f>
        <v>0</v>
      </c>
      <c r="I59" s="945">
        <f>SUMIF(修正!A45:A56,H59,修正!H45:H56)</f>
        <v>0</v>
      </c>
      <c r="J59" s="946"/>
      <c r="K59" s="1145"/>
      <c r="L59" s="944"/>
      <c r="M59" s="944"/>
      <c r="N59" s="944"/>
      <c r="O59" s="944"/>
    </row>
    <row r="60" spans="1:17" s="692" customFormat="1" ht="15" thickBot="1">
      <c r="A60" s="693" t="s">
        <v>2786</v>
      </c>
      <c r="B60" s="262" t="e">
        <f t="shared" si="17"/>
        <v>#DIV/0!</v>
      </c>
      <c r="C60" s="200">
        <f t="shared" si="16"/>
        <v>0</v>
      </c>
      <c r="D60" s="1164">
        <v>0.25</v>
      </c>
      <c r="E60" s="261">
        <f>'数据-汇总表'!E15</f>
        <v>0</v>
      </c>
      <c r="F60" s="691" t="e">
        <f t="shared" si="15"/>
        <v>#DIV/0!</v>
      </c>
      <c r="G60" s="2704" t="s">
        <v>2780</v>
      </c>
      <c r="H60" s="1117">
        <f>项目基本情况!C37</f>
        <v>0</v>
      </c>
      <c r="I60" s="945">
        <f>SUMIF(修正!A45:A56,H60,修正!H45:H56)</f>
        <v>0</v>
      </c>
      <c r="J60" s="946"/>
      <c r="K60" s="1144"/>
      <c r="L60" s="944"/>
      <c r="M60" s="944"/>
      <c r="N60" s="944"/>
      <c r="O60" s="944"/>
    </row>
    <row r="61" spans="1:17" s="692" customFormat="1" ht="15" thickBot="1">
      <c r="A61" s="695" t="s">
        <v>2787</v>
      </c>
      <c r="B61" s="696" t="s">
        <v>28</v>
      </c>
      <c r="C61" s="696" t="s">
        <v>29</v>
      </c>
      <c r="D61" s="696" t="s">
        <v>1029</v>
      </c>
      <c r="E61" s="696">
        <f>IF(B41="楼面地价",SUM(E51:E60),'数据-汇总表'!D3)</f>
        <v>49727</v>
      </c>
      <c r="F61" s="697" t="e">
        <f>IF(B41="楼面地价",SUM(F51:F60),ROUND(C43*E61/10000,0))</f>
        <v>#DIV/0!</v>
      </c>
      <c r="G61" s="1158"/>
      <c r="H61" s="1158"/>
      <c r="I61" s="1158"/>
      <c r="J61" s="1158"/>
      <c r="K61" s="1108"/>
      <c r="L61" s="944"/>
      <c r="M61" s="944"/>
      <c r="N61" s="944"/>
      <c r="O61" s="944"/>
    </row>
    <row r="62" spans="1:17">
      <c r="A62" s="1144"/>
      <c r="B62" s="1146"/>
      <c r="C62" s="1150"/>
      <c r="D62" s="1144"/>
      <c r="E62" s="1144"/>
      <c r="F62" s="1144"/>
      <c r="G62" s="1144"/>
      <c r="H62" s="1144"/>
      <c r="I62" s="1144"/>
      <c r="J62" s="1144"/>
      <c r="K62" s="1108"/>
      <c r="L62" s="1109"/>
      <c r="M62" s="1144"/>
      <c r="N62" s="1144"/>
      <c r="O62" s="1144"/>
    </row>
    <row r="63" spans="1:17">
      <c r="A63" s="1144"/>
      <c r="B63" s="1146"/>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2680</v>
      </c>
      <c r="B64" s="759"/>
      <c r="C64" s="764"/>
      <c r="D64" s="764"/>
      <c r="E64" s="764"/>
      <c r="F64" s="765"/>
      <c r="G64" s="765"/>
      <c r="H64" s="764"/>
      <c r="I64" s="764"/>
      <c r="J64" s="764"/>
      <c r="K64" s="766"/>
      <c r="L64" s="767"/>
      <c r="M64" s="764"/>
      <c r="N64" s="764"/>
      <c r="O64" s="1159"/>
      <c r="P64" s="503"/>
      <c r="Q64" s="504"/>
    </row>
    <row r="65" spans="1:17" s="508" customFormat="1" ht="15">
      <c r="A65" s="2705" t="s">
        <v>2788</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0" t="s">
        <v>2808</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2594</v>
      </c>
      <c r="B70" s="528" t="s">
        <v>2560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2800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2801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240" t="s">
        <v>2810</v>
      </c>
      <c r="B1" s="241"/>
      <c r="C1" s="245" t="s">
        <v>2811</v>
      </c>
      <c r="D1" s="388">
        <f>SUM(D29:D30,D33:D39)</f>
        <v>0</v>
      </c>
      <c r="E1" s="2711"/>
      <c r="F1" s="2711"/>
      <c r="G1" s="2711"/>
      <c r="H1" s="2711"/>
      <c r="I1" s="2711"/>
      <c r="J1" s="2711"/>
      <c r="K1" s="1369"/>
      <c r="L1" s="2712" t="s">
        <v>2812</v>
      </c>
      <c r="M1" s="1083">
        <f>SUMPRODUCT((区片价!B5:B9=I2)*(区片价!C3:F3=E2)*(区片价!C5:F9))</f>
        <v>0</v>
      </c>
      <c r="N1" s="1086">
        <f>SUMPRODUCT((因素修正幅度!B5:B9=I2)*(因素修正幅度!C3:F3=E2)*(因素修正幅度!C5:F9))</f>
        <v>0</v>
      </c>
      <c r="O1" s="2713"/>
      <c r="P1" s="2713"/>
      <c r="Q1" s="1369"/>
      <c r="R1" s="1601" t="s">
        <v>2813</v>
      </c>
      <c r="S1" s="1601" t="s">
        <v>2814</v>
      </c>
      <c r="T1" s="1601" t="s">
        <v>2815</v>
      </c>
      <c r="U1" s="1601" t="s">
        <v>2816</v>
      </c>
      <c r="V1" s="1601" t="s">
        <v>2817</v>
      </c>
      <c r="W1" s="1605"/>
      <c r="X1" s="1605"/>
      <c r="Y1" s="1605"/>
      <c r="Z1" s="1605"/>
      <c r="AA1" s="1605"/>
      <c r="AB1" s="1605"/>
      <c r="AC1" s="1606"/>
      <c r="AD1" s="1607"/>
      <c r="AE1" s="1607"/>
      <c r="AF1" s="1607"/>
      <c r="AG1" s="1607"/>
      <c r="AH1" s="1607"/>
      <c r="AI1" s="1607"/>
      <c r="AJ1" s="1608"/>
    </row>
    <row r="2" spans="1:36" ht="15.75">
      <c r="A2" s="245" t="s">
        <v>2818</v>
      </c>
      <c r="B2" s="248" t="e">
        <f>C26</f>
        <v>#DIV/0!</v>
      </c>
      <c r="C2" s="2715" t="s">
        <v>2819</v>
      </c>
      <c r="D2" s="2716" t="s">
        <v>2820</v>
      </c>
      <c r="E2" s="2717"/>
      <c r="F2" s="2716" t="s">
        <v>2821</v>
      </c>
      <c r="G2" s="2718">
        <f>IF(E2="商业",项目基本情况!B37,IF(E2="办公",项目基本情况!C37,IF(E2="住宅",项目基本情况!D37,项目基本情况!E37)))</f>
        <v>0</v>
      </c>
      <c r="H2" s="2716" t="s">
        <v>2822</v>
      </c>
      <c r="I2" s="2718">
        <f>IF(E2="商业",项目基本情况!B38,IF(E2="办公",项目基本情况!C38,IF(E2="住宅",项目基本情况!D38,项目基本情况!E38)))</f>
        <v>0</v>
      </c>
      <c r="J2" s="2719"/>
      <c r="K2" s="1369"/>
      <c r="L2" s="2720" t="s">
        <v>2823</v>
      </c>
      <c r="M2" s="1084">
        <f>SUMPRODUCT((区片价!B10:B28=I2)*(区片价!C3:F3=E2)*(区片价!C10:F28))</f>
        <v>0</v>
      </c>
      <c r="N2" s="1086">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2824</v>
      </c>
      <c r="B3" s="248" t="e">
        <f>ROUND(B2*10000/D1,0)</f>
        <v>#DIV/0!</v>
      </c>
      <c r="C3" s="2715" t="s">
        <v>2825</v>
      </c>
      <c r="D3" s="2716" t="s">
        <v>2826</v>
      </c>
      <c r="E3" s="2721"/>
      <c r="F3" s="2722" t="s">
        <v>2827</v>
      </c>
      <c r="G3" s="916">
        <f>IF(F3="宗地容积率",'数据-汇总表'!I4,IF(F3="估价对象容积率",'数据-汇总表'!I6,'数据-汇总表'!I7))</f>
        <v>0.78</v>
      </c>
      <c r="H3" s="198" t="s">
        <v>2828</v>
      </c>
      <c r="I3" s="947"/>
      <c r="J3" s="2719" t="s">
        <v>2829</v>
      </c>
      <c r="K3" s="1369"/>
      <c r="L3" s="2720" t="s">
        <v>2830</v>
      </c>
      <c r="M3" s="1084">
        <f>SUMPRODUCT((区片价!B29:B48=I2)*(区片价!C3:F3=E2)*(区片价!C29:F48))</f>
        <v>0</v>
      </c>
      <c r="N3" s="1086">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8"/>
      <c r="B4" s="3259"/>
      <c r="C4" s="3259"/>
      <c r="D4" s="3260"/>
      <c r="E4" s="3260"/>
      <c r="F4" s="3260"/>
      <c r="G4" s="3260"/>
      <c r="H4" s="3260"/>
      <c r="I4" s="3260"/>
      <c r="J4" s="3261"/>
      <c r="K4" s="1369"/>
      <c r="L4" s="2720" t="s">
        <v>2831</v>
      </c>
      <c r="M4" s="1084">
        <f>SUMPRODUCT((区片价!B49:B75=I2)*(区片价!C3:F3=E2)*(区片价!C49:F75))</f>
        <v>0</v>
      </c>
      <c r="N4" s="1086">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2" customFormat="1" ht="15.75" thickBot="1">
      <c r="A5" s="2723" t="s">
        <v>807</v>
      </c>
      <c r="B5" s="2724" t="s">
        <v>2832</v>
      </c>
      <c r="C5" s="917" t="e">
        <f>ROUND(IF(E2="商业",IF(F16="增加",C6*C7+C16,C6*C7-C16),IF(E2="住宅",IF(F16="增加",C6*C12+C16,C6*C12-C16),IF(F16="增加",C6+C16,C6-C16))),0)</f>
        <v>#DIV/0!</v>
      </c>
      <c r="D5" s="1783">
        <f>ROUND(IF(E2="商业",IF(F16="增加",C6+C16,C6-C16)),0)</f>
        <v>0</v>
      </c>
      <c r="E5" s="2725"/>
      <c r="F5" s="2725"/>
      <c r="G5" s="2726"/>
      <c r="H5" s="2726"/>
      <c r="I5" s="2726"/>
      <c r="J5" s="2727"/>
      <c r="K5" s="2728"/>
      <c r="L5" s="2720" t="s">
        <v>2833</v>
      </c>
      <c r="M5" s="1084">
        <f>SUMPRODUCT((区片价!B76:B109=I2)*(区片价!C3:F3=E2)*(区片价!C76:F109))</f>
        <v>0</v>
      </c>
      <c r="N5" s="1086">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9"/>
      <c r="AD5" s="2730"/>
      <c r="AE5" s="2730"/>
      <c r="AF5" s="2730"/>
      <c r="AG5" s="2730"/>
      <c r="AH5" s="2730"/>
      <c r="AI5" s="2730"/>
      <c r="AJ5" s="2731"/>
    </row>
    <row r="6" spans="1:36" ht="15.75" thickBot="1">
      <c r="A6" s="2733" t="s">
        <v>2834</v>
      </c>
      <c r="B6" s="2734" t="s">
        <v>2835</v>
      </c>
      <c r="C6" s="918">
        <f>SUMIF(L1:L12,G2,M1:M12)</f>
        <v>0</v>
      </c>
      <c r="D6" s="2735" t="s">
        <v>2836</v>
      </c>
      <c r="E6" s="2736"/>
      <c r="F6" s="2736"/>
      <c r="G6" s="2737"/>
      <c r="H6" s="2737"/>
      <c r="I6" s="2737"/>
      <c r="J6" s="2738"/>
      <c r="K6" s="1838"/>
      <c r="L6" s="2720" t="s">
        <v>2837</v>
      </c>
      <c r="M6" s="1084">
        <f>SUMPRODUCT((区片价!B110:B157=I2)*(区片价!C3:F3=E2)*(区片价!C110:F157))</f>
        <v>0</v>
      </c>
      <c r="N6" s="1086">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9"/>
      <c r="AD6" s="2730"/>
      <c r="AE6" s="2730"/>
      <c r="AF6" s="2730"/>
      <c r="AG6" s="2730"/>
      <c r="AH6" s="2730"/>
      <c r="AI6" s="2730"/>
      <c r="AJ6" s="2731"/>
    </row>
    <row r="7" spans="1:36" ht="24">
      <c r="A7" s="3262" t="str">
        <f>IF(E2="商业",IF(C8="不临58条商业街","",2),"")</f>
        <v/>
      </c>
      <c r="B7" s="2739" t="s">
        <v>2838</v>
      </c>
      <c r="C7" s="919" t="e">
        <f>IF(C8="不临58条商业街",1,ROUND(1+(1.6*E8+1.2*E9+0.8*E10+0.4*E11)*C9,4))</f>
        <v>#DIV/0!</v>
      </c>
      <c r="D7" s="2740" t="s">
        <v>2839</v>
      </c>
      <c r="E7" s="948"/>
      <c r="F7" s="2741"/>
      <c r="G7" s="2742"/>
      <c r="H7" s="2742"/>
      <c r="I7" s="2742"/>
      <c r="J7" s="2743"/>
      <c r="K7" s="1838"/>
      <c r="L7" s="2720" t="s">
        <v>2840</v>
      </c>
      <c r="M7" s="1084">
        <f>SUMPRODUCT((区片价!B158:B205=I2)*(区片价!C3:F3=E2)*(区片价!C158:F205))</f>
        <v>0</v>
      </c>
      <c r="N7" s="1086">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2" t="s">
        <v>2841</v>
      </c>
      <c r="X7" s="1603">
        <f>G2</f>
        <v>0</v>
      </c>
      <c r="Y7" s="1603" t="s">
        <v>2842</v>
      </c>
      <c r="Z7" s="1604">
        <f>G3</f>
        <v>0.78</v>
      </c>
      <c r="AA7" s="1605"/>
      <c r="AB7" s="1605"/>
      <c r="AC7" s="1606"/>
      <c r="AD7" s="1607"/>
      <c r="AE7" s="1607"/>
      <c r="AF7" s="1607"/>
      <c r="AG7" s="1607"/>
      <c r="AH7" s="1607"/>
      <c r="AI7" s="1607"/>
      <c r="AJ7" s="1608"/>
    </row>
    <row r="8" spans="1:36" ht="15">
      <c r="A8" s="3263"/>
      <c r="B8" s="198" t="s">
        <v>2843</v>
      </c>
      <c r="C8" s="2744"/>
      <c r="D8" s="920" t="s">
        <v>139</v>
      </c>
      <c r="E8" s="921" t="e">
        <f>ROUND(C11/E7,4)</f>
        <v>#DIV/0!</v>
      </c>
      <c r="F8" s="2745" t="s">
        <v>2844</v>
      </c>
      <c r="G8" s="2746"/>
      <c r="H8" s="2746"/>
      <c r="I8" s="2746"/>
      <c r="J8" s="2747"/>
      <c r="K8" s="1369"/>
      <c r="L8" s="2720" t="s">
        <v>2845</v>
      </c>
      <c r="M8" s="1084">
        <f>SUMPRODUCT((区片价!B206:B244=I2)*(区片价!C3:F3=E2)*(区片价!C206:F244))</f>
        <v>0</v>
      </c>
      <c r="N8" s="1086">
        <f>SUMPRODUCT((因素修正幅度!B206:B244=I2)*(因素修正幅度!C3:F3=E2)*(因素修正幅度!C206:F244))</f>
        <v>0</v>
      </c>
      <c r="O8" s="1369"/>
      <c r="P8" s="1369"/>
      <c r="Q8" s="1369"/>
      <c r="R8" s="1601">
        <v>7</v>
      </c>
      <c r="S8" s="1602"/>
      <c r="T8" s="1601" t="e">
        <f t="shared" si="0"/>
        <v>#DIV/0!</v>
      </c>
      <c r="U8" s="1602"/>
      <c r="V8" s="1601" t="e">
        <f t="shared" si="1"/>
        <v>#DIV/0!</v>
      </c>
      <c r="W8" s="3255" t="s">
        <v>2846</v>
      </c>
      <c r="X8" s="3256"/>
      <c r="Y8" s="1609" t="s">
        <v>2847</v>
      </c>
      <c r="Z8" s="1609" t="s">
        <v>2848</v>
      </c>
      <c r="AA8" s="1609" t="s">
        <v>2849</v>
      </c>
      <c r="AB8" s="1609" t="s">
        <v>2850</v>
      </c>
      <c r="AC8" s="1609" t="s">
        <v>2851</v>
      </c>
      <c r="AD8" s="1609" t="s">
        <v>2852</v>
      </c>
      <c r="AE8" s="1609" t="s">
        <v>2853</v>
      </c>
      <c r="AF8" s="1609" t="s">
        <v>2854</v>
      </c>
      <c r="AG8" s="1609" t="s">
        <v>2855</v>
      </c>
      <c r="AH8" s="1609" t="s">
        <v>2856</v>
      </c>
      <c r="AI8" s="1609" t="s">
        <v>2857</v>
      </c>
      <c r="AJ8" s="1609" t="s">
        <v>2858</v>
      </c>
    </row>
    <row r="9" spans="1:36" ht="15">
      <c r="A9" s="3263"/>
      <c r="B9" s="198" t="s">
        <v>2859</v>
      </c>
      <c r="C9" s="922">
        <f>SUMIF(修正!C59:C119,C8,修正!E59:E119)</f>
        <v>0</v>
      </c>
      <c r="D9" s="200" t="s">
        <v>140</v>
      </c>
      <c r="E9" s="200" t="e">
        <f>ROUND(C11/E7,4)</f>
        <v>#DIV/0!</v>
      </c>
      <c r="F9" s="2745" t="s">
        <v>2860</v>
      </c>
      <c r="G9" s="2746"/>
      <c r="H9" s="2746"/>
      <c r="I9" s="2746"/>
      <c r="J9" s="2747"/>
      <c r="K9" s="1369"/>
      <c r="L9" s="2720" t="s">
        <v>2861</v>
      </c>
      <c r="M9" s="1084">
        <f>SUMPRODUCT((区片价!B245:B289=I2)*(区片价!C3:F3=E2)*(区片价!C245:F289))</f>
        <v>0</v>
      </c>
      <c r="N9" s="1086">
        <f>SUMPRODUCT((因素修正幅度!B245:B289=I2)*(因素修正幅度!C3:F3=E2)*(因素修正幅度!C245:F289))</f>
        <v>0</v>
      </c>
      <c r="O9" s="1369"/>
      <c r="P9" s="1369"/>
      <c r="Q9" s="1369"/>
      <c r="R9" s="1601">
        <v>8</v>
      </c>
      <c r="S9" s="1602"/>
      <c r="T9" s="1601" t="e">
        <f t="shared" si="0"/>
        <v>#DIV/0!</v>
      </c>
      <c r="U9" s="1602"/>
      <c r="V9" s="1601" t="e">
        <f t="shared" si="1"/>
        <v>#DIV/0!</v>
      </c>
      <c r="W9" s="3257" t="s">
        <v>2862</v>
      </c>
      <c r="X9" s="1610" t="s">
        <v>2863</v>
      </c>
      <c r="Y9" s="1768"/>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3"/>
      <c r="B10" s="198" t="s">
        <v>2864</v>
      </c>
      <c r="C10" s="200">
        <f>SUMIF(修正!C59:C119,C8,修正!F59:F119)</f>
        <v>0</v>
      </c>
      <c r="D10" s="200" t="s">
        <v>141</v>
      </c>
      <c r="E10" s="200" t="e">
        <f>ROUND(C11/E7,4)</f>
        <v>#DIV/0!</v>
      </c>
      <c r="F10" s="2745" t="s">
        <v>2865</v>
      </c>
      <c r="G10" s="2746"/>
      <c r="H10" s="2746"/>
      <c r="I10" s="2746"/>
      <c r="J10" s="2747"/>
      <c r="K10" s="1369"/>
      <c r="L10" s="2720" t="s">
        <v>2866</v>
      </c>
      <c r="M10" s="1084">
        <f>SUMPRODUCT((区片价!B290:B316=I2)*(区片价!C3:F3=E2)*(区片价!C290:F316))</f>
        <v>0</v>
      </c>
      <c r="N10" s="1086">
        <f>SUMPRODUCT((因素修正幅度!B290:B316=I2)*(因素修正幅度!C3:F3=E2)*(因素修正幅度!C290:F316))</f>
        <v>0</v>
      </c>
      <c r="O10" s="1369"/>
      <c r="P10" s="1369"/>
      <c r="Q10" s="1369"/>
      <c r="R10" s="1601">
        <v>9</v>
      </c>
      <c r="S10" s="1602"/>
      <c r="T10" s="1601" t="e">
        <f t="shared" si="0"/>
        <v>#DIV/0!</v>
      </c>
      <c r="U10" s="1602"/>
      <c r="V10" s="1601" t="e">
        <f t="shared" si="1"/>
        <v>#DIV/0!</v>
      </c>
      <c r="W10" s="325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3"/>
      <c r="B11" s="2748" t="s">
        <v>2867</v>
      </c>
      <c r="C11" s="923">
        <f>C10/4</f>
        <v>0</v>
      </c>
      <c r="D11" s="923" t="s">
        <v>142</v>
      </c>
      <c r="E11" s="923" t="e">
        <f>ROUND(C11/E7,4)</f>
        <v>#DIV/0!</v>
      </c>
      <c r="F11" s="2749" t="s">
        <v>2868</v>
      </c>
      <c r="G11" s="2750"/>
      <c r="H11" s="2750"/>
      <c r="I11" s="2750"/>
      <c r="J11" s="2751"/>
      <c r="K11" s="1369"/>
      <c r="L11" s="2720" t="s">
        <v>2869</v>
      </c>
      <c r="M11" s="1084">
        <f>SUMPRODUCT((区片价!B317:B337=I2)*(区片价!C3:F3=E2)*(区片价!C317:F337))</f>
        <v>0</v>
      </c>
      <c r="N11" s="1086">
        <f>SUMPRODUCT((因素修正幅度!B317:B337=I2)*(因素修正幅度!C3:F3=E2)*(因素修正幅度!C317:F337))</f>
        <v>0</v>
      </c>
      <c r="O11" s="1369"/>
      <c r="P11" s="1369"/>
      <c r="Q11" s="1369"/>
      <c r="R11" s="1601">
        <v>10</v>
      </c>
      <c r="S11" s="1602"/>
      <c r="T11" s="1601" t="e">
        <f t="shared" si="0"/>
        <v>#DIV/0!</v>
      </c>
      <c r="U11" s="1602"/>
      <c r="V11" s="1601" t="e">
        <f t="shared" si="1"/>
        <v>#DIV/0!</v>
      </c>
      <c r="W11" s="3257" t="s">
        <v>2870</v>
      </c>
      <c r="X11" s="1613" t="s">
        <v>2871</v>
      </c>
      <c r="Y11" s="1614">
        <f>$G$3</f>
        <v>0.78</v>
      </c>
      <c r="Z11" s="1614">
        <f t="shared" ref="Z11:AJ11" si="3">$G$3</f>
        <v>0.78</v>
      </c>
      <c r="AA11" s="1614">
        <f t="shared" si="3"/>
        <v>0.78</v>
      </c>
      <c r="AB11" s="1614">
        <f t="shared" si="3"/>
        <v>0.78</v>
      </c>
      <c r="AC11" s="1614">
        <f t="shared" si="3"/>
        <v>0.78</v>
      </c>
      <c r="AD11" s="1614">
        <f t="shared" si="3"/>
        <v>0.78</v>
      </c>
      <c r="AE11" s="1614">
        <f t="shared" si="3"/>
        <v>0.78</v>
      </c>
      <c r="AF11" s="1614">
        <f t="shared" si="3"/>
        <v>0.78</v>
      </c>
      <c r="AG11" s="1614">
        <f t="shared" si="3"/>
        <v>0.78</v>
      </c>
      <c r="AH11" s="1614">
        <f t="shared" si="3"/>
        <v>0.78</v>
      </c>
      <c r="AI11" s="1614">
        <f t="shared" si="3"/>
        <v>0.78</v>
      </c>
      <c r="AJ11" s="1614">
        <f t="shared" si="3"/>
        <v>0.78</v>
      </c>
    </row>
    <row r="12" spans="1:36" ht="25.5" thickBot="1">
      <c r="A12" s="3262" t="s">
        <v>2872</v>
      </c>
      <c r="B12" s="2752" t="s">
        <v>2873</v>
      </c>
      <c r="C12" s="919">
        <f>ROUND(C15*D15*E15*F15*G15*H15*I15*J15,4)</f>
        <v>1</v>
      </c>
      <c r="D12" s="2753" t="s">
        <v>2874</v>
      </c>
      <c r="E12" s="2754"/>
      <c r="F12" s="2754"/>
      <c r="G12" s="2755"/>
      <c r="H12" s="2755"/>
      <c r="I12" s="2755"/>
      <c r="J12" s="2756"/>
      <c r="K12" s="1369"/>
      <c r="L12" s="2757" t="s">
        <v>2875</v>
      </c>
      <c r="M12" s="1085">
        <f>SUMPRODUCT((区片价!B338:B344=I2)*(区片价!C3:F3=E2)*(区片价!C338:F344))</f>
        <v>0</v>
      </c>
      <c r="N12" s="1086">
        <f>SUMPRODUCT((因素修正幅度!B338:B344=I2)*(因素修正幅度!C3:F3=E2)*(因素修正幅度!C338:F344))</f>
        <v>0</v>
      </c>
      <c r="O12" s="1369"/>
      <c r="P12" s="1369"/>
      <c r="Q12" s="1369"/>
      <c r="R12" s="1601">
        <v>11</v>
      </c>
      <c r="S12" s="1602"/>
      <c r="T12" s="1601" t="e">
        <f t="shared" si="0"/>
        <v>#DIV/0!</v>
      </c>
      <c r="U12" s="1602"/>
      <c r="V12" s="1601" t="e">
        <f t="shared" si="1"/>
        <v>#DIV/0!</v>
      </c>
      <c r="W12" s="3257"/>
      <c r="X12" s="1615" t="s">
        <v>2876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4"/>
      <c r="B13" s="2758" t="s">
        <v>2877</v>
      </c>
      <c r="C13" s="2759" t="s">
        <v>2878</v>
      </c>
      <c r="D13" s="1804" t="s">
        <v>2879</v>
      </c>
      <c r="E13" s="1804" t="s">
        <v>2880</v>
      </c>
      <c r="F13" s="30" t="s">
        <v>2881</v>
      </c>
      <c r="G13" s="2760" t="s">
        <v>2882</v>
      </c>
      <c r="H13" s="2760" t="s">
        <v>2882</v>
      </c>
      <c r="I13" s="2760" t="s">
        <v>2882</v>
      </c>
      <c r="J13" s="2761" t="s">
        <v>2882</v>
      </c>
      <c r="K13" s="1369"/>
      <c r="L13" s="1369"/>
      <c r="M13" s="1369"/>
      <c r="N13" s="1369"/>
      <c r="O13" s="1369"/>
      <c r="P13" s="1369"/>
      <c r="Q13" s="1369"/>
      <c r="R13" s="1601">
        <v>12</v>
      </c>
      <c r="S13" s="1602"/>
      <c r="T13" s="1601" t="e">
        <f t="shared" si="0"/>
        <v>#DIV/0!</v>
      </c>
      <c r="U13" s="1602"/>
      <c r="V13" s="1601" t="e">
        <f t="shared" si="1"/>
        <v>#DIV/0!</v>
      </c>
      <c r="W13" s="3257"/>
      <c r="X13" s="1615"/>
      <c r="Y13" s="1612">
        <f>(-0.163*(Y12^2)-0.59*Y12+7617)*(10^(-4))/Y11</f>
        <v>0.97653846153846158</v>
      </c>
      <c r="Z13" s="1612">
        <f t="shared" ref="Z13:AJ13" si="5">(-0.163*(Z12^2)-0.59*Z12+7617)*(10^(-4))/Z11</f>
        <v>0.97653846153846158</v>
      </c>
      <c r="AA13" s="1612">
        <f t="shared" si="5"/>
        <v>0.97653846153846158</v>
      </c>
      <c r="AB13" s="1612">
        <f t="shared" si="5"/>
        <v>0.97653846153846158</v>
      </c>
      <c r="AC13" s="1612">
        <f t="shared" si="5"/>
        <v>0.97653846153846158</v>
      </c>
      <c r="AD13" s="1612">
        <f t="shared" si="5"/>
        <v>0.97653846153846158</v>
      </c>
      <c r="AE13" s="1612">
        <f t="shared" si="5"/>
        <v>0.97653846153846158</v>
      </c>
      <c r="AF13" s="1612">
        <f t="shared" si="5"/>
        <v>0.97653846153846158</v>
      </c>
      <c r="AG13" s="1612">
        <f t="shared" si="5"/>
        <v>0.97653846153846158</v>
      </c>
      <c r="AH13" s="1612">
        <f t="shared" si="5"/>
        <v>0.97653846153846158</v>
      </c>
      <c r="AI13" s="1612">
        <f t="shared" si="5"/>
        <v>0.97653846153846158</v>
      </c>
      <c r="AJ13" s="1612">
        <f t="shared" si="5"/>
        <v>0.97653846153846158</v>
      </c>
    </row>
    <row r="14" spans="1:36" ht="15">
      <c r="A14" s="3264"/>
      <c r="B14" s="2762"/>
      <c r="C14" s="2763"/>
      <c r="D14" s="2764"/>
      <c r="E14" s="2764"/>
      <c r="F14" s="2765"/>
      <c r="G14" s="2766" t="s">
        <v>2883</v>
      </c>
      <c r="H14" s="2767"/>
      <c r="I14" s="2768"/>
      <c r="J14" s="2769"/>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5"/>
      <c r="B15" s="2770" t="s">
        <v>2884</v>
      </c>
      <c r="C15" s="229">
        <f>IF(C14="有",1.1,1)</f>
        <v>1</v>
      </c>
      <c r="D15" s="229">
        <f>IF(D14="有",1.1,1)</f>
        <v>1</v>
      </c>
      <c r="E15" s="229">
        <f>IF(E14="有",1.1,1)</f>
        <v>1</v>
      </c>
      <c r="F15" s="229">
        <f>IF(F14="500米范围内",1.2,IF(F14="500-1000米",1.1,1))</f>
        <v>1</v>
      </c>
      <c r="G15" s="949">
        <v>1</v>
      </c>
      <c r="H15" s="949">
        <v>1</v>
      </c>
      <c r="I15" s="949">
        <v>1</v>
      </c>
      <c r="J15" s="950">
        <v>1</v>
      </c>
      <c r="K15" s="1369"/>
      <c r="L15" s="2771" t="s">
        <v>2820</v>
      </c>
      <c r="M15" s="920" t="s">
        <v>2885</v>
      </c>
      <c r="N15" s="920" t="s">
        <v>2886</v>
      </c>
      <c r="O15" s="920" t="s">
        <v>2887</v>
      </c>
      <c r="P15" s="2772" t="s">
        <v>2888</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2" t="s">
        <v>2889</v>
      </c>
      <c r="B16" s="2739" t="s">
        <v>2890</v>
      </c>
      <c r="C16" s="1797" t="e">
        <f>ROUND(SUM(G17:J17)/C17,0)</f>
        <v>#DIV/0!</v>
      </c>
      <c r="D16" s="2773" t="s">
        <v>2891</v>
      </c>
      <c r="E16" s="2774"/>
      <c r="F16" s="2775"/>
      <c r="G16" s="2776"/>
      <c r="H16" s="2776"/>
      <c r="I16" s="2776"/>
      <c r="J16" s="2777"/>
      <c r="K16" s="1369"/>
      <c r="L16" s="2778" t="s">
        <v>2892</v>
      </c>
      <c r="M16" s="922">
        <v>0.25</v>
      </c>
      <c r="N16" s="922">
        <v>0.2</v>
      </c>
      <c r="O16" s="922">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3"/>
      <c r="B17" s="2779" t="s">
        <v>2893</v>
      </c>
      <c r="C17" s="924">
        <f>SUMPRODUCT((修正!A2:A5=E2)*(修正!B1:M1=G2)*(修正!B2:M5))</f>
        <v>0</v>
      </c>
      <c r="D17" s="2780" t="s">
        <v>2894</v>
      </c>
      <c r="E17" s="923" t="str">
        <f>IF(OR(G2="八级",G2="九级",G2="十级",G2="十一级",G2="十二级"),"五通一平","七通一平")</f>
        <v>七通一平</v>
      </c>
      <c r="F17" s="924" t="s">
        <v>2895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69"/>
      <c r="L17" s="2781" t="s">
        <v>2896</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2783" t="s">
        <v>808</v>
      </c>
      <c r="B18" s="2784" t="s">
        <v>2897</v>
      </c>
      <c r="C18" s="926">
        <f>SUMIF(修正!C18:C39,E3,修正!E18:E39)</f>
        <v>0</v>
      </c>
      <c r="D18" s="2785"/>
      <c r="E18" s="2786"/>
      <c r="F18" s="2787"/>
      <c r="G18" s="2788"/>
      <c r="H18" s="2788"/>
      <c r="I18" s="2788"/>
      <c r="J18" s="2789"/>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7.75" thickBot="1">
      <c r="A19" s="2783" t="s">
        <v>809</v>
      </c>
      <c r="B19" s="2784" t="s">
        <v>2898</v>
      </c>
      <c r="C19" s="927" t="e">
        <f>ROUND(IF(H19="按公示增长率计算",SUMPRODUCT((地价!A3:A24=YEAR(G19)&amp;"-"&amp;ROUNDUP(MONTH(G19)/3,0))*(地价!X2:AB2=E2)*(地价!X3:AB24)),IF(H19="地价指数",M20/M19,(1+I19)^O19)),4)</f>
        <v>#DIV/0!</v>
      </c>
      <c r="D19" s="2791" t="s">
        <v>2899</v>
      </c>
      <c r="E19" s="928">
        <v>41640</v>
      </c>
      <c r="F19" s="2791" t="s">
        <v>2900</v>
      </c>
      <c r="G19" s="929">
        <f>'数据-取费表'!B2</f>
        <v>43417</v>
      </c>
      <c r="H19" s="2792" t="s">
        <v>2901</v>
      </c>
      <c r="I19" s="930" t="str">
        <f>IF(H19="季度增幅（自定义）",SUMIF(N21:N24,E2,O21:O24),"")</f>
        <v/>
      </c>
      <c r="J19" s="2789"/>
      <c r="K19" s="1376"/>
      <c r="L19" s="2793" t="s">
        <v>2902</v>
      </c>
      <c r="M19" s="1732">
        <f>ROUND(SUMIF(地价!B2:F2,E2,地价!B24:F24),0)</f>
        <v>0</v>
      </c>
      <c r="N19" s="2794" t="s">
        <v>2903</v>
      </c>
      <c r="O19" s="931">
        <f>ROUNDDOWN(DATEDIF(E19,G19,"M")/3,0)</f>
        <v>19</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2798" t="s">
        <v>810</v>
      </c>
      <c r="B20" s="2799" t="s">
        <v>2904</v>
      </c>
      <c r="C20" s="932" t="e">
        <f>ROUND(POWER(1+G20,J20-I20)*(POWER(1+G20,I20)-1)/(POWER(1+G20,J20)-1),4)</f>
        <v>#DIV/0!</v>
      </c>
      <c r="D20" s="2800" t="s">
        <v>2905</v>
      </c>
      <c r="E20" s="1766">
        <f ca="1">存贷款利率!D4/100</f>
        <v>4.3499999999999997E-2</v>
      </c>
      <c r="F20" s="2800" t="s">
        <v>2896</v>
      </c>
      <c r="G20" s="937">
        <f>SUMIF(M15:P15,E2,M17:P17)</f>
        <v>0</v>
      </c>
      <c r="H20" s="2800" t="s">
        <v>2906</v>
      </c>
      <c r="I20" s="938" t="e">
        <f>SUMIF('数据-取费表'!C6:C15,E2,'数据-取费表'!F6:F15)/COUNTIF('数据-取费表'!C6:C15,E2)</f>
        <v>#DIV/0!</v>
      </c>
      <c r="J20" s="939">
        <f>IF(E2="住宅",70,IF(E2="商业",40,50))</f>
        <v>50</v>
      </c>
      <c r="K20" s="1376"/>
      <c r="L20" s="2801" t="s">
        <v>2907</v>
      </c>
      <c r="M20" s="1733">
        <f>ROUND(SUMPRODUCT((地价!A4:A24=YEAR(G19)&amp;"-"&amp;ROUNDUP(MONTH(G19)/3,0))*(地价!B2:F2=E2)*(地价!B4:F24)),0)</f>
        <v>0</v>
      </c>
      <c r="N20" s="2802" t="s">
        <v>2908</v>
      </c>
      <c r="O20" s="2803" t="s">
        <v>2909</v>
      </c>
      <c r="P20" s="2804" t="s">
        <v>2910</v>
      </c>
      <c r="R20" s="1375"/>
      <c r="S20" s="1375"/>
      <c r="T20" s="1370"/>
      <c r="U20" s="1370"/>
      <c r="V20" s="1370"/>
      <c r="W20" s="1369"/>
      <c r="X20" s="1369"/>
      <c r="Y20" s="1369"/>
      <c r="Z20" s="1376"/>
      <c r="AA20" s="1377"/>
      <c r="AB20" s="1377"/>
      <c r="AC20" s="1377"/>
      <c r="AD20" s="1377"/>
      <c r="AE20" s="1377"/>
      <c r="AF20" s="1377"/>
    </row>
    <row r="21" spans="1:37" s="2732" customFormat="1" ht="15">
      <c r="A21" s="2805" t="s">
        <v>811</v>
      </c>
      <c r="B21" s="2806" t="s">
        <v>2911</v>
      </c>
      <c r="C21" s="940">
        <f>IF(B21="容积率修正",IF(G3&lt;=10,D22,J22),C23)</f>
        <v>0</v>
      </c>
      <c r="D21" s="2807"/>
      <c r="E21" s="2807"/>
      <c r="F21" s="2807"/>
      <c r="G21" s="2807"/>
      <c r="H21" s="2807"/>
      <c r="I21" s="2807"/>
      <c r="J21" s="2808"/>
      <c r="K21" s="1376"/>
      <c r="N21" s="2809" t="s">
        <v>2912</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2" customFormat="1" ht="14.25">
      <c r="A22" s="2658" t="s">
        <v>2913</v>
      </c>
      <c r="B22" s="2810" t="s">
        <v>2914</v>
      </c>
      <c r="C22" s="1806" t="s">
        <v>2915</v>
      </c>
      <c r="D22" s="1806">
        <f>IF(E22=G22,F22,IF(G3&lt;=10,ROUND(F22+(H22-F22)*(G3-E22)/(G22-E22),4),"——"))</f>
        <v>0</v>
      </c>
      <c r="E22" s="916">
        <f>ROUNDDOWN(G3,1)</f>
        <v>0.7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1" t="str">
        <f>IF(G3&gt;10,D113,"——")</f>
        <v>——</v>
      </c>
      <c r="K22" s="1376"/>
      <c r="N22" s="2809" t="s">
        <v>2916</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58" t="s">
        <v>2917</v>
      </c>
      <c r="B23" s="2811" t="s">
        <v>2918</v>
      </c>
      <c r="C23" s="1016">
        <f>ROUND(IF(G3&gt;1,IF(I3&lt;7,SUMPRODUCT((B93:B98=I3)*(C92:N92=G2)*(C93:N98)),SUMIF(C92:N92,G2,C100:N100)),IF(I3&lt;7,SUMPRODUCT((B102:B107=I3)*(C92:N92=G2)*(C102:N107)),SUMIF(C92:N92,G2,C109:N109))),4)</f>
        <v>0</v>
      </c>
      <c r="D23" s="2767"/>
      <c r="E23" s="2767"/>
      <c r="F23" s="2812"/>
      <c r="G23" s="2813"/>
      <c r="H23" s="2814"/>
      <c r="I23" s="2815"/>
      <c r="J23" s="2816"/>
      <c r="K23" s="1369"/>
      <c r="N23" s="2809" t="s">
        <v>2919</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0"/>
    </row>
    <row r="24" spans="1:37" s="2732" customFormat="1" ht="15.75" thickBot="1">
      <c r="A24" s="2798" t="s">
        <v>812</v>
      </c>
      <c r="B24" s="2784" t="s">
        <v>2920</v>
      </c>
      <c r="C24" s="927">
        <f>SUMIF(A45:A88,E2,B45:B88)</f>
        <v>0</v>
      </c>
      <c r="D24" s="2787"/>
      <c r="E24" s="2817"/>
      <c r="F24" s="2817"/>
      <c r="G24" s="2817"/>
      <c r="H24" s="2817"/>
      <c r="I24" s="2817"/>
      <c r="J24" s="2818"/>
      <c r="K24" s="1376"/>
      <c r="N24" s="2819" t="s">
        <v>2921</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2922</v>
      </c>
      <c r="C25" s="933"/>
      <c r="D25" s="2742"/>
      <c r="E25" s="2742"/>
      <c r="F25" s="2821"/>
      <c r="G25" s="2742"/>
      <c r="H25" s="2742"/>
      <c r="I25" s="2742"/>
      <c r="J25" s="2743"/>
      <c r="K25" s="1369"/>
      <c r="N25" s="2822" t="s">
        <v>2923</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3"/>
      <c r="B26" s="2810" t="s">
        <v>2924</v>
      </c>
      <c r="C26" s="206" t="e">
        <f>E29+SUM(E33:E39)</f>
        <v>#DIV/0!</v>
      </c>
      <c r="D26" s="2824"/>
      <c r="E26" s="2767"/>
      <c r="F26" s="2825"/>
      <c r="G26" s="2767"/>
      <c r="H26" s="2767"/>
      <c r="I26" s="2767"/>
      <c r="J26" s="2826"/>
      <c r="K26" s="1369"/>
      <c r="R26" s="1375"/>
      <c r="S26" s="1375"/>
      <c r="T26" s="1370"/>
      <c r="U26" s="1370"/>
      <c r="V26" s="1370"/>
      <c r="W26" s="1369"/>
      <c r="X26" s="1369"/>
      <c r="Y26" s="1369"/>
      <c r="Z26" s="1376"/>
      <c r="AA26" s="1377"/>
      <c r="AB26" s="1377"/>
      <c r="AC26" s="1377"/>
      <c r="AD26" s="1377"/>
    </row>
    <row r="27" spans="1:37" ht="15.75" thickBot="1">
      <c r="A27" s="2823"/>
      <c r="B27" s="2827" t="s">
        <v>2925</v>
      </c>
      <c r="C27" s="934" t="e">
        <f>E30+SUM(I33:I39)</f>
        <v>#DIV/0!</v>
      </c>
      <c r="D27" s="2828"/>
      <c r="E27" s="2829"/>
      <c r="F27" s="2830"/>
      <c r="G27" s="2829"/>
      <c r="H27" s="2829"/>
      <c r="I27" s="2829"/>
      <c r="J27" s="2831"/>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2"/>
      <c r="B28" s="2833" t="s">
        <v>2926</v>
      </c>
      <c r="C28" s="2834" t="s">
        <v>2927</v>
      </c>
      <c r="D28" s="2834" t="s">
        <v>2928</v>
      </c>
      <c r="E28" s="2835" t="s">
        <v>2929</v>
      </c>
      <c r="F28" s="2836"/>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7"/>
      <c r="B29" s="2838" t="s">
        <v>2930</v>
      </c>
      <c r="C29" s="206" t="e">
        <f>ROUND(C5*C18*C19*C20*C21*C24,0)</f>
        <v>#DIV/0!</v>
      </c>
      <c r="D29" s="2839"/>
      <c r="E29" s="945" t="e">
        <f>ROUND(C29*D29/10000,0)</f>
        <v>#DIV/0!</v>
      </c>
      <c r="F29" s="2840" t="s">
        <v>2931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2843"/>
      <c r="B30" s="2844" t="s">
        <v>2932</v>
      </c>
      <c r="C30" s="229" t="e">
        <f>ROUND(IF(E2="工业",C29*M39,C29*M38),0)</f>
        <v>#DIV/0!</v>
      </c>
      <c r="D30" s="2845"/>
      <c r="E30" s="945" t="e">
        <f>ROUND(C30*D30/10000,0)</f>
        <v>#DIV/0!</v>
      </c>
      <c r="F30" s="2846" t="s">
        <v>2933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2849"/>
      <c r="B31" s="2850" t="s">
        <v>2934</v>
      </c>
      <c r="C31" s="2851" t="s">
        <v>2935</v>
      </c>
      <c r="D31" s="2755"/>
      <c r="E31" s="2851"/>
      <c r="F31" s="2851"/>
      <c r="G31" s="2753" t="s">
        <v>2936</v>
      </c>
      <c r="H31" s="2755"/>
      <c r="I31" s="2852"/>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2837"/>
      <c r="B32" s="2853"/>
      <c r="C32" s="501" t="s">
        <v>2927</v>
      </c>
      <c r="D32" s="498" t="s">
        <v>2928</v>
      </c>
      <c r="E32" s="498" t="s">
        <v>2929</v>
      </c>
      <c r="F32" s="388" t="s">
        <v>2937</v>
      </c>
      <c r="G32" s="2854" t="s">
        <v>2927</v>
      </c>
      <c r="H32" s="2854" t="s">
        <v>2928</v>
      </c>
      <c r="I32" s="2854" t="s">
        <v>2929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272" t="s">
        <v>2938</v>
      </c>
      <c r="B33" s="2855" t="s">
        <v>2939</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3"/>
      <c r="B34" s="2759" t="s">
        <v>2940</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3"/>
      <c r="B35" s="2759" t="s">
        <v>2941</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274"/>
      <c r="B36" s="2759" t="s">
        <v>2942</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9"/>
      <c r="L36" s="2713"/>
      <c r="M36" s="2713"/>
      <c r="N36" s="1369"/>
      <c r="O36" s="1369"/>
      <c r="P36" s="1369"/>
      <c r="Q36" s="1369"/>
      <c r="R36" s="1369"/>
      <c r="S36" s="1369"/>
      <c r="T36" s="1369"/>
      <c r="U36" s="1369"/>
      <c r="V36" s="1369"/>
      <c r="W36" s="1369"/>
      <c r="X36" s="1369"/>
      <c r="Y36" s="1369"/>
      <c r="Z36" s="1370"/>
    </row>
    <row r="37" spans="1:37">
      <c r="A37" s="2857"/>
      <c r="B37" s="2759" t="s">
        <v>2943</v>
      </c>
      <c r="C37" s="200" t="e">
        <f>ROUND(C5*C19*C20*C24*F37,0)</f>
        <v>#DIV/0!</v>
      </c>
      <c r="D37" s="2839"/>
      <c r="E37" s="200" t="e">
        <f t="shared" si="7"/>
        <v>#DIV/0!</v>
      </c>
      <c r="F37" s="206">
        <f>SUMIF(修正!A45:A56,G2,修正!F45:F56)</f>
        <v>0</v>
      </c>
      <c r="G37" s="200" t="e">
        <f>ROUND(IF(E2="工业",C37*$M$39,C37*$M$38),0)</f>
        <v>#DIV/0!</v>
      </c>
      <c r="H37" s="200">
        <f t="shared" si="8"/>
        <v>0</v>
      </c>
      <c r="I37" s="200" t="e">
        <f t="shared" si="9"/>
        <v>#DIV/0!</v>
      </c>
      <c r="J37" s="2856"/>
      <c r="K37" s="1369"/>
      <c r="L37" s="2858" t="s">
        <v>2944</v>
      </c>
      <c r="M37" s="2859"/>
      <c r="N37" s="1369"/>
      <c r="O37" s="1369"/>
      <c r="P37" s="1369"/>
      <c r="Q37" s="1369"/>
      <c r="R37" s="1369"/>
      <c r="S37" s="1369"/>
      <c r="T37" s="1369"/>
      <c r="U37" s="1369"/>
      <c r="V37" s="1369"/>
      <c r="W37" s="1369"/>
      <c r="X37" s="1369"/>
      <c r="Y37" s="1369"/>
      <c r="Z37" s="1370"/>
    </row>
    <row r="38" spans="1:37">
      <c r="A38" s="2857"/>
      <c r="B38" s="2759" t="s">
        <v>2945</v>
      </c>
      <c r="C38" s="200" t="e">
        <f>ROUND(C5*C19*C20*C24*F38,0)</f>
        <v>#DIV/0!</v>
      </c>
      <c r="D38" s="2839"/>
      <c r="E38" s="200" t="e">
        <f t="shared" si="7"/>
        <v>#DIV/0!</v>
      </c>
      <c r="F38" s="206">
        <f>SUMIF(修正!A45:A56,G2,修正!G45:G56)</f>
        <v>0</v>
      </c>
      <c r="G38" s="200" t="e">
        <f>ROUND(IF(E2="工业",C38*$M$39,C38*$M$38),0)</f>
        <v>#DIV/0!</v>
      </c>
      <c r="H38" s="200">
        <f t="shared" si="8"/>
        <v>0</v>
      </c>
      <c r="I38" s="200" t="e">
        <f t="shared" si="9"/>
        <v>#DIV/0!</v>
      </c>
      <c r="J38" s="2856"/>
      <c r="K38" s="1369"/>
      <c r="L38" s="1883" t="s">
        <v>2946</v>
      </c>
      <c r="M38" s="2860">
        <v>0.25</v>
      </c>
      <c r="N38" s="1369"/>
      <c r="O38" s="1369"/>
      <c r="P38" s="1369"/>
      <c r="Q38" s="1369"/>
      <c r="R38" s="1369"/>
      <c r="S38" s="1369"/>
      <c r="T38" s="1369"/>
      <c r="U38" s="1369"/>
      <c r="V38" s="1369"/>
      <c r="W38" s="1369"/>
      <c r="X38" s="1369"/>
      <c r="Y38" s="1369"/>
      <c r="Z38" s="1370"/>
    </row>
    <row r="39" spans="1:37" ht="13.5" thickBot="1">
      <c r="A39" s="2843"/>
      <c r="B39" s="2861" t="s">
        <v>2947</v>
      </c>
      <c r="C39" s="229" t="e">
        <f>ROUND(C5*C19*C20*C24*F39,0)</f>
        <v>#DIV/0!</v>
      </c>
      <c r="D39" s="2845"/>
      <c r="E39" s="229" t="e">
        <f t="shared" si="7"/>
        <v>#DIV/0!</v>
      </c>
      <c r="F39" s="935">
        <f>SUMIF(修正!A45:A56,G2,修正!H45:H56)</f>
        <v>0</v>
      </c>
      <c r="G39" s="229" t="e">
        <f>ROUND(IF(E2="工业",C39*$M$39,C39*$M$38),0)</f>
        <v>#DIV/0!</v>
      </c>
      <c r="H39" s="229">
        <f t="shared" si="8"/>
        <v>0</v>
      </c>
      <c r="I39" s="229" t="e">
        <f t="shared" si="9"/>
        <v>#DIV/0!</v>
      </c>
      <c r="J39" s="2862"/>
      <c r="K39" s="1369"/>
      <c r="L39" s="2863" t="s">
        <v>2888</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2948</v>
      </c>
      <c r="B45" s="2867"/>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8" t="s">
        <v>2949</v>
      </c>
      <c r="B46" s="2869">
        <f>1+E48</f>
        <v>1</v>
      </c>
      <c r="C46" s="2870"/>
      <c r="D46" s="814"/>
      <c r="E46" s="815"/>
      <c r="F46" s="2871"/>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72" t="s">
        <v>2950</v>
      </c>
      <c r="B47" s="1805" t="s">
        <v>2951</v>
      </c>
      <c r="C47" s="1805" t="s">
        <v>2952</v>
      </c>
      <c r="D47" s="1805" t="s">
        <v>2953</v>
      </c>
      <c r="E47" s="819" t="s">
        <v>2954</v>
      </c>
      <c r="F47" s="2873" t="s">
        <v>2955</v>
      </c>
      <c r="G47" s="1805" t="s">
        <v>754</v>
      </c>
      <c r="H47" s="2874" t="s">
        <v>2956</v>
      </c>
      <c r="I47" s="1805" t="s">
        <v>2957</v>
      </c>
      <c r="J47" s="603" t="s">
        <v>2603</v>
      </c>
      <c r="K47" s="603" t="s">
        <v>2604</v>
      </c>
      <c r="L47" s="603" t="s">
        <v>2605</v>
      </c>
      <c r="M47" s="603" t="s">
        <v>2606</v>
      </c>
      <c r="N47" s="603" t="s">
        <v>2607</v>
      </c>
      <c r="AA47" s="1370"/>
      <c r="AB47" s="1370"/>
      <c r="AC47" s="1370"/>
      <c r="AD47" s="1370"/>
      <c r="AE47" s="1370"/>
      <c r="AF47" s="1370"/>
      <c r="AG47" s="1370"/>
      <c r="AH47" s="1370"/>
      <c r="AI47" s="1370"/>
      <c r="AJ47" s="1370"/>
      <c r="AK47" s="1370"/>
    </row>
    <row r="48" spans="1:37" s="1369" customFormat="1" ht="38.25">
      <c r="A48" s="2872" t="s">
        <v>2958</v>
      </c>
      <c r="B48" s="2875" t="str">
        <f>估价对象房地状况!C4</f>
        <v>估价对象位于XX商圈，周边商业氛围成熟，人流量大，商业繁华度好</v>
      </c>
      <c r="C48" s="2764"/>
      <c r="D48" s="1285">
        <f t="shared" ref="D48:D56" si="10">SUMIF($J$47:$N$47,C48,J48:N48)</f>
        <v>0</v>
      </c>
      <c r="E48" s="821">
        <f>ROUND(SUM(D48:D56),4)</f>
        <v>0</v>
      </c>
      <c r="F48" s="2495"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2959</v>
      </c>
      <c r="B49" s="2876" t="str">
        <f>估价对象房地状况!C18</f>
        <v>估价对象周边道路状况、公共交通通达情况、停车便捷程度，综合评价交通便捷度较好</v>
      </c>
      <c r="C49" s="2764"/>
      <c r="D49" s="1285">
        <f t="shared" si="10"/>
        <v>0</v>
      </c>
      <c r="E49" s="822"/>
      <c r="F49" s="2495"/>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2960</v>
      </c>
      <c r="B50" s="2876">
        <f>估价对象房地状况!C19</f>
        <v>0</v>
      </c>
      <c r="C50" s="2764"/>
      <c r="D50" s="1285">
        <f t="shared" si="10"/>
        <v>0</v>
      </c>
      <c r="E50" s="822"/>
      <c r="F50" s="2495"/>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2961</v>
      </c>
      <c r="B51" s="2877" t="s">
        <v>2962</v>
      </c>
      <c r="C51" s="2764"/>
      <c r="D51" s="1285">
        <f t="shared" si="10"/>
        <v>0</v>
      </c>
      <c r="E51" s="822"/>
      <c r="F51" s="2495"/>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2963</v>
      </c>
      <c r="B52" s="2876">
        <f>估价对象房地状况!C24</f>
        <v>0</v>
      </c>
      <c r="C52" s="2764"/>
      <c r="D52" s="1285">
        <f t="shared" si="10"/>
        <v>0</v>
      </c>
      <c r="E52" s="822"/>
      <c r="F52" s="2495"/>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2964</v>
      </c>
      <c r="B53" s="2878" t="s">
        <v>2965</v>
      </c>
      <c r="C53" s="2764"/>
      <c r="D53" s="1285">
        <f t="shared" si="10"/>
        <v>0</v>
      </c>
      <c r="E53" s="822"/>
      <c r="F53" s="2495"/>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2966</v>
      </c>
      <c r="B54" s="1723" t="str">
        <f>估价对象房地状况!C21</f>
        <v>估价对象所在区域公共配套设施齐备情况</v>
      </c>
      <c r="C54" s="2764"/>
      <c r="D54" s="1285">
        <f t="shared" si="10"/>
        <v>0</v>
      </c>
      <c r="E54" s="822"/>
      <c r="F54" s="2495"/>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2967</v>
      </c>
      <c r="B55" s="2876" t="str">
        <f>估价对象房地状况!C22</f>
        <v>估价对象所在区域基础设施水平</v>
      </c>
      <c r="C55" s="2764"/>
      <c r="D55" s="1285">
        <f t="shared" si="10"/>
        <v>0</v>
      </c>
      <c r="E55" s="822"/>
      <c r="F55" s="2495"/>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2968</v>
      </c>
      <c r="B56" s="2881" t="str">
        <f>估价对象房地状况!C20</f>
        <v>区域自然环境：；人文环境；综合评价环境状况一般</v>
      </c>
      <c r="C56" s="2764"/>
      <c r="D56" s="1285">
        <f t="shared" si="10"/>
        <v>0</v>
      </c>
      <c r="E56" s="825"/>
      <c r="F56" s="2495"/>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2969</v>
      </c>
      <c r="B57" s="2869">
        <f>1+E59</f>
        <v>1</v>
      </c>
      <c r="C57" s="814"/>
      <c r="D57" s="814"/>
      <c r="E57" s="815"/>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2950</v>
      </c>
      <c r="B58" s="1805"/>
      <c r="C58" s="1805" t="s">
        <v>2952</v>
      </c>
      <c r="D58" s="1805" t="s">
        <v>2953</v>
      </c>
      <c r="E58" s="819" t="s">
        <v>2954</v>
      </c>
      <c r="F58" s="2873" t="s">
        <v>2970</v>
      </c>
      <c r="G58" s="1805" t="s">
        <v>754</v>
      </c>
      <c r="H58" s="2874" t="s">
        <v>2956</v>
      </c>
      <c r="I58" s="1805" t="s">
        <v>2957</v>
      </c>
      <c r="J58" s="603" t="s">
        <v>2603</v>
      </c>
      <c r="K58" s="603" t="s">
        <v>2604</v>
      </c>
      <c r="L58" s="603" t="s">
        <v>2605</v>
      </c>
      <c r="M58" s="603" t="s">
        <v>2606</v>
      </c>
      <c r="N58" s="603" t="s">
        <v>2607</v>
      </c>
      <c r="AA58" s="1370"/>
      <c r="AB58" s="1370"/>
      <c r="AC58" s="1370"/>
      <c r="AD58" s="1370"/>
      <c r="AE58" s="1370"/>
      <c r="AF58" s="1370"/>
      <c r="AG58" s="1370"/>
      <c r="AH58" s="1370"/>
      <c r="AI58" s="1370"/>
      <c r="AJ58" s="1370"/>
      <c r="AK58" s="1370"/>
    </row>
    <row r="59" spans="1:37" s="1369" customFormat="1" ht="38.25">
      <c r="A59" s="2872" t="s">
        <v>2971</v>
      </c>
      <c r="B59" s="2875" t="str">
        <f>估价对象房地状况!C17</f>
        <v>估价对象位于XX商圈，周边办公楼项目较多，入驻率高，办公集聚程度较好</v>
      </c>
      <c r="C59" s="2764"/>
      <c r="D59" s="1285">
        <f t="shared" ref="D59:D67" si="15">SUMIF($J$58:$N$58,C59,J59:N59)</f>
        <v>0</v>
      </c>
      <c r="E59" s="821">
        <f>ROUND(SUM(D59:D67),4)</f>
        <v>0</v>
      </c>
      <c r="F59" s="2495"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2959</v>
      </c>
      <c r="B60" s="2876" t="str">
        <f>估价对象房地状况!C18</f>
        <v>估价对象周边道路状况、公共交通通达情况、停车便捷程度，综合评价交通便捷度较好</v>
      </c>
      <c r="C60" s="2764"/>
      <c r="D60" s="1285">
        <f t="shared" si="15"/>
        <v>0</v>
      </c>
      <c r="E60" s="822"/>
      <c r="F60" s="2495"/>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2960</v>
      </c>
      <c r="B61" s="2876">
        <f>估价对象房地状况!C19</f>
        <v>0</v>
      </c>
      <c r="C61" s="2764"/>
      <c r="D61" s="1285">
        <f t="shared" si="15"/>
        <v>0</v>
      </c>
      <c r="E61" s="822"/>
      <c r="F61" s="2495"/>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2961</v>
      </c>
      <c r="B62" s="2877" t="s">
        <v>2962</v>
      </c>
      <c r="C62" s="2764"/>
      <c r="D62" s="1285">
        <f t="shared" si="15"/>
        <v>0</v>
      </c>
      <c r="E62" s="822"/>
      <c r="F62" s="2495"/>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2963</v>
      </c>
      <c r="B63" s="2876">
        <f>估价对象房地状况!C24</f>
        <v>0</v>
      </c>
      <c r="C63" s="2764"/>
      <c r="D63" s="1285">
        <f t="shared" si="15"/>
        <v>0</v>
      </c>
      <c r="E63" s="822"/>
      <c r="F63" s="2495"/>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2964</v>
      </c>
      <c r="B64" s="2878" t="s">
        <v>2965</v>
      </c>
      <c r="C64" s="2764"/>
      <c r="D64" s="1285">
        <f t="shared" si="15"/>
        <v>0</v>
      </c>
      <c r="E64" s="822"/>
      <c r="F64" s="2495"/>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2966</v>
      </c>
      <c r="B65" s="1723" t="str">
        <f>估价对象房地状况!C21</f>
        <v>估价对象所在区域公共配套设施齐备情况</v>
      </c>
      <c r="C65" s="2764"/>
      <c r="D65" s="1285">
        <f t="shared" si="15"/>
        <v>0</v>
      </c>
      <c r="E65" s="822"/>
      <c r="F65" s="2495"/>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2967</v>
      </c>
      <c r="B66" s="1723" t="str">
        <f>估价对象房地状况!C22</f>
        <v>估价对象所在区域基础设施水平</v>
      </c>
      <c r="C66" s="2764"/>
      <c r="D66" s="1285">
        <f t="shared" si="15"/>
        <v>0</v>
      </c>
      <c r="E66" s="822"/>
      <c r="F66" s="2495"/>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2968</v>
      </c>
      <c r="B67" s="2882" t="str">
        <f>估价对象房地状况!C20</f>
        <v>区域自然环境：；人文环境；综合评价环境状况一般</v>
      </c>
      <c r="C67" s="2764"/>
      <c r="D67" s="1285">
        <f t="shared" si="15"/>
        <v>0</v>
      </c>
      <c r="E67" s="825"/>
      <c r="F67" s="2495"/>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2972</v>
      </c>
      <c r="B68" s="2869">
        <f>1+E70</f>
        <v>1</v>
      </c>
      <c r="C68" s="814"/>
      <c r="D68" s="814"/>
      <c r="E68" s="815"/>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2950</v>
      </c>
      <c r="B69" s="1805"/>
      <c r="C69" s="1805" t="s">
        <v>2952</v>
      </c>
      <c r="D69" s="1805" t="s">
        <v>2953</v>
      </c>
      <c r="E69" s="819" t="s">
        <v>2954</v>
      </c>
      <c r="F69" s="2873" t="s">
        <v>2970</v>
      </c>
      <c r="G69" s="1805" t="s">
        <v>754</v>
      </c>
      <c r="H69" s="2874" t="s">
        <v>2956</v>
      </c>
      <c r="I69" s="1805" t="s">
        <v>2957</v>
      </c>
      <c r="J69" s="603" t="s">
        <v>2603</v>
      </c>
      <c r="K69" s="603" t="s">
        <v>2604</v>
      </c>
      <c r="L69" s="603" t="s">
        <v>2605</v>
      </c>
      <c r="M69" s="603" t="s">
        <v>2606</v>
      </c>
      <c r="N69" s="603" t="s">
        <v>2607</v>
      </c>
      <c r="AA69" s="1370"/>
      <c r="AB69" s="1370"/>
      <c r="AC69" s="1370"/>
      <c r="AD69" s="1370"/>
      <c r="AE69" s="1370"/>
      <c r="AF69" s="1370"/>
      <c r="AG69" s="1370"/>
      <c r="AH69" s="1370"/>
      <c r="AI69" s="1370"/>
      <c r="AJ69" s="1370"/>
      <c r="AK69" s="1370"/>
    </row>
    <row r="70" spans="1:37" s="1369" customFormat="1" ht="51">
      <c r="A70" s="2872" t="s">
        <v>2973</v>
      </c>
      <c r="B70" s="2875" t="str">
        <f>估价对象房地状况!C15</f>
        <v>估价对象周边居住用地比例、居住小区规模和社区发展完善程度，综合评价居住社区成熟度一般</v>
      </c>
      <c r="C70" s="2764"/>
      <c r="D70" s="1285">
        <f t="shared" ref="D70:D78" si="20">SUMIF($J$69:$N$69,C70,J70:N70)</f>
        <v>0</v>
      </c>
      <c r="E70" s="821">
        <f>ROUND(SUM(D70:D78),4)</f>
        <v>0</v>
      </c>
      <c r="F70" s="2495"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2959</v>
      </c>
      <c r="B71" s="2876" t="str">
        <f>估价对象房地状况!C18</f>
        <v>估价对象周边道路状况、公共交通通达情况、停车便捷程度，综合评价交通便捷度较好</v>
      </c>
      <c r="C71" s="2764"/>
      <c r="D71" s="1285">
        <f t="shared" si="20"/>
        <v>0</v>
      </c>
      <c r="E71" s="826"/>
      <c r="F71" s="2495"/>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2960</v>
      </c>
      <c r="B72" s="2876">
        <f>估价对象房地状况!C19</f>
        <v>0</v>
      </c>
      <c r="C72" s="2764"/>
      <c r="D72" s="1285">
        <f t="shared" si="20"/>
        <v>0</v>
      </c>
      <c r="E72" s="826"/>
      <c r="F72" s="2495"/>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2974</v>
      </c>
      <c r="B73" s="2876">
        <f>估价对象房地状况!C24</f>
        <v>0</v>
      </c>
      <c r="C73" s="2764"/>
      <c r="D73" s="1285">
        <f t="shared" si="20"/>
        <v>0</v>
      </c>
      <c r="E73" s="826"/>
      <c r="F73" s="2495"/>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2966</v>
      </c>
      <c r="B74" s="1723" t="str">
        <f>估价对象房地状况!C21</f>
        <v>估价对象所在区域公共配套设施齐备情况</v>
      </c>
      <c r="C74" s="2764"/>
      <c r="D74" s="1285">
        <f t="shared" si="20"/>
        <v>0</v>
      </c>
      <c r="E74" s="826"/>
      <c r="F74" s="2495"/>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2967</v>
      </c>
      <c r="B75" s="1723" t="str">
        <f>估价对象房地状况!C22</f>
        <v>估价对象所在区域基础设施水平</v>
      </c>
      <c r="C75" s="2764"/>
      <c r="D75" s="1285">
        <f t="shared" si="20"/>
        <v>0</v>
      </c>
      <c r="E75" s="826"/>
      <c r="F75" s="2495"/>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3" customFormat="1" ht="24">
      <c r="A76" s="2872" t="s">
        <v>2964</v>
      </c>
      <c r="B76" s="2878" t="s">
        <v>2965</v>
      </c>
      <c r="C76" s="2764"/>
      <c r="D76" s="1285">
        <f t="shared" si="20"/>
        <v>0</v>
      </c>
      <c r="E76" s="826"/>
      <c r="F76" s="2495"/>
      <c r="G76" s="1283"/>
      <c r="H76" s="1287" t="str">
        <f t="shared" si="21"/>
        <v>——</v>
      </c>
      <c r="I76" s="820">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2968</v>
      </c>
      <c r="B77" s="2875" t="str">
        <f>估价对象房地状况!C20</f>
        <v>区域自然环境：；人文环境；综合评价环境状况一般</v>
      </c>
      <c r="C77" s="2764"/>
      <c r="D77" s="1285">
        <f t="shared" si="20"/>
        <v>0</v>
      </c>
      <c r="E77" s="826"/>
      <c r="F77" s="2495"/>
      <c r="G77" s="1283"/>
      <c r="H77" s="1287" t="str">
        <f t="shared" si="21"/>
        <v>——</v>
      </c>
      <c r="I77" s="820">
        <v>0.15</v>
      </c>
      <c r="J77" s="1284">
        <f t="shared" si="22"/>
        <v>0</v>
      </c>
      <c r="K77" s="1284">
        <f t="shared" si="23"/>
        <v>0</v>
      </c>
      <c r="L77" s="1284">
        <v>0</v>
      </c>
      <c r="M77" s="1284">
        <f t="shared" si="24"/>
        <v>0</v>
      </c>
      <c r="N77" s="1284">
        <f t="shared" si="24"/>
        <v>0</v>
      </c>
      <c r="Z77" s="2714"/>
      <c r="AA77" s="2790"/>
      <c r="AG77" s="1371"/>
      <c r="AK77" s="2790"/>
    </row>
    <row r="78" spans="1:37" ht="24.75" thickBot="1">
      <c r="A78" s="2880" t="s">
        <v>2975</v>
      </c>
      <c r="B78" s="2884"/>
      <c r="C78" s="2764"/>
      <c r="D78" s="1285">
        <f t="shared" si="20"/>
        <v>0</v>
      </c>
      <c r="E78" s="827"/>
      <c r="F78" s="2495"/>
      <c r="G78" s="1283"/>
      <c r="H78" s="1287" t="str">
        <f t="shared" si="21"/>
        <v>——</v>
      </c>
      <c r="I78" s="824">
        <v>0.04</v>
      </c>
      <c r="J78" s="1284">
        <f t="shared" si="22"/>
        <v>0</v>
      </c>
      <c r="K78" s="1284">
        <f t="shared" si="23"/>
        <v>0</v>
      </c>
      <c r="L78" s="1284">
        <v>0</v>
      </c>
      <c r="M78" s="1284">
        <f t="shared" si="24"/>
        <v>0</v>
      </c>
      <c r="N78" s="1284">
        <f t="shared" si="24"/>
        <v>0</v>
      </c>
      <c r="Z78" s="2714"/>
      <c r="AA78" s="2790"/>
      <c r="AG78" s="1371"/>
      <c r="AK78" s="2790"/>
    </row>
    <row r="79" spans="1:37" ht="15">
      <c r="A79" s="2868" t="s">
        <v>2976</v>
      </c>
      <c r="B79" s="2869">
        <f>1+E81</f>
        <v>1</v>
      </c>
      <c r="C79" s="814"/>
      <c r="D79" s="814"/>
      <c r="E79" s="815"/>
      <c r="F79" s="2871"/>
      <c r="G79" s="6"/>
      <c r="H79" s="6"/>
      <c r="I79" s="6"/>
      <c r="J79" s="7"/>
      <c r="K79" s="7"/>
      <c r="L79" s="7"/>
      <c r="M79" s="7"/>
      <c r="N79" s="7"/>
      <c r="Z79" s="2714"/>
      <c r="AA79" s="2790"/>
      <c r="AG79" s="1371"/>
      <c r="AK79" s="2790"/>
    </row>
    <row r="80" spans="1:37" ht="24.75">
      <c r="A80" s="2872" t="s">
        <v>2950</v>
      </c>
      <c r="B80" s="1805"/>
      <c r="C80" s="1805" t="s">
        <v>2952</v>
      </c>
      <c r="D80" s="1805" t="s">
        <v>2953</v>
      </c>
      <c r="E80" s="819" t="s">
        <v>2954</v>
      </c>
      <c r="F80" s="2873" t="s">
        <v>2970</v>
      </c>
      <c r="G80" s="1805" t="s">
        <v>754</v>
      </c>
      <c r="H80" s="2874" t="s">
        <v>2956</v>
      </c>
      <c r="I80" s="1805" t="s">
        <v>2957</v>
      </c>
      <c r="J80" s="603" t="s">
        <v>2603</v>
      </c>
      <c r="K80" s="603" t="s">
        <v>2604</v>
      </c>
      <c r="L80" s="603" t="s">
        <v>2605</v>
      </c>
      <c r="M80" s="603" t="s">
        <v>2606</v>
      </c>
      <c r="N80" s="603" t="s">
        <v>2607</v>
      </c>
      <c r="Z80" s="2714"/>
      <c r="AA80" s="2790"/>
      <c r="AG80" s="1371"/>
      <c r="AK80" s="2790"/>
    </row>
    <row r="81" spans="1:37" ht="38.25">
      <c r="A81" s="2872" t="s">
        <v>2977</v>
      </c>
      <c r="B81" s="2876" t="str">
        <f>估价对象房地状况!G15</f>
        <v>估价对象位于XX开发区，园区建设成熟度XX，产业集聚程度XX</v>
      </c>
      <c r="C81" s="2764"/>
      <c r="D81" s="1285">
        <f t="shared" ref="D81:D88" si="25">SUMIF($J$80:$N$80,C81,J81:N81)</f>
        <v>0</v>
      </c>
      <c r="E81" s="821">
        <f>ROUND(SUM(D81:D88),4)</f>
        <v>0</v>
      </c>
      <c r="F81" s="2495"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4"/>
      <c r="AA81" s="2790"/>
      <c r="AG81" s="1371"/>
      <c r="AK81" s="2790"/>
    </row>
    <row r="82" spans="1:37" ht="51">
      <c r="A82" s="2872" t="s">
        <v>2959</v>
      </c>
      <c r="B82" s="2876" t="str">
        <f>估价对象房地状况!G16</f>
        <v>估价对象周边道路状况、公共交通通达情况、停车便捷程度，综合评价交通便捷度较好</v>
      </c>
      <c r="C82" s="2764"/>
      <c r="D82" s="1285">
        <f t="shared" si="25"/>
        <v>0</v>
      </c>
      <c r="E82" s="826"/>
      <c r="F82" s="2495"/>
      <c r="G82" s="1283"/>
      <c r="H82" s="1287" t="str">
        <f t="shared" si="26"/>
        <v>——</v>
      </c>
      <c r="I82" s="820">
        <v>0.33</v>
      </c>
      <c r="J82" s="1284">
        <f t="shared" si="27"/>
        <v>0</v>
      </c>
      <c r="K82" s="1284">
        <f t="shared" si="28"/>
        <v>0</v>
      </c>
      <c r="L82" s="1284">
        <v>0</v>
      </c>
      <c r="M82" s="1284">
        <f t="shared" si="29"/>
        <v>0</v>
      </c>
      <c r="N82" s="1284">
        <f t="shared" si="29"/>
        <v>0</v>
      </c>
      <c r="Z82" s="2714"/>
      <c r="AA82" s="2790"/>
      <c r="AG82" s="1371"/>
      <c r="AK82" s="2790"/>
    </row>
    <row r="83" spans="1:37" ht="24">
      <c r="A83" s="2872" t="s">
        <v>2960</v>
      </c>
      <c r="B83" s="2876">
        <f>估价对象房地状况!G17</f>
        <v>0</v>
      </c>
      <c r="C83" s="2764"/>
      <c r="D83" s="1285">
        <f t="shared" si="25"/>
        <v>0</v>
      </c>
      <c r="E83" s="826"/>
      <c r="F83" s="2495"/>
      <c r="G83" s="1283"/>
      <c r="H83" s="1287" t="str">
        <f t="shared" si="26"/>
        <v>——</v>
      </c>
      <c r="I83" s="820">
        <v>0.05</v>
      </c>
      <c r="J83" s="1284">
        <f t="shared" si="27"/>
        <v>0</v>
      </c>
      <c r="K83" s="1284">
        <f t="shared" si="28"/>
        <v>0</v>
      </c>
      <c r="L83" s="1284">
        <v>0</v>
      </c>
      <c r="M83" s="1284">
        <f t="shared" si="29"/>
        <v>0</v>
      </c>
      <c r="N83" s="1284">
        <f t="shared" si="29"/>
        <v>0</v>
      </c>
      <c r="Z83" s="2714"/>
      <c r="AA83" s="2790"/>
      <c r="AG83" s="1371"/>
      <c r="AK83" s="2790"/>
    </row>
    <row r="84" spans="1:37" ht="14.25">
      <c r="A84" s="2872" t="s">
        <v>2974</v>
      </c>
      <c r="B84" s="2876">
        <f>估价对象房地状况!G22</f>
        <v>0</v>
      </c>
      <c r="C84" s="2764"/>
      <c r="D84" s="1285">
        <f t="shared" si="25"/>
        <v>0</v>
      </c>
      <c r="E84" s="826"/>
      <c r="F84" s="2495"/>
      <c r="G84" s="1283"/>
      <c r="H84" s="1287" t="str">
        <f t="shared" si="26"/>
        <v>——</v>
      </c>
      <c r="I84" s="820">
        <v>0.04</v>
      </c>
      <c r="J84" s="1284">
        <f t="shared" si="27"/>
        <v>0</v>
      </c>
      <c r="K84" s="1284">
        <f t="shared" si="28"/>
        <v>0</v>
      </c>
      <c r="L84" s="1284">
        <v>0</v>
      </c>
      <c r="M84" s="1284">
        <f t="shared" si="29"/>
        <v>0</v>
      </c>
      <c r="N84" s="1284">
        <f t="shared" si="29"/>
        <v>0</v>
      </c>
      <c r="Z84" s="2714"/>
      <c r="AA84" s="2790"/>
      <c r="AG84" s="1371"/>
      <c r="AK84" s="2790"/>
    </row>
    <row r="85" spans="1:37" ht="25.5">
      <c r="A85" s="2872" t="s">
        <v>2966</v>
      </c>
      <c r="B85" s="1723" t="str">
        <f>估价对象房地状况!G19</f>
        <v>估价对象所在区域公共配套设施齐备情况</v>
      </c>
      <c r="C85" s="2764"/>
      <c r="D85" s="1285">
        <f t="shared" si="25"/>
        <v>0</v>
      </c>
      <c r="E85" s="826"/>
      <c r="F85" s="2495"/>
      <c r="G85" s="1283"/>
      <c r="H85" s="1287" t="str">
        <f t="shared" si="26"/>
        <v>——</v>
      </c>
      <c r="I85" s="820">
        <v>0.06</v>
      </c>
      <c r="J85" s="1284">
        <f t="shared" si="27"/>
        <v>0</v>
      </c>
      <c r="K85" s="1284">
        <f t="shared" si="28"/>
        <v>0</v>
      </c>
      <c r="L85" s="1284">
        <v>0</v>
      </c>
      <c r="M85" s="1284">
        <f t="shared" si="29"/>
        <v>0</v>
      </c>
      <c r="N85" s="1284">
        <f t="shared" si="29"/>
        <v>0</v>
      </c>
      <c r="Z85" s="2714"/>
      <c r="AA85" s="2790"/>
      <c r="AG85" s="1371"/>
      <c r="AK85" s="2790"/>
    </row>
    <row r="86" spans="1:37" ht="25.5">
      <c r="A86" s="2872" t="s">
        <v>2967</v>
      </c>
      <c r="B86" s="1723" t="str">
        <f>估价对象房地状况!G20</f>
        <v>估价对象所在区域基础设施水平</v>
      </c>
      <c r="C86" s="2764"/>
      <c r="D86" s="1285">
        <f t="shared" si="25"/>
        <v>0</v>
      </c>
      <c r="E86" s="826"/>
      <c r="F86" s="2495"/>
      <c r="G86" s="1283"/>
      <c r="H86" s="1287" t="str">
        <f t="shared" si="26"/>
        <v>——</v>
      </c>
      <c r="I86" s="820">
        <v>0.15</v>
      </c>
      <c r="J86" s="1284">
        <f t="shared" si="27"/>
        <v>0</v>
      </c>
      <c r="K86" s="1284">
        <f t="shared" si="28"/>
        <v>0</v>
      </c>
      <c r="L86" s="1284">
        <v>0</v>
      </c>
      <c r="M86" s="1284">
        <f t="shared" si="29"/>
        <v>0</v>
      </c>
      <c r="N86" s="1284">
        <f t="shared" si="29"/>
        <v>0</v>
      </c>
      <c r="Z86" s="2714"/>
      <c r="AA86" s="2790"/>
      <c r="AG86" s="1371"/>
      <c r="AK86" s="2790"/>
    </row>
    <row r="87" spans="1:37" ht="24">
      <c r="A87" s="2872" t="s">
        <v>2964</v>
      </c>
      <c r="B87" s="2878" t="s">
        <v>2978</v>
      </c>
      <c r="C87" s="2764"/>
      <c r="D87" s="1285">
        <f t="shared" si="25"/>
        <v>0</v>
      </c>
      <c r="E87" s="826"/>
      <c r="F87" s="2495"/>
      <c r="G87" s="1283"/>
      <c r="H87" s="1287" t="str">
        <f t="shared" si="26"/>
        <v>——</v>
      </c>
      <c r="I87" s="820">
        <v>0.05</v>
      </c>
      <c r="J87" s="1284">
        <f t="shared" si="27"/>
        <v>0</v>
      </c>
      <c r="K87" s="1284">
        <f t="shared" si="28"/>
        <v>0</v>
      </c>
      <c r="L87" s="1284">
        <v>0</v>
      </c>
      <c r="M87" s="1284">
        <f t="shared" si="29"/>
        <v>0</v>
      </c>
      <c r="N87" s="1284">
        <f t="shared" si="29"/>
        <v>0</v>
      </c>
      <c r="Z87" s="2714"/>
      <c r="AA87" s="2790"/>
      <c r="AG87" s="1371"/>
      <c r="AK87" s="2790"/>
    </row>
    <row r="88" spans="1:37" ht="39" thickBot="1">
      <c r="A88" s="2880" t="s">
        <v>2979</v>
      </c>
      <c r="B88" s="2885" t="str">
        <f>估价对象房地状况!G18</f>
        <v>该园区内是否有污染型企业，绿化情况，卫生条件，整体环境状况判断</v>
      </c>
      <c r="C88" s="2764"/>
      <c r="D88" s="1285">
        <f t="shared" si="25"/>
        <v>0</v>
      </c>
      <c r="E88" s="827"/>
      <c r="F88" s="2495"/>
      <c r="G88" s="1283"/>
      <c r="H88" s="1287" t="str">
        <f t="shared" si="26"/>
        <v>——</v>
      </c>
      <c r="I88" s="824">
        <v>0.06</v>
      </c>
      <c r="J88" s="1284">
        <f t="shared" si="27"/>
        <v>0</v>
      </c>
      <c r="K88" s="1284">
        <f t="shared" si="28"/>
        <v>0</v>
      </c>
      <c r="L88" s="1284">
        <v>0</v>
      </c>
      <c r="M88" s="1284">
        <f t="shared" si="29"/>
        <v>0</v>
      </c>
      <c r="N88" s="1284">
        <f t="shared" si="29"/>
        <v>0</v>
      </c>
      <c r="Z88" s="2714"/>
      <c r="AA88" s="2790"/>
      <c r="AG88" s="1371"/>
      <c r="AK88" s="2790"/>
    </row>
    <row r="90" spans="1:37">
      <c r="A90" s="3266" t="s">
        <v>2980</v>
      </c>
      <c r="B90" s="3266"/>
      <c r="C90" s="3266"/>
      <c r="D90" s="3266"/>
      <c r="E90" s="3266"/>
      <c r="F90" s="3266"/>
      <c r="G90" s="3266"/>
      <c r="H90" s="3266"/>
      <c r="I90" s="3266"/>
      <c r="J90" s="3266"/>
      <c r="K90" s="2886"/>
      <c r="L90" s="2886"/>
      <c r="M90" s="2886"/>
      <c r="N90" s="2886"/>
    </row>
    <row r="91" spans="1:37">
      <c r="A91" s="3268" t="s">
        <v>2981</v>
      </c>
      <c r="B91" s="3268" t="s">
        <v>2982</v>
      </c>
      <c r="C91" s="2840" t="s">
        <v>2983</v>
      </c>
      <c r="D91" s="2841"/>
      <c r="E91" s="2841"/>
      <c r="F91" s="2841"/>
      <c r="G91" s="2841"/>
      <c r="H91" s="2841"/>
      <c r="I91" s="2841"/>
      <c r="J91" s="2887"/>
      <c r="K91" s="2888"/>
      <c r="L91" s="2888"/>
      <c r="M91" s="2888"/>
      <c r="N91" s="2888"/>
    </row>
    <row r="92" spans="1:37">
      <c r="A92" s="3268"/>
      <c r="B92" s="3268"/>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69" t="s">
        <v>2984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0"/>
      <c r="B99" s="2889" t="s">
        <v>2863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9" t="s">
        <v>2985</v>
      </c>
      <c r="B101" s="2893" t="s">
        <v>2986</v>
      </c>
      <c r="C101" s="2894">
        <f>$G$3</f>
        <v>0.78</v>
      </c>
      <c r="D101" s="2894">
        <f t="shared" ref="D101:N101" si="31">$G$3</f>
        <v>0.78</v>
      </c>
      <c r="E101" s="2894">
        <f t="shared" si="31"/>
        <v>0.78</v>
      </c>
      <c r="F101" s="2894">
        <f t="shared" si="31"/>
        <v>0.78</v>
      </c>
      <c r="G101" s="2894">
        <f t="shared" si="31"/>
        <v>0.78</v>
      </c>
      <c r="H101" s="2894">
        <f t="shared" si="31"/>
        <v>0.78</v>
      </c>
      <c r="I101" s="2894">
        <f t="shared" si="31"/>
        <v>0.78</v>
      </c>
      <c r="J101" s="2894">
        <f t="shared" si="31"/>
        <v>0.78</v>
      </c>
      <c r="K101" s="2894">
        <f t="shared" si="31"/>
        <v>0.78</v>
      </c>
      <c r="L101" s="2894">
        <f t="shared" si="31"/>
        <v>0.78</v>
      </c>
      <c r="M101" s="2894">
        <f t="shared" si="31"/>
        <v>0.78</v>
      </c>
      <c r="N101" s="2894">
        <f t="shared" si="31"/>
        <v>0.78</v>
      </c>
    </row>
    <row r="102" spans="1:14">
      <c r="A102" s="3270"/>
      <c r="B102" s="2889">
        <v>1</v>
      </c>
      <c r="C102" s="2890">
        <f>1.9362/C101</f>
        <v>2.4823076923076921</v>
      </c>
      <c r="D102" s="2890">
        <f>1.9362/D101</f>
        <v>2.4823076923076921</v>
      </c>
      <c r="E102" s="2890">
        <f>1.8629/E101</f>
        <v>2.3883333333333332</v>
      </c>
      <c r="F102" s="2890">
        <f>1.8629/F101</f>
        <v>2.3883333333333332</v>
      </c>
      <c r="G102" s="2890">
        <f>1.8629/G101</f>
        <v>2.3883333333333332</v>
      </c>
      <c r="H102" s="2890">
        <f>1.8629/H101</f>
        <v>2.3883333333333332</v>
      </c>
      <c r="I102" s="2890">
        <f>1.8629/I101</f>
        <v>2.3883333333333332</v>
      </c>
      <c r="J102" s="2890">
        <f>1.942/J101</f>
        <v>2.4897435897435898</v>
      </c>
      <c r="K102" s="2890">
        <f>1.942/K101</f>
        <v>2.4897435897435898</v>
      </c>
      <c r="L102" s="2890">
        <f>1.942/L101</f>
        <v>2.4897435897435898</v>
      </c>
      <c r="M102" s="2890">
        <f>1.942/M101</f>
        <v>2.4897435897435898</v>
      </c>
      <c r="N102" s="2890">
        <f>1.942/N101</f>
        <v>2.4897435897435898</v>
      </c>
    </row>
    <row r="103" spans="1:14">
      <c r="A103" s="3270"/>
      <c r="B103" s="2889">
        <v>2</v>
      </c>
      <c r="C103" s="2890">
        <f>1.4198/C101</f>
        <v>1.8202564102564101</v>
      </c>
      <c r="D103" s="2890">
        <f>1.4198/D101</f>
        <v>1.8202564102564101</v>
      </c>
      <c r="E103" s="2890">
        <f>1.3372/E101</f>
        <v>1.7143589743589742</v>
      </c>
      <c r="F103" s="2890">
        <f>1.3372/F101</f>
        <v>1.7143589743589742</v>
      </c>
      <c r="G103" s="2890">
        <f>1.3372/G101</f>
        <v>1.7143589743589742</v>
      </c>
      <c r="H103" s="2890">
        <f>1.3372/H101</f>
        <v>1.7143589743589742</v>
      </c>
      <c r="I103" s="2890">
        <f>1.3372/I101</f>
        <v>1.7143589743589742</v>
      </c>
      <c r="J103" s="2890">
        <f>1.2799/J101</f>
        <v>1.640897435897436</v>
      </c>
      <c r="K103" s="2890">
        <f>1.2799/K101</f>
        <v>1.640897435897436</v>
      </c>
      <c r="L103" s="2890">
        <f>1.2799/L101</f>
        <v>1.640897435897436</v>
      </c>
      <c r="M103" s="2890">
        <f>1.2799/M101</f>
        <v>1.640897435897436</v>
      </c>
      <c r="N103" s="2890">
        <f>1.2799/N101</f>
        <v>1.640897435897436</v>
      </c>
    </row>
    <row r="104" spans="1:14">
      <c r="A104" s="3270"/>
      <c r="B104" s="2889">
        <v>3</v>
      </c>
      <c r="C104" s="2890">
        <f>1.1594/C101</f>
        <v>1.4864102564102564</v>
      </c>
      <c r="D104" s="2890">
        <f>1.1594/D101</f>
        <v>1.4864102564102564</v>
      </c>
      <c r="E104" s="2890">
        <f>1.0788/E101</f>
        <v>1.3830769230769231</v>
      </c>
      <c r="F104" s="2890">
        <f>1.0788/F101</f>
        <v>1.3830769230769231</v>
      </c>
      <c r="G104" s="2890">
        <f>1.0788/G101</f>
        <v>1.3830769230769231</v>
      </c>
      <c r="H104" s="2890">
        <f>1.0788/H101</f>
        <v>1.3830769230769231</v>
      </c>
      <c r="I104" s="2890">
        <f>1.0788/I101</f>
        <v>1.3830769230769231</v>
      </c>
      <c r="J104" s="2890">
        <f>1.0072/J101</f>
        <v>1.2912820512820513</v>
      </c>
      <c r="K104" s="2890">
        <f>1.0072/K101</f>
        <v>1.2912820512820513</v>
      </c>
      <c r="L104" s="2890">
        <f>1.0072/L101</f>
        <v>1.2912820512820513</v>
      </c>
      <c r="M104" s="2890">
        <f>1.0072/M101</f>
        <v>1.2912820512820513</v>
      </c>
      <c r="N104" s="2890">
        <f>1.0072/N101</f>
        <v>1.2912820512820513</v>
      </c>
    </row>
    <row r="105" spans="1:14">
      <c r="A105" s="3270"/>
      <c r="B105" s="2889">
        <v>4</v>
      </c>
      <c r="C105" s="2890">
        <f>0.9622/C101</f>
        <v>1.2335897435897436</v>
      </c>
      <c r="D105" s="2890">
        <f>0.9622/D101</f>
        <v>1.2335897435897436</v>
      </c>
      <c r="E105" s="2890">
        <f>0.8656/E101</f>
        <v>1.1097435897435897</v>
      </c>
      <c r="F105" s="2890">
        <f>0.8656/F101</f>
        <v>1.1097435897435897</v>
      </c>
      <c r="G105" s="2890">
        <f>0.8656/G101</f>
        <v>1.1097435897435897</v>
      </c>
      <c r="H105" s="2890">
        <f>0.8656/H101</f>
        <v>1.1097435897435897</v>
      </c>
      <c r="I105" s="2890">
        <f>0.8656/I101</f>
        <v>1.1097435897435897</v>
      </c>
      <c r="J105" s="2890">
        <f>0.7525/J101</f>
        <v>0.96474358974358965</v>
      </c>
      <c r="K105" s="2890">
        <f>0.7525/K101</f>
        <v>0.96474358974358965</v>
      </c>
      <c r="L105" s="2890">
        <f>0.7525/L101</f>
        <v>0.96474358974358965</v>
      </c>
      <c r="M105" s="2890">
        <f>0.7525/M101</f>
        <v>0.96474358974358965</v>
      </c>
      <c r="N105" s="2890">
        <f>0.7525/N101</f>
        <v>0.96474358974358965</v>
      </c>
    </row>
    <row r="106" spans="1:14">
      <c r="A106" s="3270"/>
      <c r="B106" s="2889">
        <v>5</v>
      </c>
      <c r="C106" s="2890">
        <f>0.8417/C101</f>
        <v>1.079102564102564</v>
      </c>
      <c r="D106" s="2890">
        <f>0.8417/D101</f>
        <v>1.079102564102564</v>
      </c>
      <c r="E106" s="2890">
        <f>0.7371/E101</f>
        <v>0.94499999999999995</v>
      </c>
      <c r="F106" s="2890">
        <f>0.7371/F101</f>
        <v>0.94499999999999995</v>
      </c>
      <c r="G106" s="2890">
        <f>0.7371/G101</f>
        <v>0.94499999999999995</v>
      </c>
      <c r="H106" s="2890">
        <f>0.7371/H101</f>
        <v>0.94499999999999995</v>
      </c>
      <c r="I106" s="2890">
        <f>0.7371/I101</f>
        <v>0.94499999999999995</v>
      </c>
      <c r="J106" s="2890">
        <f>0.5659/J101</f>
        <v>0.7255128205128204</v>
      </c>
      <c r="K106" s="2890">
        <f>0.5659/K101</f>
        <v>0.7255128205128204</v>
      </c>
      <c r="L106" s="2890">
        <f>0.5659/L101</f>
        <v>0.7255128205128204</v>
      </c>
      <c r="M106" s="2890">
        <f>0.5659/M101</f>
        <v>0.7255128205128204</v>
      </c>
      <c r="N106" s="2890">
        <f>0.5659/N101</f>
        <v>0.7255128205128204</v>
      </c>
    </row>
    <row r="107" spans="1:14">
      <c r="A107" s="3270"/>
      <c r="B107" s="2889">
        <v>6</v>
      </c>
      <c r="C107" s="2890">
        <f>0.7608/C101</f>
        <v>0.97538461538461541</v>
      </c>
      <c r="D107" s="2890">
        <f>0.7608/D101</f>
        <v>0.97538461538461541</v>
      </c>
      <c r="E107" s="2890">
        <f>0.6482/E101</f>
        <v>0.83102564102564103</v>
      </c>
      <c r="F107" s="2890">
        <f>0.6482/F101</f>
        <v>0.83102564102564103</v>
      </c>
      <c r="G107" s="2890">
        <f>0.6482/G101</f>
        <v>0.83102564102564103</v>
      </c>
      <c r="H107" s="2890">
        <f>0.6482/H101</f>
        <v>0.83102564102564103</v>
      </c>
      <c r="I107" s="2890">
        <f>0.6482/I101</f>
        <v>0.83102564102564103</v>
      </c>
      <c r="J107" s="2890">
        <f>0.4525/J101</f>
        <v>0.58012820512820518</v>
      </c>
      <c r="K107" s="2890">
        <f>0.4525/K101</f>
        <v>0.58012820512820518</v>
      </c>
      <c r="L107" s="2890">
        <f>0.4525/L101</f>
        <v>0.58012820512820518</v>
      </c>
      <c r="M107" s="2890">
        <f>0.4525/M101</f>
        <v>0.58012820512820518</v>
      </c>
      <c r="N107" s="2890">
        <f>0.4525/N101</f>
        <v>0.58012820512820518</v>
      </c>
    </row>
    <row r="108" spans="1:14">
      <c r="A108" s="3270"/>
      <c r="B108" s="3128" t="s">
        <v>2987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1"/>
      <c r="B109" s="3129"/>
      <c r="C109" s="2892">
        <f>(-0.163*(C108^2)-0.59*C108+7617)*(10^(-4))/C101</f>
        <v>0.97653846153846158</v>
      </c>
      <c r="D109" s="2892">
        <f>(-0.163*(D108^2)-0.59*D108+7617)*(10^(-4))/D101</f>
        <v>0.97653846153846158</v>
      </c>
      <c r="E109" s="2892">
        <f>(-0.161*(E108^2)-7.509*E108+6533)*(10^(-4))/E101</f>
        <v>0.83756410256410252</v>
      </c>
      <c r="F109" s="2892">
        <f>(-0.161*(F108^2)-7.509*F108+6533)*(10^(-4))/F101</f>
        <v>0.83756410256410252</v>
      </c>
      <c r="G109" s="2892">
        <f>(-0.161*(G108^2)-7.509*G108+6533)*(10^(-4))/G101</f>
        <v>0.83756410256410252</v>
      </c>
      <c r="H109" s="2892">
        <f>(-0.161*(H108^2)-7.509*H108+6533)*(10^(-4))/H101</f>
        <v>0.83756410256410252</v>
      </c>
      <c r="I109" s="2892">
        <f>(-0.161*(I108^2)-7.509*I108+6533)*(10^(-4))/I101</f>
        <v>0.83756410256410252</v>
      </c>
      <c r="J109" s="2892">
        <f>(-0.214*(J108^2)-21.991*J108+4665)*(10^(-4))/J101</f>
        <v>0.59807692307692306</v>
      </c>
      <c r="K109" s="2892">
        <f>(-0.214*(K108^2)-21.991*K108+4665)*(10^(-4))/K101</f>
        <v>0.59807692307692306</v>
      </c>
      <c r="L109" s="2892">
        <f>(-0.214*(L108^2)-21.991*L108+4665)*(10^(-4))/L101</f>
        <v>0.59807692307692306</v>
      </c>
      <c r="M109" s="2892">
        <f>(-0.214*(M108^2)-21.991*M108+4665)*(10^(-4))/M101</f>
        <v>0.59807692307692306</v>
      </c>
      <c r="N109" s="2892">
        <f>(-0.214*(N108^2)-21.991*N108+4665)*(10^(-4))/N101</f>
        <v>0.59807692307692306</v>
      </c>
    </row>
    <row r="110" spans="1:14">
      <c r="A110" s="3267" t="s">
        <v>2988</v>
      </c>
      <c r="B110" s="3267"/>
      <c r="C110" s="3267"/>
      <c r="D110" s="3267"/>
      <c r="E110" s="3267"/>
      <c r="F110" s="3267"/>
      <c r="G110" s="3267"/>
      <c r="H110" s="3267"/>
      <c r="I110" s="3267"/>
      <c r="J110" s="3267"/>
      <c r="K110" s="2895"/>
      <c r="L110" s="2895"/>
      <c r="M110" s="2895"/>
      <c r="N110" s="2895"/>
    </row>
    <row r="112" spans="1:14" ht="13.5" thickBot="1"/>
    <row r="113" spans="1:13" ht="25.5" thickBot="1">
      <c r="A113" s="903" t="s">
        <v>2989</v>
      </c>
      <c r="B113" s="1286">
        <f>G3</f>
        <v>0.78</v>
      </c>
      <c r="C113" s="904" t="s">
        <v>2990</v>
      </c>
      <c r="D113" s="905">
        <f>SUMPRODUCT((A115:A118=F113)*(B114:M114=H113)*B115:M118)</f>
        <v>0</v>
      </c>
      <c r="E113" s="2718" t="s">
        <v>2820</v>
      </c>
      <c r="F113" s="2897">
        <f>E2</f>
        <v>0</v>
      </c>
      <c r="G113" s="2718" t="s">
        <v>2821</v>
      </c>
      <c r="H113" s="2897">
        <f>G2</f>
        <v>0</v>
      </c>
      <c r="I113" s="2718"/>
      <c r="J113" s="2898"/>
      <c r="K113" s="2898"/>
      <c r="L113" s="2898"/>
      <c r="M113" s="2898"/>
    </row>
    <row r="114" spans="1:13">
      <c r="A114" s="908"/>
      <c r="B114" s="2899" t="s">
        <v>2991</v>
      </c>
      <c r="C114" s="2899" t="s">
        <v>2992</v>
      </c>
      <c r="D114" s="2899" t="s">
        <v>2993</v>
      </c>
      <c r="E114" s="2900" t="s">
        <v>2994</v>
      </c>
      <c r="F114" s="2900" t="s">
        <v>2995</v>
      </c>
      <c r="G114" s="2900" t="s">
        <v>2996</v>
      </c>
      <c r="H114" s="2901" t="s">
        <v>2997</v>
      </c>
      <c r="I114" s="2901" t="s">
        <v>2998</v>
      </c>
      <c r="J114" s="2902" t="s">
        <v>2999</v>
      </c>
      <c r="K114" s="2902" t="s">
        <v>3000</v>
      </c>
      <c r="L114" s="2902" t="s">
        <v>3001</v>
      </c>
      <c r="M114" s="2903" t="s">
        <v>3002</v>
      </c>
    </row>
    <row r="115" spans="1:13">
      <c r="A115" s="909" t="s">
        <v>2885</v>
      </c>
      <c r="B115" s="910">
        <f>ROUND(0.9335-0.0094*B113,4)</f>
        <v>0.92620000000000002</v>
      </c>
      <c r="C115" s="910">
        <f>B115</f>
        <v>0.92620000000000002</v>
      </c>
      <c r="D115" s="910">
        <f>ROUND(0.8331-0.0109*B113,4)</f>
        <v>0.8246</v>
      </c>
      <c r="E115" s="910">
        <f>D115</f>
        <v>0.8246</v>
      </c>
      <c r="F115" s="910">
        <f>E115</f>
        <v>0.8246</v>
      </c>
      <c r="G115" s="910">
        <f>F115</f>
        <v>0.8246</v>
      </c>
      <c r="H115" s="910">
        <f>G115</f>
        <v>0.8246</v>
      </c>
      <c r="I115" s="910">
        <f>ROUND(0.689-0.0155*B113,4)</f>
        <v>0.67689999999999995</v>
      </c>
      <c r="J115" s="910">
        <f t="shared" ref="J115:M118" si="33">I115</f>
        <v>0.67689999999999995</v>
      </c>
      <c r="K115" s="910">
        <f t="shared" si="33"/>
        <v>0.67689999999999995</v>
      </c>
      <c r="L115" s="910">
        <f t="shared" si="33"/>
        <v>0.67689999999999995</v>
      </c>
      <c r="M115" s="911">
        <f t="shared" si="33"/>
        <v>0.67689999999999995</v>
      </c>
    </row>
    <row r="116" spans="1:13">
      <c r="A116" s="909" t="s">
        <v>2886</v>
      </c>
      <c r="B116" s="910">
        <f>ROUND(0.949-0.012*B113,4)</f>
        <v>0.93959999999999999</v>
      </c>
      <c r="C116" s="910">
        <f>B116</f>
        <v>0.93959999999999999</v>
      </c>
      <c r="D116" s="910">
        <f>ROUND(0.8567-0.013*B113,4)</f>
        <v>0.84660000000000002</v>
      </c>
      <c r="E116" s="910">
        <f t="shared" ref="E116:H117" si="34">D116</f>
        <v>0.84660000000000002</v>
      </c>
      <c r="F116" s="910">
        <f t="shared" si="34"/>
        <v>0.84660000000000002</v>
      </c>
      <c r="G116" s="910">
        <f t="shared" si="34"/>
        <v>0.84660000000000002</v>
      </c>
      <c r="H116" s="910">
        <f t="shared" si="34"/>
        <v>0.84660000000000002</v>
      </c>
      <c r="I116" s="910">
        <f>ROUND(0.7694-0.014*B113,4)</f>
        <v>0.75849999999999995</v>
      </c>
      <c r="J116" s="910">
        <f t="shared" si="33"/>
        <v>0.75849999999999995</v>
      </c>
      <c r="K116" s="910">
        <f t="shared" si="33"/>
        <v>0.75849999999999995</v>
      </c>
      <c r="L116" s="910">
        <f t="shared" si="33"/>
        <v>0.75849999999999995</v>
      </c>
      <c r="M116" s="911">
        <f t="shared" si="33"/>
        <v>0.75849999999999995</v>
      </c>
    </row>
    <row r="117" spans="1:13">
      <c r="A117" s="909" t="s">
        <v>2887</v>
      </c>
      <c r="B117" s="910">
        <f>ROUND(0.8808-0.006*B113,4)</f>
        <v>0.87609999999999999</v>
      </c>
      <c r="C117" s="910">
        <f>B117</f>
        <v>0.87609999999999999</v>
      </c>
      <c r="D117" s="910">
        <f>ROUND(0.8748-0.008*B113,4)</f>
        <v>0.86860000000000004</v>
      </c>
      <c r="E117" s="910">
        <f t="shared" si="34"/>
        <v>0.86860000000000004</v>
      </c>
      <c r="F117" s="910">
        <f t="shared" si="34"/>
        <v>0.86860000000000004</v>
      </c>
      <c r="G117" s="910">
        <f t="shared" si="34"/>
        <v>0.86860000000000004</v>
      </c>
      <c r="H117" s="910">
        <f t="shared" si="34"/>
        <v>0.86860000000000004</v>
      </c>
      <c r="I117" s="910">
        <f>ROUND(0.7412-0.0095*B113,4)</f>
        <v>0.73380000000000001</v>
      </c>
      <c r="J117" s="910">
        <f t="shared" si="33"/>
        <v>0.73380000000000001</v>
      </c>
      <c r="K117" s="910">
        <f t="shared" si="33"/>
        <v>0.73380000000000001</v>
      </c>
      <c r="L117" s="910">
        <f t="shared" si="33"/>
        <v>0.73380000000000001</v>
      </c>
      <c r="M117" s="911">
        <f t="shared" si="33"/>
        <v>0.73380000000000001</v>
      </c>
    </row>
    <row r="118" spans="1:13" ht="13.5" thickBot="1">
      <c r="A118" s="714" t="s">
        <v>2888</v>
      </c>
      <c r="B118" s="912">
        <f>ROUND(0.7275-0.01*B113,4)</f>
        <v>0.71970000000000001</v>
      </c>
      <c r="C118" s="912">
        <f>B118</f>
        <v>0.71970000000000001</v>
      </c>
      <c r="D118" s="912">
        <f>ROUND(0.7043-0.012*B113,4)</f>
        <v>0.69489999999999996</v>
      </c>
      <c r="E118" s="912">
        <f>D118</f>
        <v>0.69489999999999996</v>
      </c>
      <c r="F118" s="912">
        <f>E118</f>
        <v>0.69489999999999996</v>
      </c>
      <c r="G118" s="912">
        <f>ROUND(0.6299-0.0122*B113,4)</f>
        <v>0.62039999999999995</v>
      </c>
      <c r="H118" s="912">
        <f>G118</f>
        <v>0.62039999999999995</v>
      </c>
      <c r="I118" s="912">
        <f>ROUND(0.5667-0.0136*B113,4)</f>
        <v>0.55610000000000004</v>
      </c>
      <c r="J118" s="912">
        <f t="shared" si="33"/>
        <v>0.55610000000000004</v>
      </c>
      <c r="K118" s="912">
        <f t="shared" si="33"/>
        <v>0.55610000000000004</v>
      </c>
      <c r="L118" s="912">
        <f t="shared" si="33"/>
        <v>0.55610000000000004</v>
      </c>
      <c r="M118" s="913">
        <f t="shared" si="33"/>
        <v>0.55610000000000004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3011</v>
      </c>
    </row>
    <row r="2" spans="1:5" ht="15.75">
      <c r="A2" s="2904" t="s">
        <v>3003</v>
      </c>
      <c r="B2" s="2905" t="e">
        <f ca="1">SUMIF(B6:B13,"&lt;&gt;#ref!",B6:B13)</f>
        <v>#DIV/0!</v>
      </c>
      <c r="C2" s="2904" t="s">
        <v>3004</v>
      </c>
      <c r="D2" s="2904" t="s">
        <v>3005</v>
      </c>
      <c r="E2" s="2905">
        <f ca="1">SUMIF(E6:E13,"&lt;&gt;#ref!",E6:E13)</f>
        <v>0</v>
      </c>
    </row>
    <row r="3" spans="1:5" ht="15.75">
      <c r="A3" s="2904" t="s">
        <v>3006</v>
      </c>
      <c r="B3" s="2905" t="e">
        <f ca="1">ROUND(B2*10000/E2,0)</f>
        <v>#DIV/0!</v>
      </c>
      <c r="C3" s="2904" t="s">
        <v>3012</v>
      </c>
      <c r="D3" s="2906"/>
      <c r="E3" s="2906"/>
    </row>
    <row r="4" spans="1:5" ht="15.75">
      <c r="A4" s="2907"/>
      <c r="B4" s="2906"/>
      <c r="C4" s="2906"/>
      <c r="D4" s="2906"/>
      <c r="E4" s="2906"/>
    </row>
    <row r="5" spans="1:5" ht="28.5">
      <c r="A5" s="2908" t="s">
        <v>3007</v>
      </c>
      <c r="B5" s="2904" t="s">
        <v>3008</v>
      </c>
      <c r="C5" s="2905"/>
      <c r="D5" s="2906"/>
      <c r="E5" s="2904" t="s">
        <v>3009</v>
      </c>
    </row>
    <row r="6" spans="1:5" ht="15.75">
      <c r="A6" s="2909" t="s">
        <v>3010</v>
      </c>
      <c r="B6" s="2905" t="e">
        <f ca="1">SUMIF(INDIRECT("'"&amp;A6&amp;"'"&amp;"!A:A"),"总价",INDIRECT("'"&amp;A6&amp;"'"&amp;"!B:B"))</f>
        <v>#DIV/0!</v>
      </c>
      <c r="C6" s="2904" t="s">
        <v>3004</v>
      </c>
      <c r="D6" s="2906"/>
      <c r="E6" s="2569">
        <f ca="1">SUMIF(INDIRECT("'"&amp;A6&amp;"'"&amp;"!C:C"),"建筑面积",INDIRECT("'"&amp;A6&amp;"'"&amp;"!D:D"))</f>
        <v>0</v>
      </c>
    </row>
    <row r="7" spans="1:5" ht="15.75">
      <c r="A7" s="2909"/>
      <c r="B7" s="2905" t="e">
        <f ca="1">SUMIF(INDIRECT("'"&amp;A7&amp;"'"&amp;"!A:A"),"总价",INDIRECT("'"&amp;A7&amp;"'"&amp;"!B:B"))</f>
        <v>#REF!</v>
      </c>
      <c r="C7" s="2904" t="s">
        <v>3004</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3004</v>
      </c>
      <c r="D8" s="2906"/>
      <c r="E8" s="2569" t="e">
        <f t="shared" ca="1" si="0"/>
        <v>#REF!</v>
      </c>
    </row>
    <row r="9" spans="1:5" ht="15.75">
      <c r="A9" s="2909"/>
      <c r="B9" s="2905" t="e">
        <f t="shared" ca="1" si="1"/>
        <v>#REF!</v>
      </c>
      <c r="C9" s="2904" t="s">
        <v>3004</v>
      </c>
      <c r="D9" s="2906"/>
      <c r="E9" s="2569" t="e">
        <f t="shared" ca="1" si="0"/>
        <v>#REF!</v>
      </c>
    </row>
    <row r="10" spans="1:5" ht="15.75">
      <c r="A10" s="2909"/>
      <c r="B10" s="2905" t="e">
        <f t="shared" ca="1" si="1"/>
        <v>#REF!</v>
      </c>
      <c r="C10" s="2904" t="s">
        <v>3004</v>
      </c>
      <c r="D10" s="2906"/>
      <c r="E10" s="2569" t="e">
        <f t="shared" ca="1" si="0"/>
        <v>#REF!</v>
      </c>
    </row>
    <row r="11" spans="1:5" ht="15.75">
      <c r="A11" s="2909"/>
      <c r="B11" s="2905" t="e">
        <f t="shared" ca="1" si="1"/>
        <v>#REF!</v>
      </c>
      <c r="C11" s="2904" t="s">
        <v>3004</v>
      </c>
      <c r="D11" s="2906"/>
      <c r="E11" s="2569" t="e">
        <f t="shared" ca="1" si="0"/>
        <v>#REF!</v>
      </c>
    </row>
    <row r="12" spans="1:5" ht="15.75">
      <c r="A12" s="2909"/>
      <c r="B12" s="2905" t="e">
        <f t="shared" ca="1" si="1"/>
        <v>#REF!</v>
      </c>
      <c r="C12" s="2904" t="s">
        <v>3004</v>
      </c>
      <c r="D12" s="2906"/>
      <c r="E12" s="2569" t="e">
        <f t="shared" ca="1" si="0"/>
        <v>#REF!</v>
      </c>
    </row>
    <row r="13" spans="1:5" ht="15.75">
      <c r="A13" s="2909"/>
      <c r="B13" s="2905" t="e">
        <f t="shared" ca="1" si="1"/>
        <v>#REF!</v>
      </c>
      <c r="C13" s="2904" t="s">
        <v>3004</v>
      </c>
      <c r="D13" s="2906"/>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1" t="s">
        <v>1150</v>
      </c>
      <c r="C1" s="3281"/>
      <c r="D1" s="3281"/>
      <c r="E1" s="3281"/>
      <c r="F1" s="3281"/>
      <c r="G1" s="3280" t="s">
        <v>1151</v>
      </c>
      <c r="H1" s="3280"/>
      <c r="I1" s="3280"/>
      <c r="J1" s="3280"/>
      <c r="K1" s="3280"/>
      <c r="L1" s="3280"/>
      <c r="N1" s="3280" t="s">
        <v>1152</v>
      </c>
      <c r="O1" s="3280"/>
      <c r="P1" s="3280"/>
      <c r="Q1" s="3280"/>
      <c r="R1" s="1445"/>
      <c r="S1" s="3280" t="s">
        <v>1153</v>
      </c>
      <c r="T1" s="3280"/>
      <c r="U1" s="3280"/>
      <c r="V1" s="3280"/>
      <c r="X1" s="3279" t="s">
        <v>1154</v>
      </c>
      <c r="Y1" s="3280"/>
      <c r="Z1" s="3280"/>
      <c r="AA1" s="3280"/>
      <c r="AB1" s="3280"/>
      <c r="AD1" s="3279" t="s">
        <v>1155</v>
      </c>
      <c r="AE1" s="3280"/>
      <c r="AF1" s="3280"/>
      <c r="AG1" s="3280"/>
      <c r="AH1" s="3280"/>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3" customFormat="1" ht="14.25">
      <c r="A3" s="2932" t="s">
        <v>3038</v>
      </c>
      <c r="B3" s="2924"/>
      <c r="C3" s="2924"/>
      <c r="D3" s="2925"/>
      <c r="E3" s="2925"/>
      <c r="F3" s="2924"/>
      <c r="G3" s="2926"/>
      <c r="H3" s="2927"/>
      <c r="I3" s="2928">
        <f>ROUND(AVERAGE($I4:$I24),2)</f>
        <v>2.19</v>
      </c>
      <c r="J3" s="2928">
        <f>ROUND(AVERAGE($J4:$J24),2)</f>
        <v>1.53</v>
      </c>
      <c r="K3" s="2928">
        <f>ROUND(AVERAGE($K4:$K24),2)</f>
        <v>2.41</v>
      </c>
      <c r="L3" s="2928">
        <f>ROUND(AVERAGE($L4:$L24),2)</f>
        <v>1.42</v>
      </c>
      <c r="N3" s="2926"/>
      <c r="O3" s="2929"/>
      <c r="P3" s="2929"/>
      <c r="Q3" s="2929"/>
      <c r="R3" s="2929"/>
      <c r="S3" s="2926"/>
      <c r="T3" s="2929"/>
      <c r="U3" s="2929"/>
      <c r="V3" s="2929"/>
      <c r="W3" s="2921"/>
      <c r="X3" s="2930">
        <f>ROUND(SUMPRODUCT(PRODUCT(1+N3:N$23)),4)</f>
        <v>1.4956</v>
      </c>
      <c r="Y3" s="2930">
        <f>ROUND(SUMPRODUCT(PRODUCT(1+O3:O$23)),4)</f>
        <v>1.3237000000000001</v>
      </c>
      <c r="Z3" s="2930">
        <f t="shared" ref="Z3:Z21" si="0">Y3</f>
        <v>1.3237000000000001</v>
      </c>
      <c r="AA3" s="2930">
        <f>ROUND(SUMPRODUCT(PRODUCT(1+P3:P$23)),4)</f>
        <v>1.554</v>
      </c>
      <c r="AB3" s="2930">
        <f>ROUND(SUMPRODUCT(PRODUCT(1+Q3:Q$23)),4)</f>
        <v>1.3087</v>
      </c>
      <c r="AD3" s="2931">
        <f>ROUND(AVERAGE(I3:I$24)/100,4)</f>
        <v>2.1899999999999999E-2</v>
      </c>
      <c r="AE3" s="2931">
        <f>ROUND(AVERAGE(J3:J$24)/100,4)</f>
        <v>1.5299999999999999E-2</v>
      </c>
      <c r="AF3" s="2931">
        <f t="shared" ref="AF3:AF22" si="1">AE3</f>
        <v>1.5299999999999999E-2</v>
      </c>
      <c r="AG3" s="2931">
        <f>ROUND(AVERAGE(K3:K$24)/100,4)</f>
        <v>2.41E-2</v>
      </c>
      <c r="AH3" s="2931">
        <f>ROUND(AVERAGE(L3:L$24)/100,4)</f>
        <v>1.4200000000000001E-2</v>
      </c>
    </row>
    <row r="4" spans="1:34" s="1452" customFormat="1" ht="14.25">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3046</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5">
        <v>2018</v>
      </c>
      <c r="H5" s="1728">
        <v>4</v>
      </c>
      <c r="I5" s="2918">
        <v>0</v>
      </c>
      <c r="J5" s="2918">
        <v>0</v>
      </c>
      <c r="K5" s="2918">
        <v>0</v>
      </c>
      <c r="L5" s="2918">
        <v>0</v>
      </c>
      <c r="N5" s="1466">
        <f>I5/100</f>
        <v>0</v>
      </c>
      <c r="O5" s="1466">
        <f t="shared" ref="O5" si="7">J5/100</f>
        <v>0</v>
      </c>
      <c r="P5" s="1466">
        <f t="shared" ref="P5" si="8">K5/100</f>
        <v>0</v>
      </c>
      <c r="Q5" s="1466">
        <f t="shared" ref="Q5" si="9">L5/100</f>
        <v>0</v>
      </c>
      <c r="R5" s="1730"/>
      <c r="S5" s="1731"/>
      <c r="T5" s="1730"/>
      <c r="U5" s="1730"/>
      <c r="V5" s="1730"/>
      <c r="W5" s="2922" t="s">
        <v>3039</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3047</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3"/>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5" customFormat="1" ht="13.5" thickBot="1">
      <c r="A7" s="1460" t="s">
        <v>3045</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3"/>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5" customFormat="1" ht="13.5" thickBot="1">
      <c r="A8" s="1460" t="s">
        <v>3037</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3"/>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60" t="s">
        <v>3034</v>
      </c>
      <c r="B9" s="1468">
        <v>439</v>
      </c>
      <c r="C9" s="1468">
        <v>327</v>
      </c>
      <c r="D9" s="1468">
        <f>C9</f>
        <v>327</v>
      </c>
      <c r="E9" s="1468">
        <v>627</v>
      </c>
      <c r="F9" s="1469">
        <v>283</v>
      </c>
      <c r="G9" s="2920">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3035</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6"/>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9"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15"/>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52"/>
      <c r="AD11" s="1785">
        <f>ROUND(AVERAGE(I11:I$24)/100,4)</f>
        <v>2.46E-2</v>
      </c>
      <c r="AE11" s="1785">
        <f>ROUND(AVERAGE(J11:J$24)/100,4)</f>
        <v>1.6E-2</v>
      </c>
      <c r="AF11" s="1785">
        <f t="shared" si="1"/>
        <v>1.6E-2</v>
      </c>
      <c r="AG11" s="1785">
        <f>ROUND(AVERAGE(K11:K$24)/100,4)</f>
        <v>2.75E-2</v>
      </c>
      <c r="AH11" s="1785">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16"/>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60" t="s">
        <v>154</v>
      </c>
      <c r="B13" s="1468">
        <v>392</v>
      </c>
      <c r="C13" s="1468">
        <v>302</v>
      </c>
      <c r="D13" s="1468">
        <f>C13</f>
        <v>302</v>
      </c>
      <c r="E13" s="1468">
        <v>553</v>
      </c>
      <c r="F13" s="1469">
        <v>266</v>
      </c>
      <c r="G13" s="3282">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77"/>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77"/>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78"/>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76">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77"/>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77"/>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78"/>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76">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77"/>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77"/>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78"/>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0" t="s">
        <v>1163</v>
      </c>
      <c r="B25" s="1468">
        <v>299</v>
      </c>
      <c r="C25" s="1468">
        <v>252</v>
      </c>
      <c r="D25" s="1468">
        <f t="shared" si="64"/>
        <v>252</v>
      </c>
      <c r="E25" s="1468">
        <v>409</v>
      </c>
      <c r="F25" s="1469">
        <v>227</v>
      </c>
      <c r="G25" s="3283">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84"/>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84"/>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85"/>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76">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77"/>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77"/>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78"/>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76">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77">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77">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78">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76">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77">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77">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78">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76">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77">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77">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78">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76">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77">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77">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78">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76">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77">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77">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78">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76">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77">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77">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78">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76">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77">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77">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78">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76">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77">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77">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78">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76">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77">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77">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78">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76">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77">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77">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78">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B24" sqref="B24:B42"/>
    </sheetView>
  </sheetViews>
  <sheetFormatPr defaultRowHeight="12.75"/>
  <cols>
    <col min="1" max="1" width="11.5" style="139" customWidth="1"/>
    <col min="2" max="2" width="9.25" style="27" customWidth="1"/>
    <col min="3" max="3" width="8.125" style="27" customWidth="1"/>
    <col min="4" max="4" width="9.875" style="27" customWidth="1"/>
    <col min="5" max="5" width="8.25" style="27" customWidth="1"/>
    <col min="6" max="6" width="9" style="27"/>
    <col min="7" max="7" width="6.5" style="27" customWidth="1"/>
    <col min="8" max="8" width="9" style="27"/>
    <col min="9" max="9" width="6.75" style="27" customWidth="1"/>
    <col min="10" max="10" width="9" style="27"/>
    <col min="11" max="11" width="7.125" style="27" customWidth="1"/>
    <col min="12" max="12" width="11.125" style="27" customWidth="1"/>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3013</v>
      </c>
      <c r="C1" s="3287" t="s">
        <v>3014</v>
      </c>
      <c r="D1" s="3288"/>
      <c r="E1" s="3288"/>
      <c r="F1" s="3288"/>
      <c r="G1" s="3288"/>
      <c r="H1" s="3288"/>
      <c r="I1" s="3288"/>
      <c r="J1" s="3288"/>
      <c r="K1" s="3288"/>
      <c r="L1" s="3288"/>
      <c r="M1" s="3288"/>
      <c r="N1" s="3288"/>
      <c r="O1" s="3288"/>
      <c r="P1" s="3288"/>
      <c r="Q1" s="3288"/>
      <c r="R1" s="3288"/>
      <c r="S1" s="3289"/>
      <c r="T1" s="1204" t="s">
        <v>3015</v>
      </c>
    </row>
    <row r="2" spans="1:45" s="707" customFormat="1" ht="38.25">
      <c r="A2" s="1205"/>
      <c r="B2" s="703" t="s">
        <v>3016</v>
      </c>
      <c r="C2" s="704" t="str">
        <f t="shared" ref="C2:L2" si="0">C3&amp;"(含)"&amp;"-"&amp;D3</f>
        <v>0(含)-500</v>
      </c>
      <c r="D2" s="705" t="str">
        <f t="shared" si="0"/>
        <v>500(含)-1000</v>
      </c>
      <c r="E2" s="705" t="str">
        <f t="shared" si="0"/>
        <v>1000(含)-3000</v>
      </c>
      <c r="F2" s="705" t="str">
        <f t="shared" si="0"/>
        <v>3000(含)-5000</v>
      </c>
      <c r="G2" s="705" t="str">
        <f t="shared" si="0"/>
        <v>5000(含)-10000</v>
      </c>
      <c r="H2" s="705" t="str">
        <f t="shared" si="0"/>
        <v>10000(含)-30000</v>
      </c>
      <c r="I2" s="705" t="str">
        <f t="shared" si="0"/>
        <v>30000(含)-50000</v>
      </c>
      <c r="J2" s="705" t="str">
        <f t="shared" si="0"/>
        <v>50000(含)-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709">
        <v>3000</v>
      </c>
      <c r="G3" s="710">
        <v>5000</v>
      </c>
      <c r="H3" s="710">
        <v>10000</v>
      </c>
      <c r="I3" s="709">
        <v>30000</v>
      </c>
      <c r="J3" s="710">
        <v>50000</v>
      </c>
      <c r="K3" s="710"/>
      <c r="L3" s="709"/>
      <c r="M3" s="1704"/>
      <c r="N3" s="1704"/>
      <c r="O3" s="1703"/>
      <c r="P3" s="1703"/>
      <c r="Q3" s="1703"/>
      <c r="R3" s="1703"/>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211">
        <v>94</v>
      </c>
      <c r="G4" s="1211">
        <v>92</v>
      </c>
      <c r="H4" s="1211">
        <v>90</v>
      </c>
      <c r="I4" s="1211">
        <v>88</v>
      </c>
      <c r="J4" s="1211">
        <v>86</v>
      </c>
      <c r="K4" s="1211"/>
      <c r="L4" s="1211"/>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2951" t="s">
        <v>3177</v>
      </c>
      <c r="C5" s="2952" t="s">
        <v>3135</v>
      </c>
      <c r="D5" s="2953" t="s">
        <v>3136</v>
      </c>
      <c r="E5" s="2953" t="s">
        <v>3137</v>
      </c>
      <c r="F5" s="2953" t="s">
        <v>3138</v>
      </c>
      <c r="G5" s="2953" t="s">
        <v>3139</v>
      </c>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8"/>
      <c r="C6" s="1122">
        <v>100</v>
      </c>
      <c r="D6" s="1121">
        <f>C6-$T5</f>
        <v>100</v>
      </c>
      <c r="E6" s="1121">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5"/>
      <c r="B7" s="2954" t="s">
        <v>3155</v>
      </c>
      <c r="C7" s="2952" t="s">
        <v>3135</v>
      </c>
      <c r="D7" s="2953" t="s">
        <v>3136</v>
      </c>
      <c r="E7" s="2953" t="s">
        <v>3137</v>
      </c>
      <c r="F7" s="2953" t="s">
        <v>3138</v>
      </c>
      <c r="G7" s="2953" t="s">
        <v>3139</v>
      </c>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8"/>
      <c r="C8" s="1122">
        <v>100</v>
      </c>
      <c r="D8" s="1121">
        <f>C8-$T7</f>
        <v>100</v>
      </c>
      <c r="E8" s="1121">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5"/>
      <c r="B9" s="2954" t="s">
        <v>3227</v>
      </c>
      <c r="C9" s="2952" t="s">
        <v>3229</v>
      </c>
      <c r="D9" s="2953" t="s">
        <v>3231</v>
      </c>
      <c r="E9" s="2953" t="s">
        <v>3232</v>
      </c>
      <c r="F9" s="2953" t="s">
        <v>3234</v>
      </c>
      <c r="G9" s="2953" t="s">
        <v>3236</v>
      </c>
      <c r="H9" s="1714"/>
      <c r="I9" s="1714"/>
      <c r="J9" s="1714"/>
      <c r="K9" s="1714"/>
      <c r="L9" s="1722"/>
      <c r="M9" s="1715"/>
      <c r="N9" s="1716"/>
      <c r="O9" s="1717"/>
      <c r="P9" s="1718"/>
      <c r="Q9" s="1719"/>
      <c r="R9" s="1720"/>
      <c r="S9" s="1721"/>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19">
        <v>100</v>
      </c>
      <c r="D10" s="1220">
        <f>C10-$T9</f>
        <v>95</v>
      </c>
      <c r="E10" s="1220">
        <f t="shared" ref="E10:S10" si="9">D10-$T9</f>
        <v>90</v>
      </c>
      <c r="F10" s="1723">
        <f t="shared" si="9"/>
        <v>85</v>
      </c>
      <c r="G10" s="1723">
        <f t="shared" si="9"/>
        <v>80</v>
      </c>
      <c r="H10" s="1723">
        <f t="shared" si="9"/>
        <v>75</v>
      </c>
      <c r="I10" s="1723">
        <f t="shared" si="9"/>
        <v>70</v>
      </c>
      <c r="J10" s="1723">
        <f t="shared" si="9"/>
        <v>65</v>
      </c>
      <c r="K10" s="1723">
        <f t="shared" si="9"/>
        <v>60</v>
      </c>
      <c r="L10" s="1723">
        <f t="shared" si="9"/>
        <v>55</v>
      </c>
      <c r="M10" s="1723">
        <f t="shared" si="9"/>
        <v>50</v>
      </c>
      <c r="N10" s="1723">
        <f t="shared" si="9"/>
        <v>45</v>
      </c>
      <c r="O10" s="1723">
        <f t="shared" si="9"/>
        <v>40</v>
      </c>
      <c r="P10" s="1723">
        <f t="shared" si="9"/>
        <v>35</v>
      </c>
      <c r="Q10" s="1723">
        <f t="shared" si="9"/>
        <v>30</v>
      </c>
      <c r="R10" s="1723">
        <f t="shared" si="9"/>
        <v>25</v>
      </c>
      <c r="S10" s="1723">
        <f t="shared" si="9"/>
        <v>20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24">
      <c r="A11" s="1215"/>
      <c r="B11" s="2951" t="s">
        <v>3156</v>
      </c>
      <c r="C11" s="2952" t="s">
        <v>3204</v>
      </c>
      <c r="D11" s="2953" t="s">
        <v>3206</v>
      </c>
      <c r="E11" s="1216"/>
      <c r="F11" s="1216"/>
      <c r="G11" s="1216"/>
      <c r="H11" s="1216"/>
      <c r="I11" s="1216"/>
      <c r="J11" s="1216"/>
      <c r="K11" s="1216"/>
      <c r="L11" s="1216"/>
      <c r="M11" s="1217"/>
      <c r="N11" s="1221"/>
      <c r="O11" s="1222"/>
      <c r="P11" s="1223"/>
      <c r="Q11" s="1224"/>
      <c r="R11" s="1225"/>
      <c r="S11" s="1226"/>
      <c r="T11" s="1218">
        <v>5</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8"/>
      <c r="C12" s="1122">
        <v>100</v>
      </c>
      <c r="D12" s="1121">
        <f>C12-$T11</f>
        <v>95</v>
      </c>
      <c r="E12" s="1121">
        <f t="shared" ref="E12:S12" si="10">D12-$T11</f>
        <v>90</v>
      </c>
      <c r="F12" s="1121">
        <f t="shared" si="10"/>
        <v>85</v>
      </c>
      <c r="G12" s="1121">
        <f t="shared" si="10"/>
        <v>80</v>
      </c>
      <c r="H12" s="1121">
        <f t="shared" si="10"/>
        <v>75</v>
      </c>
      <c r="I12" s="1121">
        <f t="shared" si="10"/>
        <v>70</v>
      </c>
      <c r="J12" s="1121">
        <f t="shared" si="10"/>
        <v>65</v>
      </c>
      <c r="K12" s="1121">
        <f t="shared" si="10"/>
        <v>60</v>
      </c>
      <c r="L12" s="1121">
        <f t="shared" si="10"/>
        <v>55</v>
      </c>
      <c r="M12" s="1121">
        <f t="shared" si="10"/>
        <v>50</v>
      </c>
      <c r="N12" s="1121">
        <f t="shared" si="10"/>
        <v>45</v>
      </c>
      <c r="O12" s="1121">
        <f t="shared" si="10"/>
        <v>40</v>
      </c>
      <c r="P12" s="1121">
        <f t="shared" si="10"/>
        <v>35</v>
      </c>
      <c r="Q12" s="1121">
        <f t="shared" si="10"/>
        <v>30</v>
      </c>
      <c r="R12" s="1121">
        <f>Q12-$T11</f>
        <v>25</v>
      </c>
      <c r="S12" s="1121">
        <f t="shared" si="10"/>
        <v>20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4.25">
      <c r="A13" s="1215"/>
      <c r="B13" s="2951" t="s">
        <v>3157</v>
      </c>
      <c r="C13" s="595">
        <v>0</v>
      </c>
      <c r="D13" s="595">
        <v>10000</v>
      </c>
      <c r="E13" s="595">
        <v>20000</v>
      </c>
      <c r="F13" s="595">
        <v>30000</v>
      </c>
      <c r="G13" s="595">
        <v>40000</v>
      </c>
      <c r="H13" s="595">
        <v>50000</v>
      </c>
      <c r="I13" s="595">
        <v>60000</v>
      </c>
      <c r="J13" s="2945">
        <v>70000</v>
      </c>
      <c r="K13" s="2945">
        <v>80000</v>
      </c>
      <c r="L13" s="2946">
        <v>90000</v>
      </c>
      <c r="M13" s="2947">
        <v>100000</v>
      </c>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5" thickBot="1">
      <c r="A14" s="1215"/>
      <c r="B14" s="1118"/>
      <c r="C14" s="570">
        <v>100</v>
      </c>
      <c r="D14" s="591">
        <v>101</v>
      </c>
      <c r="E14" s="591">
        <v>102</v>
      </c>
      <c r="F14" s="591">
        <v>103</v>
      </c>
      <c r="G14" s="591">
        <v>104</v>
      </c>
      <c r="H14" s="591">
        <v>105</v>
      </c>
      <c r="I14" s="591">
        <v>106</v>
      </c>
      <c r="J14" s="591">
        <v>107</v>
      </c>
      <c r="K14" s="591">
        <v>108</v>
      </c>
      <c r="L14" s="591">
        <v>109</v>
      </c>
      <c r="M14" s="592">
        <v>110</v>
      </c>
      <c r="N14" s="1228"/>
      <c r="O14" s="1119"/>
      <c r="P14" s="1119"/>
      <c r="Q14" s="1119"/>
      <c r="R14" s="1119"/>
      <c r="S14" s="1229"/>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2951" t="s">
        <v>3222</v>
      </c>
      <c r="C15" s="2952" t="s">
        <v>3224</v>
      </c>
      <c r="D15" s="2953" t="s">
        <v>3226</v>
      </c>
      <c r="E15" s="2953"/>
      <c r="F15" s="2953"/>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v>100</v>
      </c>
      <c r="D16" s="1211">
        <v>90</v>
      </c>
      <c r="E16" s="1210"/>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3017</v>
      </c>
      <c r="B17" s="2911" t="s">
        <v>3018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3019</v>
      </c>
      <c r="E19" s="1788"/>
      <c r="F19" s="1788"/>
      <c r="G19" s="1788"/>
      <c r="H19" s="1279"/>
      <c r="I19" s="168"/>
      <c r="J19" s="168"/>
      <c r="K19" s="168"/>
      <c r="L19" s="168"/>
      <c r="M19" s="168"/>
      <c r="N19" s="168"/>
      <c r="O19" s="168"/>
      <c r="P19" s="168"/>
      <c r="Q19" s="168"/>
      <c r="R19" s="788"/>
      <c r="S19" s="138"/>
    </row>
    <row r="20" spans="1:45" ht="16.5" thickBot="1">
      <c r="A20" s="715" t="s">
        <v>3020</v>
      </c>
      <c r="B20" s="338">
        <f ca="1">IF(D20="——",S22,S22-F20)</f>
        <v>46633</v>
      </c>
      <c r="C20" s="168"/>
      <c r="D20" s="2913" t="s">
        <v>70</v>
      </c>
      <c r="E20" s="1789"/>
      <c r="F20" s="1204" t="e">
        <f ca="1">SUMIF(INDIRECT("'"&amp;H20&amp;"'"&amp;"!A:A"),"承租人权益价值",INDIRECT("'"&amp;H20&amp;"'"&amp;"!c:c"))</f>
        <v>#REF!</v>
      </c>
      <c r="G20" s="1204" t="s">
        <v>3021</v>
      </c>
      <c r="H20" s="2914"/>
      <c r="I20" s="168"/>
      <c r="J20" s="168"/>
      <c r="K20" s="168"/>
      <c r="L20" s="168"/>
      <c r="M20" s="168"/>
      <c r="N20" s="168"/>
      <c r="O20" s="168"/>
      <c r="P20" s="168"/>
      <c r="Q20" s="168"/>
      <c r="R20" s="788"/>
      <c r="S20" s="138"/>
    </row>
    <row r="21" spans="1:45" ht="15.75">
      <c r="A21" s="715" t="s">
        <v>3022</v>
      </c>
      <c r="B21" s="338">
        <f ca="1">R22</f>
        <v>4738</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98417.25</v>
      </c>
      <c r="C22" s="3150" t="s">
        <v>33</v>
      </c>
      <c r="D22" s="3151"/>
      <c r="E22" s="3151"/>
      <c r="F22" s="3151"/>
      <c r="G22" s="3151"/>
      <c r="H22" s="3151"/>
      <c r="I22" s="3151"/>
      <c r="J22" s="3151"/>
      <c r="K22" s="3151"/>
      <c r="L22" s="3151"/>
      <c r="M22" s="3151"/>
      <c r="N22" s="3151"/>
      <c r="O22" s="3151"/>
      <c r="P22" s="3151"/>
      <c r="Q22" s="3286"/>
      <c r="R22" s="716">
        <f ca="1">ROUND(S22*10000/B22,0)</f>
        <v>4738</v>
      </c>
      <c r="S22" s="24">
        <f ca="1">SUM(S24:S10000)</f>
        <v>46633</v>
      </c>
    </row>
    <row r="23" spans="1:45" s="12" customFormat="1" ht="25.5">
      <c r="A23" s="11" t="s">
        <v>3024</v>
      </c>
      <c r="B23" s="11" t="s">
        <v>3025</v>
      </c>
      <c r="C23" s="11" t="s">
        <v>3026</v>
      </c>
      <c r="D23" s="11" t="str">
        <f>B5</f>
        <v>办公集聚程度</v>
      </c>
      <c r="E23" s="11" t="s">
        <v>3026</v>
      </c>
      <c r="F23" s="11" t="str">
        <f>B7</f>
        <v>交通便捷度</v>
      </c>
      <c r="G23" s="11" t="s">
        <v>3026</v>
      </c>
      <c r="H23" s="11" t="str">
        <f>B9</f>
        <v>容积率</v>
      </c>
      <c r="I23" s="11" t="s">
        <v>3026</v>
      </c>
      <c r="J23" s="11" t="str">
        <f>B11</f>
        <v>土地使用年限</v>
      </c>
      <c r="K23" s="11" t="s">
        <v>3026</v>
      </c>
      <c r="L23" s="11" t="str">
        <f>B13</f>
        <v>土地面积</v>
      </c>
      <c r="M23" s="11" t="s">
        <v>3026</v>
      </c>
      <c r="N23" s="11" t="str">
        <f>B15</f>
        <v>建筑品质</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5" customHeight="1">
      <c r="A24" s="2955" t="s">
        <v>3158</v>
      </c>
      <c r="B24" s="718">
        <f>'数据-汇总表'!E3</f>
        <v>38865.599999999999</v>
      </c>
      <c r="C24" s="719">
        <v>1</v>
      </c>
      <c r="D24" s="720" t="s">
        <v>3142</v>
      </c>
      <c r="E24" s="719">
        <v>1</v>
      </c>
      <c r="F24" s="720" t="s">
        <v>3143</v>
      </c>
      <c r="G24" s="719">
        <v>1</v>
      </c>
      <c r="H24" s="720" t="s">
        <v>3228</v>
      </c>
      <c r="I24" s="719">
        <v>1</v>
      </c>
      <c r="J24" s="720" t="s">
        <v>3205</v>
      </c>
      <c r="K24" s="719">
        <v>1</v>
      </c>
      <c r="L24" s="720" t="s">
        <v>3178</v>
      </c>
      <c r="M24" s="719">
        <v>1</v>
      </c>
      <c r="N24" s="720" t="s">
        <v>3223</v>
      </c>
      <c r="O24" s="719">
        <v>1</v>
      </c>
      <c r="P24" s="720"/>
      <c r="Q24" s="719">
        <v>1</v>
      </c>
      <c r="R24" s="721">
        <f ca="1">结果表!G20</f>
        <v>4823</v>
      </c>
      <c r="S24" s="719">
        <f t="shared" ref="S24:S54" ca="1" si="11">ROUND(R24*B24/10000,0)</f>
        <v>18745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55" t="s">
        <v>3159</v>
      </c>
      <c r="B25" s="59">
        <v>18227.03</v>
      </c>
      <c r="C25" s="24">
        <f>IF(B25="",1,(LOOKUP(B25,$3:$3,$4:$4)-LOOKUP($B$24,$3:$3,$4:$4)+100)/100)</f>
        <v>1.02</v>
      </c>
      <c r="D25" s="720" t="s">
        <v>3142</v>
      </c>
      <c r="E25" s="24">
        <f>(SUMIF($5:$5,D25,$6:$6)-SUMIF($5:$5,$D$24,$6:$6)+100)/100</f>
        <v>1</v>
      </c>
      <c r="F25" s="720" t="s">
        <v>3143</v>
      </c>
      <c r="G25" s="24">
        <f>(SUMIF($7:$7,F25,$8:$8)-SUMIF($7:$7,$F$24,$8:$8)+100)/100</f>
        <v>1</v>
      </c>
      <c r="H25" s="720" t="s">
        <v>3230</v>
      </c>
      <c r="I25" s="24">
        <f>(SUMIF($9:$9,H25,$10:$10)-SUMIF($9:$9,$H$24,$10:$10)+100)/100</f>
        <v>0.95</v>
      </c>
      <c r="J25" s="720" t="s">
        <v>3203</v>
      </c>
      <c r="K25" s="24">
        <f>(SUMIF($11:$11,J25,$12:$12)-SUMIF($11:$11,$J$24,$12:$12)+100)/100</f>
        <v>1.05</v>
      </c>
      <c r="L25" s="720" t="s">
        <v>3178</v>
      </c>
      <c r="M25" s="24">
        <f>(SUMIF($13:$13,L25,$14:$14)-SUMIF($13:$13,$L$24,$14:$14)+100)/100</f>
        <v>1</v>
      </c>
      <c r="N25" s="720" t="s">
        <v>3223</v>
      </c>
      <c r="O25" s="24">
        <f>(SUMIF($15:$15,N25,$16:$16)-SUMIF($15:$15,$N$24,$16:$16)+100)/100</f>
        <v>1</v>
      </c>
      <c r="P25" s="720"/>
      <c r="Q25" s="24">
        <f>(SUMIF($17:$17,P25,$18:$18)-SUMIF($17:$17,$P$24,$18:$18)+100)/100</f>
        <v>1</v>
      </c>
      <c r="R25" s="716">
        <f ca="1">IF(B25="",0,ROUND($R$24*C25*E25*G25*I25*K25*M25*O25*Q25,0))</f>
        <v>4907</v>
      </c>
      <c r="S25" s="361">
        <f t="shared" ca="1" si="11"/>
        <v>8944</v>
      </c>
    </row>
    <row r="26" spans="1:45">
      <c r="A26" s="2955" t="s">
        <v>3160</v>
      </c>
      <c r="B26" s="59">
        <v>4188</v>
      </c>
      <c r="C26" s="24">
        <f t="shared" ref="C26:C89" si="12">IF(B26="",1,(LOOKUP(B26,$3:$3,$4:$4)-LOOKUP($B$24,$3:$3,$4:$4)+100)/100)</f>
        <v>1.06</v>
      </c>
      <c r="D26" s="720" t="s">
        <v>3142</v>
      </c>
      <c r="E26" s="24">
        <f t="shared" ref="E26:E89" si="13">(SUMIF($5:$5,D26,$6:$6)-SUMIF($5:$5,$D$24,$6:$6)+100)/100</f>
        <v>1</v>
      </c>
      <c r="F26" s="720" t="s">
        <v>3143</v>
      </c>
      <c r="G26" s="24">
        <f t="shared" ref="G26:G89" si="14">(SUMIF($7:$7,F26,$8:$8)-SUMIF($7:$7,$F$24,$8:$8)+100)/100</f>
        <v>1</v>
      </c>
      <c r="H26" s="720" t="s">
        <v>3228</v>
      </c>
      <c r="I26" s="24">
        <f t="shared" ref="I26:I89" si="15">(SUMIF($9:$9,H26,$10:$10)-SUMIF($9:$9,$H$24,$10:$10)+100)/100</f>
        <v>1</v>
      </c>
      <c r="J26" s="720" t="s">
        <v>3203</v>
      </c>
      <c r="K26" s="24">
        <f t="shared" ref="K26:K89" si="16">(SUMIF($11:$11,J26,$12:$12)-SUMIF($11:$11,$J$24,$12:$12)+100)/100</f>
        <v>1.05</v>
      </c>
      <c r="L26" s="720" t="s">
        <v>3179</v>
      </c>
      <c r="M26" s="24">
        <f t="shared" ref="M26:M89" si="17">(SUMIF($13:$13,L26,$14:$14)-SUMIF($13:$13,$L$24,$14:$14)+100)/100</f>
        <v>1</v>
      </c>
      <c r="N26" s="720" t="s">
        <v>3225</v>
      </c>
      <c r="O26" s="24">
        <f t="shared" ref="O26:O89" si="18">(SUMIF($15:$15,N26,$16:$16)-SUMIF($15:$15,$N$24,$16:$16)+100)/100</f>
        <v>0.9</v>
      </c>
      <c r="P26" s="720"/>
      <c r="Q26" s="24">
        <f t="shared" ref="Q26:Q89" si="19">(SUMIF($17:$17,P26,$18:$18)-SUMIF($17:$17,$P$24,$18:$18)+100)/100</f>
        <v>1</v>
      </c>
      <c r="R26" s="716">
        <f t="shared" ref="R26:R89" ca="1" si="20">IF(B26="",0,ROUND($R$24*C26*E26*G26*I26*K26*M26*O26*Q26,0))</f>
        <v>4831</v>
      </c>
      <c r="S26" s="361">
        <f t="shared" ca="1" si="11"/>
        <v>2023</v>
      </c>
    </row>
    <row r="27" spans="1:45">
      <c r="A27" s="2955" t="s">
        <v>3161</v>
      </c>
      <c r="B27" s="59">
        <v>406.53</v>
      </c>
      <c r="C27" s="24">
        <f t="shared" si="12"/>
        <v>1.1200000000000001</v>
      </c>
      <c r="D27" s="720" t="s">
        <v>3142</v>
      </c>
      <c r="E27" s="24">
        <f t="shared" si="13"/>
        <v>1</v>
      </c>
      <c r="F27" s="720" t="s">
        <v>3143</v>
      </c>
      <c r="G27" s="24">
        <f t="shared" si="14"/>
        <v>1</v>
      </c>
      <c r="H27" s="720" t="s">
        <v>3228</v>
      </c>
      <c r="I27" s="24">
        <f t="shared" si="15"/>
        <v>1</v>
      </c>
      <c r="J27" s="720" t="s">
        <v>3203</v>
      </c>
      <c r="K27" s="24">
        <f t="shared" si="16"/>
        <v>1.05</v>
      </c>
      <c r="L27" s="720" t="s">
        <v>3181</v>
      </c>
      <c r="M27" s="24">
        <f t="shared" si="17"/>
        <v>1</v>
      </c>
      <c r="N27" s="720" t="s">
        <v>3225</v>
      </c>
      <c r="O27" s="24">
        <f t="shared" si="18"/>
        <v>0.9</v>
      </c>
      <c r="P27" s="720"/>
      <c r="Q27" s="24">
        <f t="shared" si="19"/>
        <v>1</v>
      </c>
      <c r="R27" s="716">
        <f t="shared" ca="1" si="20"/>
        <v>5105</v>
      </c>
      <c r="S27" s="361">
        <f t="shared" ca="1" si="11"/>
        <v>208</v>
      </c>
    </row>
    <row r="28" spans="1:45">
      <c r="A28" s="2955" t="s">
        <v>3162</v>
      </c>
      <c r="B28" s="59">
        <v>2078.4699999999998</v>
      </c>
      <c r="C28" s="24">
        <f t="shared" si="12"/>
        <v>1.08</v>
      </c>
      <c r="D28" s="720" t="s">
        <v>3142</v>
      </c>
      <c r="E28" s="24">
        <f t="shared" si="13"/>
        <v>1</v>
      </c>
      <c r="F28" s="720" t="s">
        <v>3143</v>
      </c>
      <c r="G28" s="24">
        <f t="shared" si="14"/>
        <v>1</v>
      </c>
      <c r="H28" s="720" t="s">
        <v>3228</v>
      </c>
      <c r="I28" s="24">
        <f t="shared" si="15"/>
        <v>1</v>
      </c>
      <c r="J28" s="720" t="s">
        <v>3203</v>
      </c>
      <c r="K28" s="24">
        <f t="shared" si="16"/>
        <v>1.05</v>
      </c>
      <c r="L28" s="720" t="s">
        <v>3182</v>
      </c>
      <c r="M28" s="24">
        <f t="shared" si="17"/>
        <v>1</v>
      </c>
      <c r="N28" s="720" t="s">
        <v>3225</v>
      </c>
      <c r="O28" s="24">
        <f t="shared" si="18"/>
        <v>0.9</v>
      </c>
      <c r="P28" s="720"/>
      <c r="Q28" s="24">
        <f t="shared" si="19"/>
        <v>1</v>
      </c>
      <c r="R28" s="716">
        <f t="shared" ca="1" si="20"/>
        <v>4922</v>
      </c>
      <c r="S28" s="361">
        <f t="shared" ca="1" si="11"/>
        <v>1023</v>
      </c>
    </row>
    <row r="29" spans="1:45">
      <c r="A29" s="159" t="s">
        <v>3163</v>
      </c>
      <c r="B29" s="59">
        <v>4564.2700000000004</v>
      </c>
      <c r="C29" s="24">
        <f t="shared" si="12"/>
        <v>1.06</v>
      </c>
      <c r="D29" s="720" t="s">
        <v>3142</v>
      </c>
      <c r="E29" s="24">
        <f t="shared" si="13"/>
        <v>1</v>
      </c>
      <c r="F29" s="720" t="s">
        <v>3143</v>
      </c>
      <c r="G29" s="24">
        <f t="shared" si="14"/>
        <v>1</v>
      </c>
      <c r="H29" s="720" t="s">
        <v>3230</v>
      </c>
      <c r="I29" s="24">
        <f t="shared" si="15"/>
        <v>0.95</v>
      </c>
      <c r="J29" s="720" t="s">
        <v>3203</v>
      </c>
      <c r="K29" s="24">
        <f t="shared" si="16"/>
        <v>1.05</v>
      </c>
      <c r="L29" s="720" t="s">
        <v>3182</v>
      </c>
      <c r="M29" s="24">
        <f t="shared" si="17"/>
        <v>1</v>
      </c>
      <c r="N29" s="720" t="s">
        <v>3225</v>
      </c>
      <c r="O29" s="24">
        <f t="shared" si="18"/>
        <v>0.9</v>
      </c>
      <c r="P29" s="720"/>
      <c r="Q29" s="24">
        <f t="shared" si="19"/>
        <v>1</v>
      </c>
      <c r="R29" s="716">
        <f t="shared" ca="1" si="20"/>
        <v>4590</v>
      </c>
      <c r="S29" s="361">
        <f t="shared" ca="1" si="11"/>
        <v>2095</v>
      </c>
    </row>
    <row r="30" spans="1:45" ht="13.5">
      <c r="A30" s="159" t="s">
        <v>3164</v>
      </c>
      <c r="B30" s="59">
        <v>2104.2399999999998</v>
      </c>
      <c r="C30" s="24">
        <f t="shared" si="12"/>
        <v>1.08</v>
      </c>
      <c r="D30" s="720" t="s">
        <v>3142</v>
      </c>
      <c r="E30" s="24">
        <f t="shared" si="13"/>
        <v>1</v>
      </c>
      <c r="F30" s="720" t="s">
        <v>3143</v>
      </c>
      <c r="G30" s="24">
        <f t="shared" si="14"/>
        <v>1</v>
      </c>
      <c r="H30" s="720" t="s">
        <v>3230</v>
      </c>
      <c r="I30" s="24">
        <f t="shared" si="15"/>
        <v>0.95</v>
      </c>
      <c r="J30" s="720" t="s">
        <v>3203</v>
      </c>
      <c r="K30" s="24">
        <f t="shared" si="16"/>
        <v>1.05</v>
      </c>
      <c r="L30" s="720" t="s">
        <v>3180</v>
      </c>
      <c r="M30" s="24">
        <f t="shared" si="17"/>
        <v>1</v>
      </c>
      <c r="N30" s="720" t="s">
        <v>3225</v>
      </c>
      <c r="O30" s="24">
        <f t="shared" si="18"/>
        <v>0.9</v>
      </c>
      <c r="P30" s="720"/>
      <c r="Q30" s="24">
        <f t="shared" si="19"/>
        <v>1</v>
      </c>
      <c r="R30" s="716">
        <f t="shared" ca="1" si="20"/>
        <v>4676</v>
      </c>
      <c r="S30" s="361">
        <f t="shared" ca="1" si="11"/>
        <v>984</v>
      </c>
    </row>
    <row r="31" spans="1:45" ht="13.5">
      <c r="A31" s="159" t="s">
        <v>3165</v>
      </c>
      <c r="B31" s="59">
        <v>4161.22</v>
      </c>
      <c r="C31" s="24">
        <f t="shared" si="12"/>
        <v>1.06</v>
      </c>
      <c r="D31" s="720" t="s">
        <v>3142</v>
      </c>
      <c r="E31" s="24">
        <f t="shared" si="13"/>
        <v>1</v>
      </c>
      <c r="F31" s="720" t="s">
        <v>3143</v>
      </c>
      <c r="G31" s="24">
        <f t="shared" si="14"/>
        <v>1</v>
      </c>
      <c r="H31" s="720" t="s">
        <v>3230</v>
      </c>
      <c r="I31" s="24">
        <f t="shared" si="15"/>
        <v>0.95</v>
      </c>
      <c r="J31" s="720" t="s">
        <v>3203</v>
      </c>
      <c r="K31" s="24">
        <f t="shared" si="16"/>
        <v>1.05</v>
      </c>
      <c r="L31" s="720" t="s">
        <v>3182</v>
      </c>
      <c r="M31" s="24">
        <f t="shared" si="17"/>
        <v>1</v>
      </c>
      <c r="N31" s="720" t="s">
        <v>3225</v>
      </c>
      <c r="O31" s="24">
        <f t="shared" si="18"/>
        <v>0.9</v>
      </c>
      <c r="P31" s="720"/>
      <c r="Q31" s="24">
        <f t="shared" si="19"/>
        <v>1</v>
      </c>
      <c r="R31" s="716">
        <f t="shared" ca="1" si="20"/>
        <v>4590</v>
      </c>
      <c r="S31" s="361">
        <f t="shared" ca="1" si="11"/>
        <v>1910</v>
      </c>
    </row>
    <row r="32" spans="1:45" ht="13.5">
      <c r="A32" s="159" t="s">
        <v>3166</v>
      </c>
      <c r="B32" s="59">
        <v>1667.01</v>
      </c>
      <c r="C32" s="24">
        <f t="shared" si="12"/>
        <v>1.08</v>
      </c>
      <c r="D32" s="720" t="s">
        <v>3142</v>
      </c>
      <c r="E32" s="24">
        <f t="shared" si="13"/>
        <v>1</v>
      </c>
      <c r="F32" s="720" t="s">
        <v>3143</v>
      </c>
      <c r="G32" s="24">
        <f t="shared" si="14"/>
        <v>1</v>
      </c>
      <c r="H32" s="720" t="s">
        <v>3230</v>
      </c>
      <c r="I32" s="24">
        <f t="shared" si="15"/>
        <v>0.95</v>
      </c>
      <c r="J32" s="720" t="s">
        <v>3203</v>
      </c>
      <c r="K32" s="24">
        <f t="shared" si="16"/>
        <v>1.05</v>
      </c>
      <c r="L32" s="720" t="s">
        <v>3181</v>
      </c>
      <c r="M32" s="24">
        <f t="shared" si="17"/>
        <v>1</v>
      </c>
      <c r="N32" s="720" t="s">
        <v>3225</v>
      </c>
      <c r="O32" s="24">
        <f t="shared" si="18"/>
        <v>0.9</v>
      </c>
      <c r="P32" s="720"/>
      <c r="Q32" s="24">
        <f t="shared" si="19"/>
        <v>1</v>
      </c>
      <c r="R32" s="716">
        <f t="shared" ca="1" si="20"/>
        <v>4676</v>
      </c>
      <c r="S32" s="361">
        <f t="shared" ca="1" si="11"/>
        <v>779</v>
      </c>
    </row>
    <row r="33" spans="1:19" ht="13.5">
      <c r="A33" s="159" t="s">
        <v>3167</v>
      </c>
      <c r="B33" s="59">
        <v>1238.3399999999999</v>
      </c>
      <c r="C33" s="24">
        <f t="shared" si="12"/>
        <v>1.08</v>
      </c>
      <c r="D33" s="720" t="s">
        <v>3142</v>
      </c>
      <c r="E33" s="24">
        <f t="shared" si="13"/>
        <v>1</v>
      </c>
      <c r="F33" s="720" t="s">
        <v>3143</v>
      </c>
      <c r="G33" s="24">
        <f t="shared" si="14"/>
        <v>1</v>
      </c>
      <c r="H33" s="720" t="s">
        <v>3230</v>
      </c>
      <c r="I33" s="24">
        <f t="shared" si="15"/>
        <v>0.95</v>
      </c>
      <c r="J33" s="720" t="s">
        <v>3203</v>
      </c>
      <c r="K33" s="24">
        <f t="shared" si="16"/>
        <v>1.05</v>
      </c>
      <c r="L33" s="720" t="s">
        <v>3180</v>
      </c>
      <c r="M33" s="24">
        <f t="shared" si="17"/>
        <v>1</v>
      </c>
      <c r="N33" s="720" t="s">
        <v>3225</v>
      </c>
      <c r="O33" s="24">
        <f t="shared" si="18"/>
        <v>0.9</v>
      </c>
      <c r="P33" s="720"/>
      <c r="Q33" s="24">
        <f t="shared" si="19"/>
        <v>1</v>
      </c>
      <c r="R33" s="716">
        <f t="shared" ca="1" si="20"/>
        <v>4676</v>
      </c>
      <c r="S33" s="361">
        <f t="shared" ca="1" si="11"/>
        <v>579</v>
      </c>
    </row>
    <row r="34" spans="1:19" ht="13.5">
      <c r="A34" s="159" t="s">
        <v>3168</v>
      </c>
      <c r="B34" s="59">
        <v>1684.72</v>
      </c>
      <c r="C34" s="24">
        <f t="shared" si="12"/>
        <v>1.08</v>
      </c>
      <c r="D34" s="720" t="s">
        <v>3142</v>
      </c>
      <c r="E34" s="24">
        <f t="shared" si="13"/>
        <v>1</v>
      </c>
      <c r="F34" s="720" t="s">
        <v>3143</v>
      </c>
      <c r="G34" s="24">
        <f t="shared" si="14"/>
        <v>1</v>
      </c>
      <c r="H34" s="720" t="s">
        <v>3230</v>
      </c>
      <c r="I34" s="24">
        <f t="shared" si="15"/>
        <v>0.95</v>
      </c>
      <c r="J34" s="720" t="s">
        <v>3203</v>
      </c>
      <c r="K34" s="24">
        <f t="shared" si="16"/>
        <v>1.05</v>
      </c>
      <c r="L34" s="720" t="s">
        <v>3180</v>
      </c>
      <c r="M34" s="24">
        <f t="shared" si="17"/>
        <v>1</v>
      </c>
      <c r="N34" s="720" t="s">
        <v>3225</v>
      </c>
      <c r="O34" s="24">
        <f t="shared" si="18"/>
        <v>0.9</v>
      </c>
      <c r="P34" s="720"/>
      <c r="Q34" s="24">
        <f t="shared" si="19"/>
        <v>1</v>
      </c>
      <c r="R34" s="716">
        <f t="shared" ca="1" si="20"/>
        <v>4676</v>
      </c>
      <c r="S34" s="361">
        <f t="shared" ca="1" si="11"/>
        <v>788</v>
      </c>
    </row>
    <row r="35" spans="1:19" ht="13.5">
      <c r="A35" s="159" t="s">
        <v>3169</v>
      </c>
      <c r="B35" s="59">
        <v>4464.38</v>
      </c>
      <c r="C35" s="24">
        <f t="shared" si="12"/>
        <v>1.06</v>
      </c>
      <c r="D35" s="720" t="s">
        <v>3142</v>
      </c>
      <c r="E35" s="24">
        <f t="shared" si="13"/>
        <v>1</v>
      </c>
      <c r="F35" s="720" t="s">
        <v>3143</v>
      </c>
      <c r="G35" s="24">
        <f t="shared" si="14"/>
        <v>1</v>
      </c>
      <c r="H35" s="720" t="s">
        <v>3230</v>
      </c>
      <c r="I35" s="24">
        <f t="shared" si="15"/>
        <v>0.95</v>
      </c>
      <c r="J35" s="720" t="s">
        <v>3203</v>
      </c>
      <c r="K35" s="24">
        <f t="shared" si="16"/>
        <v>1.05</v>
      </c>
      <c r="L35" s="720" t="s">
        <v>3179</v>
      </c>
      <c r="M35" s="24">
        <f t="shared" si="17"/>
        <v>1</v>
      </c>
      <c r="N35" s="720" t="s">
        <v>3225</v>
      </c>
      <c r="O35" s="24">
        <f t="shared" si="18"/>
        <v>0.9</v>
      </c>
      <c r="P35" s="720"/>
      <c r="Q35" s="24">
        <f t="shared" si="19"/>
        <v>1</v>
      </c>
      <c r="R35" s="716">
        <f t="shared" ca="1" si="20"/>
        <v>4590</v>
      </c>
      <c r="S35" s="361">
        <f t="shared" ca="1" si="11"/>
        <v>2049</v>
      </c>
    </row>
    <row r="36" spans="1:19" ht="13.5">
      <c r="A36" s="159" t="s">
        <v>3170</v>
      </c>
      <c r="B36" s="59">
        <v>315</v>
      </c>
      <c r="C36" s="24">
        <f t="shared" si="12"/>
        <v>1.1200000000000001</v>
      </c>
      <c r="D36" s="720" t="s">
        <v>3142</v>
      </c>
      <c r="E36" s="24">
        <f t="shared" si="13"/>
        <v>1</v>
      </c>
      <c r="F36" s="720" t="s">
        <v>3143</v>
      </c>
      <c r="G36" s="24">
        <f t="shared" si="14"/>
        <v>1</v>
      </c>
      <c r="H36" s="720" t="s">
        <v>3228</v>
      </c>
      <c r="I36" s="24">
        <f t="shared" si="15"/>
        <v>1</v>
      </c>
      <c r="J36" s="720" t="s">
        <v>3203</v>
      </c>
      <c r="K36" s="24">
        <f t="shared" si="16"/>
        <v>1.05</v>
      </c>
      <c r="L36" s="720" t="s">
        <v>3181</v>
      </c>
      <c r="M36" s="24">
        <f t="shared" si="17"/>
        <v>1</v>
      </c>
      <c r="N36" s="720" t="s">
        <v>3225</v>
      </c>
      <c r="O36" s="24">
        <f t="shared" si="18"/>
        <v>0.9</v>
      </c>
      <c r="P36" s="720"/>
      <c r="Q36" s="24">
        <f t="shared" si="19"/>
        <v>1</v>
      </c>
      <c r="R36" s="716">
        <f t="shared" ca="1" si="20"/>
        <v>5105</v>
      </c>
      <c r="S36" s="361">
        <f t="shared" ca="1" si="11"/>
        <v>161</v>
      </c>
    </row>
    <row r="37" spans="1:19" ht="13.5">
      <c r="A37" s="159" t="s">
        <v>3171</v>
      </c>
      <c r="B37" s="59">
        <v>1673.67</v>
      </c>
      <c r="C37" s="24">
        <f t="shared" si="12"/>
        <v>1.08</v>
      </c>
      <c r="D37" s="720" t="s">
        <v>3142</v>
      </c>
      <c r="E37" s="24">
        <f t="shared" si="13"/>
        <v>1</v>
      </c>
      <c r="F37" s="720" t="s">
        <v>3143</v>
      </c>
      <c r="G37" s="24">
        <f t="shared" si="14"/>
        <v>1</v>
      </c>
      <c r="H37" s="720" t="s">
        <v>3228</v>
      </c>
      <c r="I37" s="24">
        <f t="shared" si="15"/>
        <v>1</v>
      </c>
      <c r="J37" s="720" t="s">
        <v>3203</v>
      </c>
      <c r="K37" s="24">
        <f t="shared" si="16"/>
        <v>1.05</v>
      </c>
      <c r="L37" s="720" t="s">
        <v>3182</v>
      </c>
      <c r="M37" s="24">
        <f t="shared" si="17"/>
        <v>1</v>
      </c>
      <c r="N37" s="720" t="s">
        <v>3225</v>
      </c>
      <c r="O37" s="24">
        <f t="shared" si="18"/>
        <v>0.9</v>
      </c>
      <c r="P37" s="720"/>
      <c r="Q37" s="24">
        <f t="shared" si="19"/>
        <v>1</v>
      </c>
      <c r="R37" s="716">
        <f t="shared" ca="1" si="20"/>
        <v>4922</v>
      </c>
      <c r="S37" s="361">
        <f t="shared" ca="1" si="11"/>
        <v>824</v>
      </c>
    </row>
    <row r="38" spans="1:19" ht="13.5">
      <c r="A38" s="159" t="s">
        <v>3172</v>
      </c>
      <c r="B38" s="59">
        <v>1809.36</v>
      </c>
      <c r="C38" s="24">
        <f t="shared" si="12"/>
        <v>1.08</v>
      </c>
      <c r="D38" s="720" t="s">
        <v>3142</v>
      </c>
      <c r="E38" s="24">
        <f t="shared" si="13"/>
        <v>1</v>
      </c>
      <c r="F38" s="720" t="s">
        <v>3143</v>
      </c>
      <c r="G38" s="24">
        <f t="shared" si="14"/>
        <v>1</v>
      </c>
      <c r="H38" s="720" t="s">
        <v>3235</v>
      </c>
      <c r="I38" s="24">
        <f t="shared" si="15"/>
        <v>0.8</v>
      </c>
      <c r="J38" s="720" t="s">
        <v>3203</v>
      </c>
      <c r="K38" s="24">
        <f t="shared" si="16"/>
        <v>1.05</v>
      </c>
      <c r="L38" s="720" t="s">
        <v>3181</v>
      </c>
      <c r="M38" s="24">
        <f t="shared" si="17"/>
        <v>1</v>
      </c>
      <c r="N38" s="720" t="s">
        <v>3225</v>
      </c>
      <c r="O38" s="24">
        <f t="shared" si="18"/>
        <v>0.9</v>
      </c>
      <c r="P38" s="720"/>
      <c r="Q38" s="24">
        <f t="shared" si="19"/>
        <v>1</v>
      </c>
      <c r="R38" s="716">
        <f t="shared" ca="1" si="20"/>
        <v>3938</v>
      </c>
      <c r="S38" s="361">
        <f t="shared" ca="1" si="11"/>
        <v>713</v>
      </c>
    </row>
    <row r="39" spans="1:19" ht="13.5">
      <c r="A39" s="159" t="s">
        <v>3173</v>
      </c>
      <c r="B39" s="59">
        <v>820</v>
      </c>
      <c r="C39" s="24">
        <f t="shared" si="12"/>
        <v>1.1000000000000001</v>
      </c>
      <c r="D39" s="720" t="s">
        <v>3142</v>
      </c>
      <c r="E39" s="24">
        <f t="shared" si="13"/>
        <v>1</v>
      </c>
      <c r="F39" s="720" t="s">
        <v>3143</v>
      </c>
      <c r="G39" s="24">
        <f t="shared" si="14"/>
        <v>1</v>
      </c>
      <c r="H39" s="720" t="s">
        <v>3228</v>
      </c>
      <c r="I39" s="24">
        <f t="shared" si="15"/>
        <v>1</v>
      </c>
      <c r="J39" s="720" t="s">
        <v>3203</v>
      </c>
      <c r="K39" s="24">
        <f t="shared" si="16"/>
        <v>1.05</v>
      </c>
      <c r="L39" s="720" t="s">
        <v>3182</v>
      </c>
      <c r="M39" s="24">
        <f t="shared" si="17"/>
        <v>1</v>
      </c>
      <c r="N39" s="720" t="s">
        <v>3225</v>
      </c>
      <c r="O39" s="24">
        <f t="shared" si="18"/>
        <v>0.9</v>
      </c>
      <c r="P39" s="720"/>
      <c r="Q39" s="24">
        <f t="shared" si="19"/>
        <v>1</v>
      </c>
      <c r="R39" s="716">
        <f t="shared" ca="1" si="20"/>
        <v>5014</v>
      </c>
      <c r="S39" s="361">
        <f t="shared" ca="1" si="11"/>
        <v>411</v>
      </c>
    </row>
    <row r="40" spans="1:19" ht="13.5">
      <c r="A40" s="159" t="s">
        <v>3174</v>
      </c>
      <c r="B40" s="59">
        <v>1536</v>
      </c>
      <c r="C40" s="24">
        <f t="shared" si="12"/>
        <v>1.08</v>
      </c>
      <c r="D40" s="720" t="s">
        <v>3142</v>
      </c>
      <c r="E40" s="24">
        <f t="shared" si="13"/>
        <v>1</v>
      </c>
      <c r="F40" s="720" t="s">
        <v>3143</v>
      </c>
      <c r="G40" s="24">
        <f t="shared" si="14"/>
        <v>1</v>
      </c>
      <c r="H40" s="720" t="s">
        <v>3228</v>
      </c>
      <c r="I40" s="24">
        <f t="shared" si="15"/>
        <v>1</v>
      </c>
      <c r="J40" s="720" t="s">
        <v>3203</v>
      </c>
      <c r="K40" s="24">
        <f t="shared" si="16"/>
        <v>1.05</v>
      </c>
      <c r="L40" s="720" t="s">
        <v>3183</v>
      </c>
      <c r="M40" s="24">
        <f t="shared" si="17"/>
        <v>1</v>
      </c>
      <c r="N40" s="720" t="s">
        <v>3225</v>
      </c>
      <c r="O40" s="24">
        <f t="shared" si="18"/>
        <v>0.9</v>
      </c>
      <c r="P40" s="720"/>
      <c r="Q40" s="24">
        <f t="shared" si="19"/>
        <v>1</v>
      </c>
      <c r="R40" s="716">
        <f t="shared" ca="1" si="20"/>
        <v>4922</v>
      </c>
      <c r="S40" s="361">
        <f t="shared" ca="1" si="11"/>
        <v>756</v>
      </c>
    </row>
    <row r="41" spans="1:19" ht="13.5">
      <c r="A41" s="159" t="s">
        <v>3175</v>
      </c>
      <c r="B41" s="59">
        <v>5981.09</v>
      </c>
      <c r="C41" s="24">
        <f t="shared" si="12"/>
        <v>1.04</v>
      </c>
      <c r="D41" s="720" t="s">
        <v>3142</v>
      </c>
      <c r="E41" s="24">
        <f t="shared" si="13"/>
        <v>1</v>
      </c>
      <c r="F41" s="720" t="s">
        <v>3143</v>
      </c>
      <c r="G41" s="24">
        <f t="shared" si="14"/>
        <v>1</v>
      </c>
      <c r="H41" s="720" t="s">
        <v>3233</v>
      </c>
      <c r="I41" s="24">
        <f t="shared" si="15"/>
        <v>0.85</v>
      </c>
      <c r="J41" s="720" t="s">
        <v>3203</v>
      </c>
      <c r="K41" s="24">
        <f t="shared" si="16"/>
        <v>1.05</v>
      </c>
      <c r="L41" s="720" t="s">
        <v>3180</v>
      </c>
      <c r="M41" s="24">
        <f t="shared" si="17"/>
        <v>1</v>
      </c>
      <c r="N41" s="720" t="s">
        <v>3225</v>
      </c>
      <c r="O41" s="24">
        <f t="shared" si="18"/>
        <v>0.9</v>
      </c>
      <c r="P41" s="720"/>
      <c r="Q41" s="24">
        <f t="shared" si="19"/>
        <v>1</v>
      </c>
      <c r="R41" s="716">
        <f t="shared" ca="1" si="20"/>
        <v>4029</v>
      </c>
      <c r="S41" s="361">
        <f t="shared" ca="1" si="11"/>
        <v>2410</v>
      </c>
    </row>
    <row r="42" spans="1:19" ht="13.5">
      <c r="A42" s="159" t="s">
        <v>3176</v>
      </c>
      <c r="B42" s="59">
        <v>2632.32</v>
      </c>
      <c r="C42" s="24">
        <f t="shared" si="12"/>
        <v>1.08</v>
      </c>
      <c r="D42" s="720" t="s">
        <v>3142</v>
      </c>
      <c r="E42" s="24">
        <f t="shared" si="13"/>
        <v>1</v>
      </c>
      <c r="F42" s="720" t="s">
        <v>3143</v>
      </c>
      <c r="G42" s="24">
        <f t="shared" si="14"/>
        <v>1</v>
      </c>
      <c r="H42" s="720" t="s">
        <v>3230</v>
      </c>
      <c r="I42" s="24">
        <f t="shared" si="15"/>
        <v>0.95</v>
      </c>
      <c r="J42" s="720" t="s">
        <v>3203</v>
      </c>
      <c r="K42" s="24">
        <f t="shared" si="16"/>
        <v>1.05</v>
      </c>
      <c r="L42" s="720" t="s">
        <v>3181</v>
      </c>
      <c r="M42" s="24">
        <f t="shared" si="17"/>
        <v>1</v>
      </c>
      <c r="N42" s="720" t="s">
        <v>3225</v>
      </c>
      <c r="O42" s="24">
        <f t="shared" si="18"/>
        <v>0.9</v>
      </c>
      <c r="P42" s="720"/>
      <c r="Q42" s="24">
        <f t="shared" si="19"/>
        <v>1</v>
      </c>
      <c r="R42" s="716">
        <f t="shared" ca="1" si="20"/>
        <v>4676</v>
      </c>
      <c r="S42" s="361">
        <f t="shared" ca="1" si="11"/>
        <v>1231</v>
      </c>
    </row>
    <row r="43" spans="1:19">
      <c r="A43" s="159"/>
      <c r="B43" s="59"/>
      <c r="C43" s="24">
        <f t="shared" si="12"/>
        <v>1</v>
      </c>
      <c r="D43" s="720"/>
      <c r="E43" s="24">
        <f t="shared" si="13"/>
        <v>0</v>
      </c>
      <c r="F43" s="720"/>
      <c r="G43" s="24">
        <f t="shared" si="14"/>
        <v>0</v>
      </c>
      <c r="H43" s="720"/>
      <c r="I43" s="24">
        <f t="shared" si="15"/>
        <v>0</v>
      </c>
      <c r="J43" s="720"/>
      <c r="K43" s="24">
        <f t="shared" si="16"/>
        <v>0.05</v>
      </c>
      <c r="L43" s="720"/>
      <c r="M43" s="24">
        <f t="shared" si="17"/>
        <v>2</v>
      </c>
      <c r="N43" s="720"/>
      <c r="O43" s="24">
        <f t="shared" si="18"/>
        <v>0</v>
      </c>
      <c r="P43" s="720"/>
      <c r="Q43" s="24">
        <f t="shared" si="19"/>
        <v>1</v>
      </c>
      <c r="R43" s="716">
        <f t="shared" si="20"/>
        <v>0</v>
      </c>
      <c r="S43" s="361">
        <f t="shared" si="11"/>
        <v>0</v>
      </c>
    </row>
    <row r="44" spans="1:19">
      <c r="A44" s="159"/>
      <c r="B44" s="59"/>
      <c r="C44" s="24">
        <f t="shared" si="12"/>
        <v>1</v>
      </c>
      <c r="D44" s="720"/>
      <c r="E44" s="24">
        <f t="shared" si="13"/>
        <v>0</v>
      </c>
      <c r="F44" s="720"/>
      <c r="G44" s="24">
        <f t="shared" si="14"/>
        <v>0</v>
      </c>
      <c r="H44" s="720"/>
      <c r="I44" s="24">
        <f t="shared" si="15"/>
        <v>0</v>
      </c>
      <c r="J44" s="720"/>
      <c r="K44" s="24">
        <f t="shared" si="16"/>
        <v>0.05</v>
      </c>
      <c r="L44" s="720"/>
      <c r="M44" s="24">
        <f t="shared" si="17"/>
        <v>2</v>
      </c>
      <c r="N44" s="720"/>
      <c r="O44" s="24">
        <f t="shared" si="18"/>
        <v>0</v>
      </c>
      <c r="P44" s="720"/>
      <c r="Q44" s="24">
        <f t="shared" si="19"/>
        <v>1</v>
      </c>
      <c r="R44" s="716">
        <f t="shared" si="20"/>
        <v>0</v>
      </c>
      <c r="S44" s="361">
        <f t="shared" si="11"/>
        <v>0</v>
      </c>
    </row>
    <row r="45" spans="1:19">
      <c r="A45" s="159"/>
      <c r="B45" s="59"/>
      <c r="C45" s="24">
        <f t="shared" si="12"/>
        <v>1</v>
      </c>
      <c r="D45" s="720"/>
      <c r="E45" s="24">
        <f t="shared" si="13"/>
        <v>0</v>
      </c>
      <c r="F45" s="720"/>
      <c r="G45" s="24">
        <f t="shared" si="14"/>
        <v>0</v>
      </c>
      <c r="H45" s="720"/>
      <c r="I45" s="24">
        <f t="shared" si="15"/>
        <v>0</v>
      </c>
      <c r="J45" s="720"/>
      <c r="K45" s="24">
        <f t="shared" si="16"/>
        <v>0.05</v>
      </c>
      <c r="L45" s="720"/>
      <c r="M45" s="24">
        <f t="shared" si="17"/>
        <v>2</v>
      </c>
      <c r="N45" s="720"/>
      <c r="O45" s="24">
        <f t="shared" si="18"/>
        <v>0</v>
      </c>
      <c r="P45" s="720"/>
      <c r="Q45" s="24">
        <f t="shared" si="19"/>
        <v>1</v>
      </c>
      <c r="R45" s="716">
        <f t="shared" si="20"/>
        <v>0</v>
      </c>
      <c r="S45" s="361">
        <f t="shared" si="11"/>
        <v>0</v>
      </c>
    </row>
    <row r="46" spans="1:19">
      <c r="A46" s="159"/>
      <c r="B46" s="59"/>
      <c r="C46" s="24">
        <f t="shared" si="12"/>
        <v>1</v>
      </c>
      <c r="D46" s="720"/>
      <c r="E46" s="24">
        <f t="shared" si="13"/>
        <v>0</v>
      </c>
      <c r="F46" s="720"/>
      <c r="G46" s="24">
        <f t="shared" si="14"/>
        <v>0</v>
      </c>
      <c r="H46" s="720"/>
      <c r="I46" s="24">
        <f t="shared" si="15"/>
        <v>0</v>
      </c>
      <c r="J46" s="720"/>
      <c r="K46" s="24">
        <f t="shared" si="16"/>
        <v>0.05</v>
      </c>
      <c r="L46" s="720"/>
      <c r="M46" s="24">
        <f t="shared" si="17"/>
        <v>2</v>
      </c>
      <c r="N46" s="720"/>
      <c r="O46" s="24">
        <f t="shared" si="18"/>
        <v>0</v>
      </c>
      <c r="P46" s="720"/>
      <c r="Q46" s="24">
        <f t="shared" si="19"/>
        <v>1</v>
      </c>
      <c r="R46" s="716">
        <f t="shared" si="20"/>
        <v>0</v>
      </c>
      <c r="S46" s="361">
        <f t="shared" si="11"/>
        <v>0</v>
      </c>
    </row>
    <row r="47" spans="1:19">
      <c r="A47" s="159"/>
      <c r="B47" s="59"/>
      <c r="C47" s="24">
        <f t="shared" si="12"/>
        <v>1</v>
      </c>
      <c r="D47" s="720"/>
      <c r="E47" s="24">
        <f t="shared" si="13"/>
        <v>0</v>
      </c>
      <c r="F47" s="720"/>
      <c r="G47" s="24">
        <f t="shared" si="14"/>
        <v>0</v>
      </c>
      <c r="H47" s="720"/>
      <c r="I47" s="24">
        <f t="shared" si="15"/>
        <v>0</v>
      </c>
      <c r="J47" s="720"/>
      <c r="K47" s="24">
        <f t="shared" si="16"/>
        <v>0.05</v>
      </c>
      <c r="L47" s="720"/>
      <c r="M47" s="24">
        <f t="shared" si="17"/>
        <v>2</v>
      </c>
      <c r="N47" s="720"/>
      <c r="O47" s="24">
        <f t="shared" si="18"/>
        <v>0</v>
      </c>
      <c r="P47" s="720"/>
      <c r="Q47" s="24">
        <f t="shared" si="19"/>
        <v>1</v>
      </c>
      <c r="R47" s="716">
        <f t="shared" si="20"/>
        <v>0</v>
      </c>
      <c r="S47" s="361">
        <f t="shared" si="11"/>
        <v>0</v>
      </c>
    </row>
    <row r="48" spans="1:19">
      <c r="A48" s="159"/>
      <c r="B48" s="59"/>
      <c r="C48" s="24">
        <f t="shared" si="12"/>
        <v>1</v>
      </c>
      <c r="D48" s="720"/>
      <c r="E48" s="24">
        <f t="shared" si="13"/>
        <v>0</v>
      </c>
      <c r="F48" s="720"/>
      <c r="G48" s="24">
        <f t="shared" si="14"/>
        <v>0</v>
      </c>
      <c r="H48" s="720"/>
      <c r="I48" s="24">
        <f t="shared" si="15"/>
        <v>0</v>
      </c>
      <c r="J48" s="720"/>
      <c r="K48" s="24">
        <f t="shared" si="16"/>
        <v>0.05</v>
      </c>
      <c r="L48" s="720"/>
      <c r="M48" s="24">
        <f t="shared" si="17"/>
        <v>2</v>
      </c>
      <c r="N48" s="720"/>
      <c r="O48" s="24">
        <f t="shared" si="18"/>
        <v>0</v>
      </c>
      <c r="P48" s="720"/>
      <c r="Q48" s="24">
        <f t="shared" si="19"/>
        <v>1</v>
      </c>
      <c r="R48" s="716">
        <f t="shared" si="20"/>
        <v>0</v>
      </c>
      <c r="S48" s="361">
        <f t="shared" si="11"/>
        <v>0</v>
      </c>
    </row>
    <row r="49" spans="1:19">
      <c r="A49" s="159"/>
      <c r="B49" s="59"/>
      <c r="C49" s="24">
        <f t="shared" si="12"/>
        <v>1</v>
      </c>
      <c r="D49" s="720"/>
      <c r="E49" s="24">
        <f t="shared" si="13"/>
        <v>0</v>
      </c>
      <c r="F49" s="720"/>
      <c r="G49" s="24">
        <f t="shared" si="14"/>
        <v>0</v>
      </c>
      <c r="H49" s="720"/>
      <c r="I49" s="24">
        <f t="shared" si="15"/>
        <v>0</v>
      </c>
      <c r="J49" s="720"/>
      <c r="K49" s="24">
        <f t="shared" si="16"/>
        <v>0.05</v>
      </c>
      <c r="L49" s="720"/>
      <c r="M49" s="24">
        <f t="shared" si="17"/>
        <v>2</v>
      </c>
      <c r="N49" s="720"/>
      <c r="O49" s="24">
        <f t="shared" si="18"/>
        <v>0</v>
      </c>
      <c r="P49" s="720"/>
      <c r="Q49" s="24">
        <f t="shared" si="19"/>
        <v>1</v>
      </c>
      <c r="R49" s="716">
        <f t="shared" si="20"/>
        <v>0</v>
      </c>
      <c r="S49" s="361">
        <f t="shared" si="11"/>
        <v>0</v>
      </c>
    </row>
    <row r="50" spans="1:19">
      <c r="A50" s="159"/>
      <c r="B50" s="59"/>
      <c r="C50" s="24">
        <f t="shared" si="12"/>
        <v>1</v>
      </c>
      <c r="D50" s="720"/>
      <c r="E50" s="24">
        <f t="shared" si="13"/>
        <v>0</v>
      </c>
      <c r="F50" s="720"/>
      <c r="G50" s="24">
        <f t="shared" si="14"/>
        <v>0</v>
      </c>
      <c r="H50" s="720"/>
      <c r="I50" s="24">
        <f t="shared" si="15"/>
        <v>0</v>
      </c>
      <c r="J50" s="720"/>
      <c r="K50" s="24">
        <f t="shared" si="16"/>
        <v>0.05</v>
      </c>
      <c r="L50" s="720"/>
      <c r="M50" s="24">
        <f t="shared" si="17"/>
        <v>2</v>
      </c>
      <c r="N50" s="720"/>
      <c r="O50" s="24">
        <f t="shared" si="18"/>
        <v>0</v>
      </c>
      <c r="P50" s="720"/>
      <c r="Q50" s="24">
        <f t="shared" si="19"/>
        <v>1</v>
      </c>
      <c r="R50" s="716">
        <f t="shared" si="20"/>
        <v>0</v>
      </c>
      <c r="S50" s="361">
        <f t="shared" si="11"/>
        <v>0</v>
      </c>
    </row>
    <row r="51" spans="1:19">
      <c r="A51" s="159"/>
      <c r="B51" s="59"/>
      <c r="C51" s="24">
        <f t="shared" si="12"/>
        <v>1</v>
      </c>
      <c r="D51" s="720"/>
      <c r="E51" s="24">
        <f t="shared" si="13"/>
        <v>0</v>
      </c>
      <c r="F51" s="720"/>
      <c r="G51" s="24">
        <f t="shared" si="14"/>
        <v>0</v>
      </c>
      <c r="H51" s="720"/>
      <c r="I51" s="24">
        <f t="shared" si="15"/>
        <v>0</v>
      </c>
      <c r="J51" s="720"/>
      <c r="K51" s="24">
        <f t="shared" si="16"/>
        <v>0.05</v>
      </c>
      <c r="L51" s="720"/>
      <c r="M51" s="24">
        <f t="shared" si="17"/>
        <v>2</v>
      </c>
      <c r="N51" s="720"/>
      <c r="O51" s="24">
        <f t="shared" si="18"/>
        <v>0</v>
      </c>
      <c r="P51" s="720"/>
      <c r="Q51" s="24">
        <f t="shared" si="19"/>
        <v>1</v>
      </c>
      <c r="R51" s="716">
        <f t="shared" si="20"/>
        <v>0</v>
      </c>
      <c r="S51" s="361">
        <f t="shared" si="11"/>
        <v>0</v>
      </c>
    </row>
    <row r="52" spans="1:19">
      <c r="A52" s="159"/>
      <c r="B52" s="59"/>
      <c r="C52" s="24">
        <f t="shared" si="12"/>
        <v>1</v>
      </c>
      <c r="D52" s="720"/>
      <c r="E52" s="24">
        <f t="shared" si="13"/>
        <v>0</v>
      </c>
      <c r="F52" s="720"/>
      <c r="G52" s="24">
        <f t="shared" si="14"/>
        <v>0</v>
      </c>
      <c r="H52" s="720"/>
      <c r="I52" s="24">
        <f t="shared" si="15"/>
        <v>0</v>
      </c>
      <c r="J52" s="720"/>
      <c r="K52" s="24">
        <f t="shared" si="16"/>
        <v>0.05</v>
      </c>
      <c r="L52" s="720"/>
      <c r="M52" s="24">
        <f t="shared" si="17"/>
        <v>2</v>
      </c>
      <c r="N52" s="720"/>
      <c r="O52" s="24">
        <f t="shared" si="18"/>
        <v>0</v>
      </c>
      <c r="P52" s="720"/>
      <c r="Q52" s="24">
        <f t="shared" si="19"/>
        <v>1</v>
      </c>
      <c r="R52" s="716">
        <f t="shared" si="20"/>
        <v>0</v>
      </c>
      <c r="S52" s="361">
        <f t="shared" si="11"/>
        <v>0</v>
      </c>
    </row>
    <row r="53" spans="1:19">
      <c r="A53" s="159"/>
      <c r="B53" s="59"/>
      <c r="C53" s="24">
        <f t="shared" si="12"/>
        <v>1</v>
      </c>
      <c r="D53" s="720"/>
      <c r="E53" s="24">
        <f t="shared" si="13"/>
        <v>0</v>
      </c>
      <c r="F53" s="720"/>
      <c r="G53" s="24">
        <f t="shared" si="14"/>
        <v>0</v>
      </c>
      <c r="H53" s="720"/>
      <c r="I53" s="24">
        <f t="shared" si="15"/>
        <v>0</v>
      </c>
      <c r="J53" s="720"/>
      <c r="K53" s="24">
        <f t="shared" si="16"/>
        <v>0.05</v>
      </c>
      <c r="L53" s="720"/>
      <c r="M53" s="24">
        <f t="shared" si="17"/>
        <v>2</v>
      </c>
      <c r="N53" s="720"/>
      <c r="O53" s="24">
        <f t="shared" si="18"/>
        <v>0</v>
      </c>
      <c r="P53" s="720"/>
      <c r="Q53" s="24">
        <f t="shared" si="19"/>
        <v>1</v>
      </c>
      <c r="R53" s="716">
        <f t="shared" si="20"/>
        <v>0</v>
      </c>
      <c r="S53" s="361">
        <f t="shared" si="11"/>
        <v>0</v>
      </c>
    </row>
    <row r="54" spans="1:19">
      <c r="A54" s="159"/>
      <c r="B54" s="59"/>
      <c r="C54" s="24">
        <f t="shared" si="12"/>
        <v>1</v>
      </c>
      <c r="D54" s="720"/>
      <c r="E54" s="24">
        <f t="shared" si="13"/>
        <v>0</v>
      </c>
      <c r="F54" s="720"/>
      <c r="G54" s="24">
        <f t="shared" si="14"/>
        <v>0</v>
      </c>
      <c r="H54" s="720"/>
      <c r="I54" s="24">
        <f t="shared" si="15"/>
        <v>0</v>
      </c>
      <c r="J54" s="720"/>
      <c r="K54" s="24">
        <f t="shared" si="16"/>
        <v>0.05</v>
      </c>
      <c r="L54" s="720"/>
      <c r="M54" s="24">
        <f t="shared" si="17"/>
        <v>2</v>
      </c>
      <c r="N54" s="720"/>
      <c r="O54" s="24">
        <f t="shared" si="18"/>
        <v>0</v>
      </c>
      <c r="P54" s="720"/>
      <c r="Q54" s="24">
        <f t="shared" si="19"/>
        <v>1</v>
      </c>
      <c r="R54" s="716">
        <f t="shared" si="20"/>
        <v>0</v>
      </c>
      <c r="S54" s="361">
        <f t="shared" si="11"/>
        <v>0</v>
      </c>
    </row>
    <row r="55" spans="1:19">
      <c r="A55" s="159"/>
      <c r="B55" s="59"/>
      <c r="C55" s="24">
        <f t="shared" si="12"/>
        <v>1</v>
      </c>
      <c r="D55" s="720"/>
      <c r="E55" s="24">
        <f t="shared" si="13"/>
        <v>0</v>
      </c>
      <c r="F55" s="720"/>
      <c r="G55" s="24">
        <f t="shared" si="14"/>
        <v>0</v>
      </c>
      <c r="H55" s="720"/>
      <c r="I55" s="24">
        <f t="shared" si="15"/>
        <v>0</v>
      </c>
      <c r="J55" s="720"/>
      <c r="K55" s="24">
        <f t="shared" si="16"/>
        <v>0.05</v>
      </c>
      <c r="L55" s="720"/>
      <c r="M55" s="24">
        <f t="shared" si="17"/>
        <v>2</v>
      </c>
      <c r="N55" s="720"/>
      <c r="O55" s="24">
        <f t="shared" si="18"/>
        <v>0</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v>
      </c>
      <c r="H56" s="720"/>
      <c r="I56" s="24">
        <f t="shared" si="15"/>
        <v>0</v>
      </c>
      <c r="J56" s="720"/>
      <c r="K56" s="24">
        <f t="shared" si="16"/>
        <v>0.05</v>
      </c>
      <c r="L56" s="720"/>
      <c r="M56" s="24">
        <f t="shared" si="17"/>
        <v>2</v>
      </c>
      <c r="N56" s="720"/>
      <c r="O56" s="24">
        <f t="shared" si="18"/>
        <v>0</v>
      </c>
      <c r="P56" s="720"/>
      <c r="Q56" s="24">
        <f t="shared" si="19"/>
        <v>1</v>
      </c>
      <c r="R56" s="716">
        <f t="shared" si="20"/>
        <v>0</v>
      </c>
      <c r="S56" s="361">
        <f t="shared" si="21"/>
        <v>0</v>
      </c>
    </row>
    <row r="57" spans="1:19">
      <c r="A57" s="159"/>
      <c r="B57" s="59"/>
      <c r="C57" s="24">
        <f t="shared" si="12"/>
        <v>1</v>
      </c>
      <c r="D57" s="720"/>
      <c r="E57" s="24">
        <f t="shared" si="13"/>
        <v>0</v>
      </c>
      <c r="F57" s="720"/>
      <c r="G57" s="24">
        <f t="shared" si="14"/>
        <v>0</v>
      </c>
      <c r="H57" s="720"/>
      <c r="I57" s="24">
        <f t="shared" si="15"/>
        <v>0</v>
      </c>
      <c r="J57" s="720"/>
      <c r="K57" s="24">
        <f t="shared" si="16"/>
        <v>0.05</v>
      </c>
      <c r="L57" s="720"/>
      <c r="M57" s="24">
        <f t="shared" si="17"/>
        <v>2</v>
      </c>
      <c r="N57" s="720"/>
      <c r="O57" s="24">
        <f t="shared" si="18"/>
        <v>0</v>
      </c>
      <c r="P57" s="720"/>
      <c r="Q57" s="24">
        <f t="shared" si="19"/>
        <v>1</v>
      </c>
      <c r="R57" s="716">
        <f t="shared" si="20"/>
        <v>0</v>
      </c>
      <c r="S57" s="361">
        <f t="shared" si="21"/>
        <v>0</v>
      </c>
    </row>
    <row r="58" spans="1:19">
      <c r="A58" s="159"/>
      <c r="B58" s="59"/>
      <c r="C58" s="24">
        <f t="shared" si="12"/>
        <v>1</v>
      </c>
      <c r="D58" s="720"/>
      <c r="E58" s="24">
        <f t="shared" si="13"/>
        <v>0</v>
      </c>
      <c r="F58" s="720"/>
      <c r="G58" s="24">
        <f t="shared" si="14"/>
        <v>0</v>
      </c>
      <c r="H58" s="720"/>
      <c r="I58" s="24">
        <f t="shared" si="15"/>
        <v>0</v>
      </c>
      <c r="J58" s="720"/>
      <c r="K58" s="24">
        <f t="shared" si="16"/>
        <v>0.05</v>
      </c>
      <c r="L58" s="720"/>
      <c r="M58" s="24">
        <f t="shared" si="17"/>
        <v>2</v>
      </c>
      <c r="N58" s="720"/>
      <c r="O58" s="24">
        <f t="shared" si="18"/>
        <v>0</v>
      </c>
      <c r="P58" s="720"/>
      <c r="Q58" s="24">
        <f t="shared" si="19"/>
        <v>1</v>
      </c>
      <c r="R58" s="716">
        <f t="shared" si="20"/>
        <v>0</v>
      </c>
      <c r="S58" s="361">
        <f t="shared" si="21"/>
        <v>0</v>
      </c>
    </row>
    <row r="59" spans="1:19">
      <c r="A59" s="159"/>
      <c r="B59" s="59"/>
      <c r="C59" s="24">
        <f t="shared" si="12"/>
        <v>1</v>
      </c>
      <c r="D59" s="720"/>
      <c r="E59" s="24">
        <f t="shared" si="13"/>
        <v>0</v>
      </c>
      <c r="F59" s="720"/>
      <c r="G59" s="24">
        <f t="shared" si="14"/>
        <v>0</v>
      </c>
      <c r="H59" s="720"/>
      <c r="I59" s="24">
        <f t="shared" si="15"/>
        <v>0</v>
      </c>
      <c r="J59" s="720"/>
      <c r="K59" s="24">
        <f t="shared" si="16"/>
        <v>0.05</v>
      </c>
      <c r="L59" s="720"/>
      <c r="M59" s="24">
        <f t="shared" si="17"/>
        <v>2</v>
      </c>
      <c r="N59" s="720"/>
      <c r="O59" s="24">
        <f t="shared" si="18"/>
        <v>0</v>
      </c>
      <c r="P59" s="720"/>
      <c r="Q59" s="24">
        <f t="shared" si="19"/>
        <v>1</v>
      </c>
      <c r="R59" s="716">
        <f t="shared" si="20"/>
        <v>0</v>
      </c>
      <c r="S59" s="361">
        <f t="shared" si="21"/>
        <v>0</v>
      </c>
    </row>
    <row r="60" spans="1:19">
      <c r="A60" s="159"/>
      <c r="B60" s="59"/>
      <c r="C60" s="24">
        <f t="shared" si="12"/>
        <v>1</v>
      </c>
      <c r="D60" s="720"/>
      <c r="E60" s="24">
        <f t="shared" si="13"/>
        <v>0</v>
      </c>
      <c r="F60" s="720"/>
      <c r="G60" s="24">
        <f t="shared" si="14"/>
        <v>0</v>
      </c>
      <c r="H60" s="720"/>
      <c r="I60" s="24">
        <f t="shared" si="15"/>
        <v>0</v>
      </c>
      <c r="J60" s="720"/>
      <c r="K60" s="24">
        <f t="shared" si="16"/>
        <v>0.05</v>
      </c>
      <c r="L60" s="720"/>
      <c r="M60" s="24">
        <f t="shared" si="17"/>
        <v>2</v>
      </c>
      <c r="N60" s="720"/>
      <c r="O60" s="24">
        <f t="shared" si="18"/>
        <v>0</v>
      </c>
      <c r="P60" s="720"/>
      <c r="Q60" s="24">
        <f t="shared" si="19"/>
        <v>1</v>
      </c>
      <c r="R60" s="716">
        <f t="shared" si="20"/>
        <v>0</v>
      </c>
      <c r="S60" s="361">
        <f t="shared" si="21"/>
        <v>0</v>
      </c>
    </row>
    <row r="61" spans="1:19">
      <c r="A61" s="159"/>
      <c r="B61" s="59"/>
      <c r="C61" s="24">
        <f t="shared" si="12"/>
        <v>1</v>
      </c>
      <c r="D61" s="720"/>
      <c r="E61" s="24">
        <f t="shared" si="13"/>
        <v>0</v>
      </c>
      <c r="F61" s="720"/>
      <c r="G61" s="24">
        <f t="shared" si="14"/>
        <v>0</v>
      </c>
      <c r="H61" s="720"/>
      <c r="I61" s="24">
        <f t="shared" si="15"/>
        <v>0</v>
      </c>
      <c r="J61" s="720"/>
      <c r="K61" s="24">
        <f t="shared" si="16"/>
        <v>0.05</v>
      </c>
      <c r="L61" s="720"/>
      <c r="M61" s="24">
        <f t="shared" si="17"/>
        <v>2</v>
      </c>
      <c r="N61" s="720"/>
      <c r="O61" s="24">
        <f t="shared" si="18"/>
        <v>0</v>
      </c>
      <c r="P61" s="720"/>
      <c r="Q61" s="24">
        <f t="shared" si="19"/>
        <v>1</v>
      </c>
      <c r="R61" s="716">
        <f t="shared" si="20"/>
        <v>0</v>
      </c>
      <c r="S61" s="361">
        <f t="shared" si="21"/>
        <v>0</v>
      </c>
    </row>
    <row r="62" spans="1:19">
      <c r="A62" s="159"/>
      <c r="B62" s="59"/>
      <c r="C62" s="24">
        <f t="shared" si="12"/>
        <v>1</v>
      </c>
      <c r="D62" s="720"/>
      <c r="E62" s="24">
        <f t="shared" si="13"/>
        <v>0</v>
      </c>
      <c r="F62" s="720"/>
      <c r="G62" s="24">
        <f t="shared" si="14"/>
        <v>0</v>
      </c>
      <c r="H62" s="720"/>
      <c r="I62" s="24">
        <f t="shared" si="15"/>
        <v>0</v>
      </c>
      <c r="J62" s="720"/>
      <c r="K62" s="24">
        <f t="shared" si="16"/>
        <v>0.05</v>
      </c>
      <c r="L62" s="720"/>
      <c r="M62" s="24">
        <f t="shared" si="17"/>
        <v>2</v>
      </c>
      <c r="N62" s="720"/>
      <c r="O62" s="24">
        <f t="shared" si="18"/>
        <v>0</v>
      </c>
      <c r="P62" s="720"/>
      <c r="Q62" s="24">
        <f t="shared" si="19"/>
        <v>1</v>
      </c>
      <c r="R62" s="716">
        <f t="shared" si="20"/>
        <v>0</v>
      </c>
      <c r="S62" s="361">
        <f t="shared" si="21"/>
        <v>0</v>
      </c>
    </row>
    <row r="63" spans="1:19">
      <c r="A63" s="159"/>
      <c r="B63" s="59"/>
      <c r="C63" s="24">
        <f t="shared" si="12"/>
        <v>1</v>
      </c>
      <c r="D63" s="720"/>
      <c r="E63" s="24">
        <f t="shared" si="13"/>
        <v>0</v>
      </c>
      <c r="F63" s="720"/>
      <c r="G63" s="24">
        <f t="shared" si="14"/>
        <v>0</v>
      </c>
      <c r="H63" s="720"/>
      <c r="I63" s="24">
        <f t="shared" si="15"/>
        <v>0</v>
      </c>
      <c r="J63" s="720"/>
      <c r="K63" s="24">
        <f t="shared" si="16"/>
        <v>0.05</v>
      </c>
      <c r="L63" s="720"/>
      <c r="M63" s="24">
        <f t="shared" si="17"/>
        <v>2</v>
      </c>
      <c r="N63" s="720"/>
      <c r="O63" s="24">
        <f t="shared" si="18"/>
        <v>0</v>
      </c>
      <c r="P63" s="720"/>
      <c r="Q63" s="24">
        <f t="shared" si="19"/>
        <v>1</v>
      </c>
      <c r="R63" s="716">
        <f t="shared" si="20"/>
        <v>0</v>
      </c>
      <c r="S63" s="361">
        <f t="shared" si="21"/>
        <v>0</v>
      </c>
    </row>
    <row r="64" spans="1:19">
      <c r="A64" s="159"/>
      <c r="B64" s="59"/>
      <c r="C64" s="24">
        <f t="shared" si="12"/>
        <v>1</v>
      </c>
      <c r="D64" s="720"/>
      <c r="E64" s="24">
        <f t="shared" si="13"/>
        <v>0</v>
      </c>
      <c r="F64" s="720"/>
      <c r="G64" s="24">
        <f t="shared" si="14"/>
        <v>0</v>
      </c>
      <c r="H64" s="720"/>
      <c r="I64" s="24">
        <f t="shared" si="15"/>
        <v>0</v>
      </c>
      <c r="J64" s="720"/>
      <c r="K64" s="24">
        <f t="shared" si="16"/>
        <v>0.05</v>
      </c>
      <c r="L64" s="720"/>
      <c r="M64" s="24">
        <f t="shared" si="17"/>
        <v>2</v>
      </c>
      <c r="N64" s="720"/>
      <c r="O64" s="24">
        <f t="shared" si="18"/>
        <v>0</v>
      </c>
      <c r="P64" s="720"/>
      <c r="Q64" s="24">
        <f t="shared" si="19"/>
        <v>1</v>
      </c>
      <c r="R64" s="716">
        <f t="shared" si="20"/>
        <v>0</v>
      </c>
      <c r="S64" s="361">
        <f t="shared" si="21"/>
        <v>0</v>
      </c>
    </row>
    <row r="65" spans="1:19">
      <c r="A65" s="159"/>
      <c r="B65" s="59"/>
      <c r="C65" s="24">
        <f t="shared" si="12"/>
        <v>1</v>
      </c>
      <c r="D65" s="720"/>
      <c r="E65" s="24">
        <f t="shared" si="13"/>
        <v>0</v>
      </c>
      <c r="F65" s="720"/>
      <c r="G65" s="24">
        <f t="shared" si="14"/>
        <v>0</v>
      </c>
      <c r="H65" s="720"/>
      <c r="I65" s="24">
        <f t="shared" si="15"/>
        <v>0</v>
      </c>
      <c r="J65" s="720"/>
      <c r="K65" s="24">
        <f t="shared" si="16"/>
        <v>0.05</v>
      </c>
      <c r="L65" s="720"/>
      <c r="M65" s="24">
        <f t="shared" si="17"/>
        <v>2</v>
      </c>
      <c r="N65" s="720"/>
      <c r="O65" s="24">
        <f t="shared" si="18"/>
        <v>0</v>
      </c>
      <c r="P65" s="720"/>
      <c r="Q65" s="24">
        <f t="shared" si="19"/>
        <v>1</v>
      </c>
      <c r="R65" s="716">
        <f t="shared" si="20"/>
        <v>0</v>
      </c>
      <c r="S65" s="361">
        <f t="shared" si="21"/>
        <v>0</v>
      </c>
    </row>
    <row r="66" spans="1:19">
      <c r="A66" s="159"/>
      <c r="B66" s="59"/>
      <c r="C66" s="24">
        <f t="shared" si="12"/>
        <v>1</v>
      </c>
      <c r="D66" s="720"/>
      <c r="E66" s="24">
        <f t="shared" si="13"/>
        <v>0</v>
      </c>
      <c r="F66" s="720"/>
      <c r="G66" s="24">
        <f t="shared" si="14"/>
        <v>0</v>
      </c>
      <c r="H66" s="720"/>
      <c r="I66" s="24">
        <f t="shared" si="15"/>
        <v>0</v>
      </c>
      <c r="J66" s="720"/>
      <c r="K66" s="24">
        <f t="shared" si="16"/>
        <v>0.05</v>
      </c>
      <c r="L66" s="720"/>
      <c r="M66" s="24">
        <f t="shared" si="17"/>
        <v>2</v>
      </c>
      <c r="N66" s="720"/>
      <c r="O66" s="24">
        <f t="shared" si="18"/>
        <v>0</v>
      </c>
      <c r="P66" s="720"/>
      <c r="Q66" s="24">
        <f t="shared" si="19"/>
        <v>1</v>
      </c>
      <c r="R66" s="716">
        <f t="shared" si="20"/>
        <v>0</v>
      </c>
      <c r="S66" s="361">
        <f t="shared" si="21"/>
        <v>0</v>
      </c>
    </row>
    <row r="67" spans="1:19">
      <c r="A67" s="159"/>
      <c r="B67" s="59"/>
      <c r="C67" s="24">
        <f t="shared" si="12"/>
        <v>1</v>
      </c>
      <c r="D67" s="720"/>
      <c r="E67" s="24">
        <f t="shared" si="13"/>
        <v>0</v>
      </c>
      <c r="F67" s="720"/>
      <c r="G67" s="24">
        <f t="shared" si="14"/>
        <v>0</v>
      </c>
      <c r="H67" s="720"/>
      <c r="I67" s="24">
        <f t="shared" si="15"/>
        <v>0</v>
      </c>
      <c r="J67" s="720"/>
      <c r="K67" s="24">
        <f t="shared" si="16"/>
        <v>0.05</v>
      </c>
      <c r="L67" s="720"/>
      <c r="M67" s="24">
        <f t="shared" si="17"/>
        <v>2</v>
      </c>
      <c r="N67" s="720"/>
      <c r="O67" s="24">
        <f t="shared" si="18"/>
        <v>0</v>
      </c>
      <c r="P67" s="720"/>
      <c r="Q67" s="24">
        <f t="shared" si="19"/>
        <v>1</v>
      </c>
      <c r="R67" s="716">
        <f t="shared" si="20"/>
        <v>0</v>
      </c>
      <c r="S67" s="361">
        <f t="shared" si="21"/>
        <v>0</v>
      </c>
    </row>
    <row r="68" spans="1:19">
      <c r="A68" s="159"/>
      <c r="B68" s="59"/>
      <c r="C68" s="24">
        <f t="shared" si="12"/>
        <v>1</v>
      </c>
      <c r="D68" s="720"/>
      <c r="E68" s="24">
        <f t="shared" si="13"/>
        <v>0</v>
      </c>
      <c r="F68" s="720"/>
      <c r="G68" s="24">
        <f t="shared" si="14"/>
        <v>0</v>
      </c>
      <c r="H68" s="720"/>
      <c r="I68" s="24">
        <f t="shared" si="15"/>
        <v>0</v>
      </c>
      <c r="J68" s="720"/>
      <c r="K68" s="24">
        <f t="shared" si="16"/>
        <v>0.05</v>
      </c>
      <c r="L68" s="720"/>
      <c r="M68" s="24">
        <f t="shared" si="17"/>
        <v>2</v>
      </c>
      <c r="N68" s="720"/>
      <c r="O68" s="24">
        <f t="shared" si="18"/>
        <v>0</v>
      </c>
      <c r="P68" s="720"/>
      <c r="Q68" s="24">
        <f t="shared" si="19"/>
        <v>1</v>
      </c>
      <c r="R68" s="716">
        <f t="shared" si="20"/>
        <v>0</v>
      </c>
      <c r="S68" s="361">
        <f t="shared" si="21"/>
        <v>0</v>
      </c>
    </row>
    <row r="69" spans="1:19">
      <c r="A69" s="159"/>
      <c r="B69" s="59"/>
      <c r="C69" s="24">
        <f t="shared" si="12"/>
        <v>1</v>
      </c>
      <c r="D69" s="720"/>
      <c r="E69" s="24">
        <f t="shared" si="13"/>
        <v>0</v>
      </c>
      <c r="F69" s="720"/>
      <c r="G69" s="24">
        <f t="shared" si="14"/>
        <v>0</v>
      </c>
      <c r="H69" s="720"/>
      <c r="I69" s="24">
        <f t="shared" si="15"/>
        <v>0</v>
      </c>
      <c r="J69" s="720"/>
      <c r="K69" s="24">
        <f t="shared" si="16"/>
        <v>0.05</v>
      </c>
      <c r="L69" s="720"/>
      <c r="M69" s="24">
        <f t="shared" si="17"/>
        <v>2</v>
      </c>
      <c r="N69" s="720"/>
      <c r="O69" s="24">
        <f t="shared" si="18"/>
        <v>0</v>
      </c>
      <c r="P69" s="720"/>
      <c r="Q69" s="24">
        <f t="shared" si="19"/>
        <v>1</v>
      </c>
      <c r="R69" s="716">
        <f t="shared" si="20"/>
        <v>0</v>
      </c>
      <c r="S69" s="361">
        <f t="shared" si="21"/>
        <v>0</v>
      </c>
    </row>
    <row r="70" spans="1:19">
      <c r="A70" s="159"/>
      <c r="B70" s="59"/>
      <c r="C70" s="24">
        <f t="shared" si="12"/>
        <v>1</v>
      </c>
      <c r="D70" s="720"/>
      <c r="E70" s="24">
        <f t="shared" si="13"/>
        <v>0</v>
      </c>
      <c r="F70" s="720"/>
      <c r="G70" s="24">
        <f t="shared" si="14"/>
        <v>0</v>
      </c>
      <c r="H70" s="720"/>
      <c r="I70" s="24">
        <f t="shared" si="15"/>
        <v>0</v>
      </c>
      <c r="J70" s="720"/>
      <c r="K70" s="24">
        <f t="shared" si="16"/>
        <v>0.05</v>
      </c>
      <c r="L70" s="720"/>
      <c r="M70" s="24">
        <f t="shared" si="17"/>
        <v>2</v>
      </c>
      <c r="N70" s="720"/>
      <c r="O70" s="24">
        <f t="shared" si="18"/>
        <v>0</v>
      </c>
      <c r="P70" s="720"/>
      <c r="Q70" s="24">
        <f t="shared" si="19"/>
        <v>1</v>
      </c>
      <c r="R70" s="716">
        <f t="shared" si="20"/>
        <v>0</v>
      </c>
      <c r="S70" s="361">
        <f t="shared" si="21"/>
        <v>0</v>
      </c>
    </row>
    <row r="71" spans="1:19">
      <c r="A71" s="159"/>
      <c r="B71" s="59"/>
      <c r="C71" s="24">
        <f t="shared" si="12"/>
        <v>1</v>
      </c>
      <c r="D71" s="720"/>
      <c r="E71" s="24">
        <f t="shared" si="13"/>
        <v>0</v>
      </c>
      <c r="F71" s="720"/>
      <c r="G71" s="24">
        <f t="shared" si="14"/>
        <v>0</v>
      </c>
      <c r="H71" s="720"/>
      <c r="I71" s="24">
        <f t="shared" si="15"/>
        <v>0</v>
      </c>
      <c r="J71" s="720"/>
      <c r="K71" s="24">
        <f t="shared" si="16"/>
        <v>0.05</v>
      </c>
      <c r="L71" s="720"/>
      <c r="M71" s="24">
        <f t="shared" si="17"/>
        <v>2</v>
      </c>
      <c r="N71" s="720"/>
      <c r="O71" s="24">
        <f t="shared" si="18"/>
        <v>0</v>
      </c>
      <c r="P71" s="720"/>
      <c r="Q71" s="24">
        <f t="shared" si="19"/>
        <v>1</v>
      </c>
      <c r="R71" s="716">
        <f t="shared" si="20"/>
        <v>0</v>
      </c>
      <c r="S71" s="361">
        <f t="shared" si="21"/>
        <v>0</v>
      </c>
    </row>
    <row r="72" spans="1:19">
      <c r="A72" s="159"/>
      <c r="B72" s="59"/>
      <c r="C72" s="24">
        <f t="shared" si="12"/>
        <v>1</v>
      </c>
      <c r="D72" s="720"/>
      <c r="E72" s="24">
        <f t="shared" si="13"/>
        <v>0</v>
      </c>
      <c r="F72" s="720"/>
      <c r="G72" s="24">
        <f t="shared" si="14"/>
        <v>0</v>
      </c>
      <c r="H72" s="720"/>
      <c r="I72" s="24">
        <f t="shared" si="15"/>
        <v>0</v>
      </c>
      <c r="J72" s="720"/>
      <c r="K72" s="24">
        <f t="shared" si="16"/>
        <v>0.05</v>
      </c>
      <c r="L72" s="720"/>
      <c r="M72" s="24">
        <f t="shared" si="17"/>
        <v>2</v>
      </c>
      <c r="N72" s="720"/>
      <c r="O72" s="24">
        <f t="shared" si="18"/>
        <v>0</v>
      </c>
      <c r="P72" s="720"/>
      <c r="Q72" s="24">
        <f t="shared" si="19"/>
        <v>1</v>
      </c>
      <c r="R72" s="716">
        <f t="shared" si="20"/>
        <v>0</v>
      </c>
      <c r="S72" s="361">
        <f t="shared" si="21"/>
        <v>0</v>
      </c>
    </row>
    <row r="73" spans="1:19">
      <c r="A73" s="159"/>
      <c r="B73" s="59"/>
      <c r="C73" s="24">
        <f t="shared" si="12"/>
        <v>1</v>
      </c>
      <c r="D73" s="720"/>
      <c r="E73" s="24">
        <f t="shared" si="13"/>
        <v>0</v>
      </c>
      <c r="F73" s="720"/>
      <c r="G73" s="24">
        <f t="shared" si="14"/>
        <v>0</v>
      </c>
      <c r="H73" s="720"/>
      <c r="I73" s="24">
        <f t="shared" si="15"/>
        <v>0</v>
      </c>
      <c r="J73" s="720"/>
      <c r="K73" s="24">
        <f t="shared" si="16"/>
        <v>0.05</v>
      </c>
      <c r="L73" s="720"/>
      <c r="M73" s="24">
        <f t="shared" si="17"/>
        <v>2</v>
      </c>
      <c r="N73" s="720"/>
      <c r="O73" s="24">
        <f t="shared" si="18"/>
        <v>0</v>
      </c>
      <c r="P73" s="720"/>
      <c r="Q73" s="24">
        <f t="shared" si="19"/>
        <v>1</v>
      </c>
      <c r="R73" s="716">
        <f t="shared" si="20"/>
        <v>0</v>
      </c>
      <c r="S73" s="361">
        <f t="shared" si="21"/>
        <v>0</v>
      </c>
    </row>
    <row r="74" spans="1:19">
      <c r="A74" s="159"/>
      <c r="B74" s="59"/>
      <c r="C74" s="24">
        <f t="shared" si="12"/>
        <v>1</v>
      </c>
      <c r="D74" s="720"/>
      <c r="E74" s="24">
        <f t="shared" si="13"/>
        <v>0</v>
      </c>
      <c r="F74" s="720"/>
      <c r="G74" s="24">
        <f t="shared" si="14"/>
        <v>0</v>
      </c>
      <c r="H74" s="720"/>
      <c r="I74" s="24">
        <f t="shared" si="15"/>
        <v>0</v>
      </c>
      <c r="J74" s="720"/>
      <c r="K74" s="24">
        <f t="shared" si="16"/>
        <v>0.05</v>
      </c>
      <c r="L74" s="720"/>
      <c r="M74" s="24">
        <f t="shared" si="17"/>
        <v>2</v>
      </c>
      <c r="N74" s="720"/>
      <c r="O74" s="24">
        <f t="shared" si="18"/>
        <v>0</v>
      </c>
      <c r="P74" s="720"/>
      <c r="Q74" s="24">
        <f t="shared" si="19"/>
        <v>1</v>
      </c>
      <c r="R74" s="716">
        <f t="shared" si="20"/>
        <v>0</v>
      </c>
      <c r="S74" s="361">
        <f t="shared" si="21"/>
        <v>0</v>
      </c>
    </row>
    <row r="75" spans="1:19">
      <c r="A75" s="159"/>
      <c r="B75" s="59"/>
      <c r="C75" s="24">
        <f t="shared" si="12"/>
        <v>1</v>
      </c>
      <c r="D75" s="720"/>
      <c r="E75" s="24">
        <f t="shared" si="13"/>
        <v>0</v>
      </c>
      <c r="F75" s="720"/>
      <c r="G75" s="24">
        <f t="shared" si="14"/>
        <v>0</v>
      </c>
      <c r="H75" s="720"/>
      <c r="I75" s="24">
        <f t="shared" si="15"/>
        <v>0</v>
      </c>
      <c r="J75" s="720"/>
      <c r="K75" s="24">
        <f t="shared" si="16"/>
        <v>0.05</v>
      </c>
      <c r="L75" s="720"/>
      <c r="M75" s="24">
        <f t="shared" si="17"/>
        <v>2</v>
      </c>
      <c r="N75" s="720"/>
      <c r="O75" s="24">
        <f t="shared" si="18"/>
        <v>0</v>
      </c>
      <c r="P75" s="720"/>
      <c r="Q75" s="24">
        <f t="shared" si="19"/>
        <v>1</v>
      </c>
      <c r="R75" s="716">
        <f t="shared" si="20"/>
        <v>0</v>
      </c>
      <c r="S75" s="361">
        <f t="shared" si="21"/>
        <v>0</v>
      </c>
    </row>
    <row r="76" spans="1:19">
      <c r="A76" s="159"/>
      <c r="B76" s="59"/>
      <c r="C76" s="24">
        <f t="shared" si="12"/>
        <v>1</v>
      </c>
      <c r="D76" s="720"/>
      <c r="E76" s="24">
        <f t="shared" si="13"/>
        <v>0</v>
      </c>
      <c r="F76" s="720"/>
      <c r="G76" s="24">
        <f t="shared" si="14"/>
        <v>0</v>
      </c>
      <c r="H76" s="720"/>
      <c r="I76" s="24">
        <f t="shared" si="15"/>
        <v>0</v>
      </c>
      <c r="J76" s="720"/>
      <c r="K76" s="24">
        <f t="shared" si="16"/>
        <v>0.05</v>
      </c>
      <c r="L76" s="720"/>
      <c r="M76" s="24">
        <f t="shared" si="17"/>
        <v>2</v>
      </c>
      <c r="N76" s="720"/>
      <c r="O76" s="24">
        <f t="shared" si="18"/>
        <v>0</v>
      </c>
      <c r="P76" s="720"/>
      <c r="Q76" s="24">
        <f t="shared" si="19"/>
        <v>1</v>
      </c>
      <c r="R76" s="716">
        <f t="shared" si="20"/>
        <v>0</v>
      </c>
      <c r="S76" s="361">
        <f t="shared" si="21"/>
        <v>0</v>
      </c>
    </row>
    <row r="77" spans="1:19">
      <c r="A77" s="159"/>
      <c r="B77" s="59"/>
      <c r="C77" s="24">
        <f t="shared" si="12"/>
        <v>1</v>
      </c>
      <c r="D77" s="720"/>
      <c r="E77" s="24">
        <f t="shared" si="13"/>
        <v>0</v>
      </c>
      <c r="F77" s="720"/>
      <c r="G77" s="24">
        <f t="shared" si="14"/>
        <v>0</v>
      </c>
      <c r="H77" s="720"/>
      <c r="I77" s="24">
        <f t="shared" si="15"/>
        <v>0</v>
      </c>
      <c r="J77" s="720"/>
      <c r="K77" s="24">
        <f t="shared" si="16"/>
        <v>0.05</v>
      </c>
      <c r="L77" s="720"/>
      <c r="M77" s="24">
        <f t="shared" si="17"/>
        <v>2</v>
      </c>
      <c r="N77" s="720"/>
      <c r="O77" s="24">
        <f t="shared" si="18"/>
        <v>0</v>
      </c>
      <c r="P77" s="720"/>
      <c r="Q77" s="24">
        <f t="shared" si="19"/>
        <v>1</v>
      </c>
      <c r="R77" s="716">
        <f t="shared" si="20"/>
        <v>0</v>
      </c>
      <c r="S77" s="361">
        <f t="shared" si="21"/>
        <v>0</v>
      </c>
    </row>
    <row r="78" spans="1:19">
      <c r="A78" s="159"/>
      <c r="B78" s="59"/>
      <c r="C78" s="24">
        <f t="shared" si="12"/>
        <v>1</v>
      </c>
      <c r="D78" s="720"/>
      <c r="E78" s="24">
        <f t="shared" si="13"/>
        <v>0</v>
      </c>
      <c r="F78" s="720"/>
      <c r="G78" s="24">
        <f t="shared" si="14"/>
        <v>0</v>
      </c>
      <c r="H78" s="720"/>
      <c r="I78" s="24">
        <f t="shared" si="15"/>
        <v>0</v>
      </c>
      <c r="J78" s="720"/>
      <c r="K78" s="24">
        <f t="shared" si="16"/>
        <v>0.05</v>
      </c>
      <c r="L78" s="720"/>
      <c r="M78" s="24">
        <f t="shared" si="17"/>
        <v>2</v>
      </c>
      <c r="N78" s="720"/>
      <c r="O78" s="24">
        <f t="shared" si="18"/>
        <v>0</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v>
      </c>
      <c r="H79" s="720"/>
      <c r="I79" s="24">
        <f t="shared" si="15"/>
        <v>0</v>
      </c>
      <c r="J79" s="720"/>
      <c r="K79" s="24">
        <f t="shared" si="16"/>
        <v>0.05</v>
      </c>
      <c r="L79" s="720"/>
      <c r="M79" s="24">
        <f t="shared" si="17"/>
        <v>2</v>
      </c>
      <c r="N79" s="720"/>
      <c r="O79" s="24">
        <f t="shared" si="18"/>
        <v>0</v>
      </c>
      <c r="P79" s="720"/>
      <c r="Q79" s="24">
        <f t="shared" si="19"/>
        <v>1</v>
      </c>
      <c r="R79" s="716">
        <f t="shared" si="20"/>
        <v>0</v>
      </c>
      <c r="S79" s="361">
        <f t="shared" si="22"/>
        <v>0</v>
      </c>
    </row>
    <row r="80" spans="1:19">
      <c r="A80" s="159"/>
      <c r="B80" s="59"/>
      <c r="C80" s="24">
        <f t="shared" si="12"/>
        <v>1</v>
      </c>
      <c r="D80" s="720"/>
      <c r="E80" s="24">
        <f t="shared" si="13"/>
        <v>0</v>
      </c>
      <c r="F80" s="720"/>
      <c r="G80" s="24">
        <f t="shared" si="14"/>
        <v>0</v>
      </c>
      <c r="H80" s="720"/>
      <c r="I80" s="24">
        <f t="shared" si="15"/>
        <v>0</v>
      </c>
      <c r="J80" s="720"/>
      <c r="K80" s="24">
        <f t="shared" si="16"/>
        <v>0.05</v>
      </c>
      <c r="L80" s="720"/>
      <c r="M80" s="24">
        <f t="shared" si="17"/>
        <v>2</v>
      </c>
      <c r="N80" s="720"/>
      <c r="O80" s="24">
        <f t="shared" si="18"/>
        <v>0</v>
      </c>
      <c r="P80" s="720"/>
      <c r="Q80" s="24">
        <f t="shared" si="19"/>
        <v>1</v>
      </c>
      <c r="R80" s="716">
        <f t="shared" si="20"/>
        <v>0</v>
      </c>
      <c r="S80" s="361">
        <f t="shared" si="22"/>
        <v>0</v>
      </c>
    </row>
    <row r="81" spans="1:19">
      <c r="A81" s="159"/>
      <c r="B81" s="59"/>
      <c r="C81" s="24">
        <f t="shared" si="12"/>
        <v>1</v>
      </c>
      <c r="D81" s="720"/>
      <c r="E81" s="24">
        <f t="shared" si="13"/>
        <v>0</v>
      </c>
      <c r="F81" s="720"/>
      <c r="G81" s="24">
        <f t="shared" si="14"/>
        <v>0</v>
      </c>
      <c r="H81" s="720"/>
      <c r="I81" s="24">
        <f t="shared" si="15"/>
        <v>0</v>
      </c>
      <c r="J81" s="720"/>
      <c r="K81" s="24">
        <f t="shared" si="16"/>
        <v>0.05</v>
      </c>
      <c r="L81" s="720"/>
      <c r="M81" s="24">
        <f t="shared" si="17"/>
        <v>2</v>
      </c>
      <c r="N81" s="720"/>
      <c r="O81" s="24">
        <f t="shared" si="18"/>
        <v>0</v>
      </c>
      <c r="P81" s="720"/>
      <c r="Q81" s="24">
        <f t="shared" si="19"/>
        <v>1</v>
      </c>
      <c r="R81" s="716">
        <f t="shared" si="20"/>
        <v>0</v>
      </c>
      <c r="S81" s="361">
        <f t="shared" si="22"/>
        <v>0</v>
      </c>
    </row>
    <row r="82" spans="1:19">
      <c r="A82" s="159"/>
      <c r="B82" s="59"/>
      <c r="C82" s="24">
        <f t="shared" si="12"/>
        <v>1</v>
      </c>
      <c r="D82" s="720"/>
      <c r="E82" s="24">
        <f t="shared" si="13"/>
        <v>0</v>
      </c>
      <c r="F82" s="720"/>
      <c r="G82" s="24">
        <f t="shared" si="14"/>
        <v>0</v>
      </c>
      <c r="H82" s="720"/>
      <c r="I82" s="24">
        <f t="shared" si="15"/>
        <v>0</v>
      </c>
      <c r="J82" s="720"/>
      <c r="K82" s="24">
        <f t="shared" si="16"/>
        <v>0.05</v>
      </c>
      <c r="L82" s="720"/>
      <c r="M82" s="24">
        <f t="shared" si="17"/>
        <v>2</v>
      </c>
      <c r="N82" s="720"/>
      <c r="O82" s="24">
        <f t="shared" si="18"/>
        <v>0</v>
      </c>
      <c r="P82" s="720"/>
      <c r="Q82" s="24">
        <f t="shared" si="19"/>
        <v>1</v>
      </c>
      <c r="R82" s="716">
        <f t="shared" si="20"/>
        <v>0</v>
      </c>
      <c r="S82" s="361">
        <f t="shared" si="22"/>
        <v>0</v>
      </c>
    </row>
    <row r="83" spans="1:19">
      <c r="A83" s="159"/>
      <c r="B83" s="59"/>
      <c r="C83" s="24">
        <f t="shared" si="12"/>
        <v>1</v>
      </c>
      <c r="D83" s="720"/>
      <c r="E83" s="24">
        <f t="shared" si="13"/>
        <v>0</v>
      </c>
      <c r="F83" s="720"/>
      <c r="G83" s="24">
        <f t="shared" si="14"/>
        <v>0</v>
      </c>
      <c r="H83" s="720"/>
      <c r="I83" s="24">
        <f t="shared" si="15"/>
        <v>0</v>
      </c>
      <c r="J83" s="720"/>
      <c r="K83" s="24">
        <f t="shared" si="16"/>
        <v>0.05</v>
      </c>
      <c r="L83" s="720"/>
      <c r="M83" s="24">
        <f t="shared" si="17"/>
        <v>2</v>
      </c>
      <c r="N83" s="720"/>
      <c r="O83" s="24">
        <f t="shared" si="18"/>
        <v>0</v>
      </c>
      <c r="P83" s="720"/>
      <c r="Q83" s="24">
        <f t="shared" si="19"/>
        <v>1</v>
      </c>
      <c r="R83" s="716">
        <f t="shared" si="20"/>
        <v>0</v>
      </c>
      <c r="S83" s="361">
        <f t="shared" si="22"/>
        <v>0</v>
      </c>
    </row>
    <row r="84" spans="1:19">
      <c r="A84" s="159"/>
      <c r="B84" s="59"/>
      <c r="C84" s="24">
        <f t="shared" si="12"/>
        <v>1</v>
      </c>
      <c r="D84" s="720"/>
      <c r="E84" s="24">
        <f t="shared" si="13"/>
        <v>0</v>
      </c>
      <c r="F84" s="720"/>
      <c r="G84" s="24">
        <f t="shared" si="14"/>
        <v>0</v>
      </c>
      <c r="H84" s="720"/>
      <c r="I84" s="24">
        <f t="shared" si="15"/>
        <v>0</v>
      </c>
      <c r="J84" s="720"/>
      <c r="K84" s="24">
        <f t="shared" si="16"/>
        <v>0.05</v>
      </c>
      <c r="L84" s="720"/>
      <c r="M84" s="24">
        <f t="shared" si="17"/>
        <v>2</v>
      </c>
      <c r="N84" s="720"/>
      <c r="O84" s="24">
        <f t="shared" si="18"/>
        <v>0</v>
      </c>
      <c r="P84" s="720"/>
      <c r="Q84" s="24">
        <f t="shared" si="19"/>
        <v>1</v>
      </c>
      <c r="R84" s="716">
        <f t="shared" si="20"/>
        <v>0</v>
      </c>
      <c r="S84" s="361">
        <f t="shared" si="22"/>
        <v>0</v>
      </c>
    </row>
    <row r="85" spans="1:19">
      <c r="A85" s="159"/>
      <c r="B85" s="59"/>
      <c r="C85" s="24">
        <f t="shared" si="12"/>
        <v>1</v>
      </c>
      <c r="D85" s="720"/>
      <c r="E85" s="24">
        <f t="shared" si="13"/>
        <v>0</v>
      </c>
      <c r="F85" s="720"/>
      <c r="G85" s="24">
        <f t="shared" si="14"/>
        <v>0</v>
      </c>
      <c r="H85" s="720"/>
      <c r="I85" s="24">
        <f t="shared" si="15"/>
        <v>0</v>
      </c>
      <c r="J85" s="720"/>
      <c r="K85" s="24">
        <f t="shared" si="16"/>
        <v>0.05</v>
      </c>
      <c r="L85" s="720"/>
      <c r="M85" s="24">
        <f t="shared" si="17"/>
        <v>2</v>
      </c>
      <c r="N85" s="720"/>
      <c r="O85" s="24">
        <f t="shared" si="18"/>
        <v>0</v>
      </c>
      <c r="P85" s="720"/>
      <c r="Q85" s="24">
        <f t="shared" si="19"/>
        <v>1</v>
      </c>
      <c r="R85" s="716">
        <f t="shared" si="20"/>
        <v>0</v>
      </c>
      <c r="S85" s="361">
        <f t="shared" si="22"/>
        <v>0</v>
      </c>
    </row>
    <row r="86" spans="1:19">
      <c r="A86" s="159"/>
      <c r="B86" s="59"/>
      <c r="C86" s="24">
        <f t="shared" si="12"/>
        <v>1</v>
      </c>
      <c r="D86" s="720"/>
      <c r="E86" s="24">
        <f t="shared" si="13"/>
        <v>0</v>
      </c>
      <c r="F86" s="720"/>
      <c r="G86" s="24">
        <f t="shared" si="14"/>
        <v>0</v>
      </c>
      <c r="H86" s="720"/>
      <c r="I86" s="24">
        <f t="shared" si="15"/>
        <v>0</v>
      </c>
      <c r="J86" s="720"/>
      <c r="K86" s="24">
        <f t="shared" si="16"/>
        <v>0.05</v>
      </c>
      <c r="L86" s="720"/>
      <c r="M86" s="24">
        <f t="shared" si="17"/>
        <v>2</v>
      </c>
      <c r="N86" s="720"/>
      <c r="O86" s="24">
        <f t="shared" si="18"/>
        <v>0</v>
      </c>
      <c r="P86" s="720"/>
      <c r="Q86" s="24">
        <f t="shared" si="19"/>
        <v>1</v>
      </c>
      <c r="R86" s="716">
        <f t="shared" si="20"/>
        <v>0</v>
      </c>
      <c r="S86" s="361">
        <f t="shared" si="22"/>
        <v>0</v>
      </c>
    </row>
    <row r="87" spans="1:19">
      <c r="A87" s="159"/>
      <c r="B87" s="59"/>
      <c r="C87" s="24">
        <f t="shared" si="12"/>
        <v>1</v>
      </c>
      <c r="D87" s="720"/>
      <c r="E87" s="24">
        <f t="shared" si="13"/>
        <v>0</v>
      </c>
      <c r="F87" s="720"/>
      <c r="G87" s="24">
        <f t="shared" si="14"/>
        <v>0</v>
      </c>
      <c r="H87" s="720"/>
      <c r="I87" s="24">
        <f t="shared" si="15"/>
        <v>0</v>
      </c>
      <c r="J87" s="720"/>
      <c r="K87" s="24">
        <f t="shared" si="16"/>
        <v>0.05</v>
      </c>
      <c r="L87" s="720"/>
      <c r="M87" s="24">
        <f t="shared" si="17"/>
        <v>2</v>
      </c>
      <c r="N87" s="720"/>
      <c r="O87" s="24">
        <f t="shared" si="18"/>
        <v>0</v>
      </c>
      <c r="P87" s="720"/>
      <c r="Q87" s="24">
        <f t="shared" si="19"/>
        <v>1</v>
      </c>
      <c r="R87" s="716">
        <f t="shared" si="20"/>
        <v>0</v>
      </c>
      <c r="S87" s="361">
        <f t="shared" si="22"/>
        <v>0</v>
      </c>
    </row>
    <row r="88" spans="1:19">
      <c r="A88" s="159"/>
      <c r="B88" s="59"/>
      <c r="C88" s="24">
        <f t="shared" si="12"/>
        <v>1</v>
      </c>
      <c r="D88" s="720"/>
      <c r="E88" s="24">
        <f t="shared" si="13"/>
        <v>0</v>
      </c>
      <c r="F88" s="720"/>
      <c r="G88" s="24">
        <f t="shared" si="14"/>
        <v>0</v>
      </c>
      <c r="H88" s="720"/>
      <c r="I88" s="24">
        <f t="shared" si="15"/>
        <v>0</v>
      </c>
      <c r="J88" s="720"/>
      <c r="K88" s="24">
        <f t="shared" si="16"/>
        <v>0.05</v>
      </c>
      <c r="L88" s="720"/>
      <c r="M88" s="24">
        <f t="shared" si="17"/>
        <v>2</v>
      </c>
      <c r="N88" s="720"/>
      <c r="O88" s="24">
        <f t="shared" si="18"/>
        <v>0</v>
      </c>
      <c r="P88" s="720"/>
      <c r="Q88" s="24">
        <f t="shared" si="19"/>
        <v>1</v>
      </c>
      <c r="R88" s="716">
        <f t="shared" si="20"/>
        <v>0</v>
      </c>
      <c r="S88" s="361">
        <f t="shared" si="22"/>
        <v>0</v>
      </c>
    </row>
    <row r="89" spans="1:19">
      <c r="A89" s="159"/>
      <c r="B89" s="59"/>
      <c r="C89" s="24">
        <f t="shared" si="12"/>
        <v>1</v>
      </c>
      <c r="D89" s="720"/>
      <c r="E89" s="24">
        <f t="shared" si="13"/>
        <v>0</v>
      </c>
      <c r="F89" s="720"/>
      <c r="G89" s="24">
        <f t="shared" si="14"/>
        <v>0</v>
      </c>
      <c r="H89" s="720"/>
      <c r="I89" s="24">
        <f t="shared" si="15"/>
        <v>0</v>
      </c>
      <c r="J89" s="720"/>
      <c r="K89" s="24">
        <f t="shared" si="16"/>
        <v>0.05</v>
      </c>
      <c r="L89" s="720"/>
      <c r="M89" s="24">
        <f t="shared" si="17"/>
        <v>2</v>
      </c>
      <c r="N89" s="720"/>
      <c r="O89" s="24">
        <f t="shared" si="18"/>
        <v>0</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v>
      </c>
      <c r="H90" s="720"/>
      <c r="I90" s="24">
        <f t="shared" ref="I90:I153" si="26">(SUMIF($9:$9,H90,$10:$10)-SUMIF($9:$9,$H$24,$10:$10)+100)/100</f>
        <v>0</v>
      </c>
      <c r="J90" s="720"/>
      <c r="K90" s="24">
        <f t="shared" ref="K90:K153" si="27">(SUMIF($11:$11,J90,$12:$12)-SUMIF($11:$11,$J$24,$12:$12)+100)/100</f>
        <v>0.05</v>
      </c>
      <c r="L90" s="720"/>
      <c r="M90" s="24">
        <f t="shared" ref="M90:M153" si="28">(SUMIF($13:$13,L90,$14:$14)-SUMIF($13:$13,$L$24,$14:$14)+100)/100</f>
        <v>2</v>
      </c>
      <c r="N90" s="720"/>
      <c r="O90" s="24">
        <f t="shared" ref="O90:O153" si="29">(SUMIF($15:$15,N90,$16:$16)-SUMIF($15:$15,$N$24,$16:$16)+100)/100</f>
        <v>0</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v>
      </c>
      <c r="H91" s="720"/>
      <c r="I91" s="24">
        <f t="shared" si="26"/>
        <v>0</v>
      </c>
      <c r="J91" s="720"/>
      <c r="K91" s="24">
        <f t="shared" si="27"/>
        <v>0.05</v>
      </c>
      <c r="L91" s="720"/>
      <c r="M91" s="24">
        <f t="shared" si="28"/>
        <v>2</v>
      </c>
      <c r="N91" s="720"/>
      <c r="O91" s="24">
        <f t="shared" si="29"/>
        <v>0</v>
      </c>
      <c r="P91" s="720"/>
      <c r="Q91" s="24">
        <f t="shared" si="30"/>
        <v>1</v>
      </c>
      <c r="R91" s="716">
        <f t="shared" si="31"/>
        <v>0</v>
      </c>
      <c r="S91" s="361">
        <f t="shared" si="22"/>
        <v>0</v>
      </c>
    </row>
    <row r="92" spans="1:19">
      <c r="A92" s="159"/>
      <c r="B92" s="59"/>
      <c r="C92" s="24">
        <f t="shared" si="23"/>
        <v>1</v>
      </c>
      <c r="D92" s="720"/>
      <c r="E92" s="24">
        <f t="shared" si="24"/>
        <v>0</v>
      </c>
      <c r="F92" s="720"/>
      <c r="G92" s="24">
        <f t="shared" si="25"/>
        <v>0</v>
      </c>
      <c r="H92" s="720"/>
      <c r="I92" s="24">
        <f t="shared" si="26"/>
        <v>0</v>
      </c>
      <c r="J92" s="720"/>
      <c r="K92" s="24">
        <f t="shared" si="27"/>
        <v>0.05</v>
      </c>
      <c r="L92" s="720"/>
      <c r="M92" s="24">
        <f t="shared" si="28"/>
        <v>2</v>
      </c>
      <c r="N92" s="720"/>
      <c r="O92" s="24">
        <f t="shared" si="29"/>
        <v>0</v>
      </c>
      <c r="P92" s="720"/>
      <c r="Q92" s="24">
        <f t="shared" si="30"/>
        <v>1</v>
      </c>
      <c r="R92" s="716">
        <f t="shared" si="31"/>
        <v>0</v>
      </c>
      <c r="S92" s="361">
        <f t="shared" si="22"/>
        <v>0</v>
      </c>
    </row>
    <row r="93" spans="1:19">
      <c r="A93" s="159"/>
      <c r="B93" s="59"/>
      <c r="C93" s="24">
        <f t="shared" si="23"/>
        <v>1</v>
      </c>
      <c r="D93" s="720"/>
      <c r="E93" s="24">
        <f t="shared" si="24"/>
        <v>0</v>
      </c>
      <c r="F93" s="720"/>
      <c r="G93" s="24">
        <f t="shared" si="25"/>
        <v>0</v>
      </c>
      <c r="H93" s="720"/>
      <c r="I93" s="24">
        <f t="shared" si="26"/>
        <v>0</v>
      </c>
      <c r="J93" s="720"/>
      <c r="K93" s="24">
        <f t="shared" si="27"/>
        <v>0.05</v>
      </c>
      <c r="L93" s="720"/>
      <c r="M93" s="24">
        <f t="shared" si="28"/>
        <v>2</v>
      </c>
      <c r="N93" s="720"/>
      <c r="O93" s="24">
        <f t="shared" si="29"/>
        <v>0</v>
      </c>
      <c r="P93" s="720"/>
      <c r="Q93" s="24">
        <f t="shared" si="30"/>
        <v>1</v>
      </c>
      <c r="R93" s="716">
        <f t="shared" si="31"/>
        <v>0</v>
      </c>
      <c r="S93" s="361">
        <f t="shared" si="22"/>
        <v>0</v>
      </c>
    </row>
    <row r="94" spans="1:19">
      <c r="A94" s="159"/>
      <c r="B94" s="59"/>
      <c r="C94" s="24">
        <f t="shared" si="23"/>
        <v>1</v>
      </c>
      <c r="D94" s="720"/>
      <c r="E94" s="24">
        <f t="shared" si="24"/>
        <v>0</v>
      </c>
      <c r="F94" s="720"/>
      <c r="G94" s="24">
        <f t="shared" si="25"/>
        <v>0</v>
      </c>
      <c r="H94" s="720"/>
      <c r="I94" s="24">
        <f t="shared" si="26"/>
        <v>0</v>
      </c>
      <c r="J94" s="720"/>
      <c r="K94" s="24">
        <f t="shared" si="27"/>
        <v>0.05</v>
      </c>
      <c r="L94" s="720"/>
      <c r="M94" s="24">
        <f t="shared" si="28"/>
        <v>2</v>
      </c>
      <c r="N94" s="720"/>
      <c r="O94" s="24">
        <f t="shared" si="29"/>
        <v>0</v>
      </c>
      <c r="P94" s="720"/>
      <c r="Q94" s="24">
        <f t="shared" si="30"/>
        <v>1</v>
      </c>
      <c r="R94" s="716">
        <f t="shared" si="31"/>
        <v>0</v>
      </c>
      <c r="S94" s="361">
        <f t="shared" si="22"/>
        <v>0</v>
      </c>
    </row>
    <row r="95" spans="1:19">
      <c r="A95" s="159"/>
      <c r="B95" s="59"/>
      <c r="C95" s="24">
        <f t="shared" si="23"/>
        <v>1</v>
      </c>
      <c r="D95" s="720"/>
      <c r="E95" s="24">
        <f t="shared" si="24"/>
        <v>0</v>
      </c>
      <c r="F95" s="720"/>
      <c r="G95" s="24">
        <f t="shared" si="25"/>
        <v>0</v>
      </c>
      <c r="H95" s="720"/>
      <c r="I95" s="24">
        <f t="shared" si="26"/>
        <v>0</v>
      </c>
      <c r="J95" s="720"/>
      <c r="K95" s="24">
        <f t="shared" si="27"/>
        <v>0.05</v>
      </c>
      <c r="L95" s="720"/>
      <c r="M95" s="24">
        <f t="shared" si="28"/>
        <v>2</v>
      </c>
      <c r="N95" s="720"/>
      <c r="O95" s="24">
        <f t="shared" si="29"/>
        <v>0</v>
      </c>
      <c r="P95" s="720"/>
      <c r="Q95" s="24">
        <f t="shared" si="30"/>
        <v>1</v>
      </c>
      <c r="R95" s="716">
        <f t="shared" si="31"/>
        <v>0</v>
      </c>
      <c r="S95" s="361">
        <f t="shared" si="22"/>
        <v>0</v>
      </c>
    </row>
    <row r="96" spans="1:19">
      <c r="A96" s="159"/>
      <c r="B96" s="59"/>
      <c r="C96" s="24">
        <f t="shared" si="23"/>
        <v>1</v>
      </c>
      <c r="D96" s="720"/>
      <c r="E96" s="24">
        <f t="shared" si="24"/>
        <v>0</v>
      </c>
      <c r="F96" s="720"/>
      <c r="G96" s="24">
        <f t="shared" si="25"/>
        <v>0</v>
      </c>
      <c r="H96" s="720"/>
      <c r="I96" s="24">
        <f t="shared" si="26"/>
        <v>0</v>
      </c>
      <c r="J96" s="720"/>
      <c r="K96" s="24">
        <f t="shared" si="27"/>
        <v>0.05</v>
      </c>
      <c r="L96" s="720"/>
      <c r="M96" s="24">
        <f t="shared" si="28"/>
        <v>2</v>
      </c>
      <c r="N96" s="720"/>
      <c r="O96" s="24">
        <f t="shared" si="29"/>
        <v>0</v>
      </c>
      <c r="P96" s="720"/>
      <c r="Q96" s="24">
        <f t="shared" si="30"/>
        <v>1</v>
      </c>
      <c r="R96" s="716">
        <f t="shared" si="31"/>
        <v>0</v>
      </c>
      <c r="S96" s="361">
        <f t="shared" si="22"/>
        <v>0</v>
      </c>
    </row>
    <row r="97" spans="1:19">
      <c r="A97" s="159"/>
      <c r="B97" s="59"/>
      <c r="C97" s="24">
        <f t="shared" si="23"/>
        <v>1</v>
      </c>
      <c r="D97" s="720"/>
      <c r="E97" s="24">
        <f t="shared" si="24"/>
        <v>0</v>
      </c>
      <c r="F97" s="720"/>
      <c r="G97" s="24">
        <f t="shared" si="25"/>
        <v>0</v>
      </c>
      <c r="H97" s="720"/>
      <c r="I97" s="24">
        <f t="shared" si="26"/>
        <v>0</v>
      </c>
      <c r="J97" s="720"/>
      <c r="K97" s="24">
        <f t="shared" si="27"/>
        <v>0.05</v>
      </c>
      <c r="L97" s="720"/>
      <c r="M97" s="24">
        <f t="shared" si="28"/>
        <v>2</v>
      </c>
      <c r="N97" s="720"/>
      <c r="O97" s="24">
        <f t="shared" si="29"/>
        <v>0</v>
      </c>
      <c r="P97" s="720"/>
      <c r="Q97" s="24">
        <f t="shared" si="30"/>
        <v>1</v>
      </c>
      <c r="R97" s="716">
        <f t="shared" si="31"/>
        <v>0</v>
      </c>
      <c r="S97" s="361">
        <f t="shared" si="22"/>
        <v>0</v>
      </c>
    </row>
    <row r="98" spans="1:19">
      <c r="A98" s="159"/>
      <c r="B98" s="59"/>
      <c r="C98" s="24">
        <f t="shared" si="23"/>
        <v>1</v>
      </c>
      <c r="D98" s="720"/>
      <c r="E98" s="24">
        <f t="shared" si="24"/>
        <v>0</v>
      </c>
      <c r="F98" s="720"/>
      <c r="G98" s="24">
        <f t="shared" si="25"/>
        <v>0</v>
      </c>
      <c r="H98" s="720"/>
      <c r="I98" s="24">
        <f t="shared" si="26"/>
        <v>0</v>
      </c>
      <c r="J98" s="720"/>
      <c r="K98" s="24">
        <f t="shared" si="27"/>
        <v>0.05</v>
      </c>
      <c r="L98" s="720"/>
      <c r="M98" s="24">
        <f t="shared" si="28"/>
        <v>2</v>
      </c>
      <c r="N98" s="720"/>
      <c r="O98" s="24">
        <f t="shared" si="29"/>
        <v>0</v>
      </c>
      <c r="P98" s="720"/>
      <c r="Q98" s="24">
        <f t="shared" si="30"/>
        <v>1</v>
      </c>
      <c r="R98" s="716">
        <f t="shared" si="31"/>
        <v>0</v>
      </c>
      <c r="S98" s="361">
        <f t="shared" si="22"/>
        <v>0</v>
      </c>
    </row>
    <row r="99" spans="1:19">
      <c r="A99" s="159"/>
      <c r="B99" s="59"/>
      <c r="C99" s="24">
        <f t="shared" si="23"/>
        <v>1</v>
      </c>
      <c r="D99" s="720"/>
      <c r="E99" s="24">
        <f t="shared" si="24"/>
        <v>0</v>
      </c>
      <c r="F99" s="720"/>
      <c r="G99" s="24">
        <f t="shared" si="25"/>
        <v>0</v>
      </c>
      <c r="H99" s="720"/>
      <c r="I99" s="24">
        <f t="shared" si="26"/>
        <v>0</v>
      </c>
      <c r="J99" s="720"/>
      <c r="K99" s="24">
        <f t="shared" si="27"/>
        <v>0.05</v>
      </c>
      <c r="L99" s="720"/>
      <c r="M99" s="24">
        <f t="shared" si="28"/>
        <v>2</v>
      </c>
      <c r="N99" s="720"/>
      <c r="O99" s="24">
        <f t="shared" si="29"/>
        <v>0</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v>
      </c>
      <c r="H100" s="720"/>
      <c r="I100" s="24">
        <f t="shared" si="26"/>
        <v>0</v>
      </c>
      <c r="J100" s="720"/>
      <c r="K100" s="24">
        <f t="shared" si="27"/>
        <v>0.05</v>
      </c>
      <c r="L100" s="720"/>
      <c r="M100" s="24">
        <f t="shared" si="28"/>
        <v>2</v>
      </c>
      <c r="N100" s="720"/>
      <c r="O100" s="24">
        <f t="shared" si="29"/>
        <v>0</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v>
      </c>
      <c r="H101" s="720"/>
      <c r="I101" s="24">
        <f t="shared" si="26"/>
        <v>0</v>
      </c>
      <c r="J101" s="720"/>
      <c r="K101" s="24">
        <f t="shared" si="27"/>
        <v>0.05</v>
      </c>
      <c r="L101" s="720"/>
      <c r="M101" s="24">
        <f t="shared" si="28"/>
        <v>2</v>
      </c>
      <c r="N101" s="720"/>
      <c r="O101" s="24">
        <f t="shared" si="29"/>
        <v>0</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v>
      </c>
      <c r="H102" s="720"/>
      <c r="I102" s="24">
        <f t="shared" si="26"/>
        <v>0</v>
      </c>
      <c r="J102" s="720"/>
      <c r="K102" s="24">
        <f t="shared" si="27"/>
        <v>0.05</v>
      </c>
      <c r="L102" s="720"/>
      <c r="M102" s="24">
        <f t="shared" si="28"/>
        <v>2</v>
      </c>
      <c r="N102" s="720"/>
      <c r="O102" s="24">
        <f t="shared" si="29"/>
        <v>0</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v>
      </c>
      <c r="H103" s="720"/>
      <c r="I103" s="24">
        <f t="shared" si="26"/>
        <v>0</v>
      </c>
      <c r="J103" s="720"/>
      <c r="K103" s="24">
        <f t="shared" si="27"/>
        <v>0.05</v>
      </c>
      <c r="L103" s="720"/>
      <c r="M103" s="24">
        <f t="shared" si="28"/>
        <v>2</v>
      </c>
      <c r="N103" s="720"/>
      <c r="O103" s="24">
        <f t="shared" si="29"/>
        <v>0</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v>
      </c>
      <c r="H104" s="720"/>
      <c r="I104" s="24">
        <f t="shared" si="26"/>
        <v>0</v>
      </c>
      <c r="J104" s="720"/>
      <c r="K104" s="24">
        <f t="shared" si="27"/>
        <v>0.05</v>
      </c>
      <c r="L104" s="720"/>
      <c r="M104" s="24">
        <f t="shared" si="28"/>
        <v>2</v>
      </c>
      <c r="N104" s="720"/>
      <c r="O104" s="24">
        <f t="shared" si="29"/>
        <v>0</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v>
      </c>
      <c r="H105" s="720"/>
      <c r="I105" s="24">
        <f t="shared" si="26"/>
        <v>0</v>
      </c>
      <c r="J105" s="720"/>
      <c r="K105" s="24">
        <f t="shared" si="27"/>
        <v>0.05</v>
      </c>
      <c r="L105" s="720"/>
      <c r="M105" s="24">
        <f t="shared" si="28"/>
        <v>2</v>
      </c>
      <c r="N105" s="720"/>
      <c r="O105" s="24">
        <f t="shared" si="29"/>
        <v>0</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v>
      </c>
      <c r="H106" s="720"/>
      <c r="I106" s="24">
        <f t="shared" si="26"/>
        <v>0</v>
      </c>
      <c r="J106" s="720"/>
      <c r="K106" s="24">
        <f t="shared" si="27"/>
        <v>0.05</v>
      </c>
      <c r="L106" s="720"/>
      <c r="M106" s="24">
        <f t="shared" si="28"/>
        <v>2</v>
      </c>
      <c r="N106" s="720"/>
      <c r="O106" s="24">
        <f t="shared" si="29"/>
        <v>0</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v>
      </c>
      <c r="H107" s="720"/>
      <c r="I107" s="24">
        <f t="shared" si="26"/>
        <v>0</v>
      </c>
      <c r="J107" s="720"/>
      <c r="K107" s="24">
        <f t="shared" si="27"/>
        <v>0.05</v>
      </c>
      <c r="L107" s="720"/>
      <c r="M107" s="24">
        <f t="shared" si="28"/>
        <v>2</v>
      </c>
      <c r="N107" s="720"/>
      <c r="O107" s="24">
        <f t="shared" si="29"/>
        <v>0</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v>
      </c>
      <c r="H108" s="720"/>
      <c r="I108" s="24">
        <f t="shared" si="26"/>
        <v>0</v>
      </c>
      <c r="J108" s="720"/>
      <c r="K108" s="24">
        <f t="shared" si="27"/>
        <v>0.05</v>
      </c>
      <c r="L108" s="720"/>
      <c r="M108" s="24">
        <f t="shared" si="28"/>
        <v>2</v>
      </c>
      <c r="N108" s="720"/>
      <c r="O108" s="24">
        <f t="shared" si="29"/>
        <v>0</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v>
      </c>
      <c r="H109" s="720"/>
      <c r="I109" s="24">
        <f t="shared" si="26"/>
        <v>0</v>
      </c>
      <c r="J109" s="720"/>
      <c r="K109" s="24">
        <f t="shared" si="27"/>
        <v>0.05</v>
      </c>
      <c r="L109" s="720"/>
      <c r="M109" s="24">
        <f t="shared" si="28"/>
        <v>2</v>
      </c>
      <c r="N109" s="720"/>
      <c r="O109" s="24">
        <f t="shared" si="29"/>
        <v>0</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v>
      </c>
      <c r="H110" s="720"/>
      <c r="I110" s="24">
        <f t="shared" si="26"/>
        <v>0</v>
      </c>
      <c r="J110" s="720"/>
      <c r="K110" s="24">
        <f t="shared" si="27"/>
        <v>0.05</v>
      </c>
      <c r="L110" s="720"/>
      <c r="M110" s="24">
        <f t="shared" si="28"/>
        <v>2</v>
      </c>
      <c r="N110" s="720"/>
      <c r="O110" s="24">
        <f t="shared" si="29"/>
        <v>0</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v>
      </c>
      <c r="H111" s="720"/>
      <c r="I111" s="24">
        <f t="shared" si="26"/>
        <v>0</v>
      </c>
      <c r="J111" s="720"/>
      <c r="K111" s="24">
        <f t="shared" si="27"/>
        <v>0.05</v>
      </c>
      <c r="L111" s="720"/>
      <c r="M111" s="24">
        <f t="shared" si="28"/>
        <v>2</v>
      </c>
      <c r="N111" s="720"/>
      <c r="O111" s="24">
        <f t="shared" si="29"/>
        <v>0</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v>
      </c>
      <c r="H112" s="720"/>
      <c r="I112" s="24">
        <f t="shared" si="26"/>
        <v>0</v>
      </c>
      <c r="J112" s="720"/>
      <c r="K112" s="24">
        <f t="shared" si="27"/>
        <v>0.05</v>
      </c>
      <c r="L112" s="720"/>
      <c r="M112" s="24">
        <f t="shared" si="28"/>
        <v>2</v>
      </c>
      <c r="N112" s="720"/>
      <c r="O112" s="24">
        <f t="shared" si="29"/>
        <v>0</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v>
      </c>
      <c r="H113" s="720"/>
      <c r="I113" s="24">
        <f t="shared" si="26"/>
        <v>0</v>
      </c>
      <c r="J113" s="720"/>
      <c r="K113" s="24">
        <f t="shared" si="27"/>
        <v>0.05</v>
      </c>
      <c r="L113" s="720"/>
      <c r="M113" s="24">
        <f t="shared" si="28"/>
        <v>2</v>
      </c>
      <c r="N113" s="720"/>
      <c r="O113" s="24">
        <f t="shared" si="29"/>
        <v>0</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v>
      </c>
      <c r="H114" s="720"/>
      <c r="I114" s="24">
        <f t="shared" si="26"/>
        <v>0</v>
      </c>
      <c r="J114" s="720"/>
      <c r="K114" s="24">
        <f t="shared" si="27"/>
        <v>0.05</v>
      </c>
      <c r="L114" s="720"/>
      <c r="M114" s="24">
        <f t="shared" si="28"/>
        <v>2</v>
      </c>
      <c r="N114" s="720"/>
      <c r="O114" s="24">
        <f t="shared" si="29"/>
        <v>0</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v>
      </c>
      <c r="H115" s="720"/>
      <c r="I115" s="24">
        <f t="shared" si="26"/>
        <v>0</v>
      </c>
      <c r="J115" s="720"/>
      <c r="K115" s="24">
        <f t="shared" si="27"/>
        <v>0.05</v>
      </c>
      <c r="L115" s="720"/>
      <c r="M115" s="24">
        <f t="shared" si="28"/>
        <v>2</v>
      </c>
      <c r="N115" s="720"/>
      <c r="O115" s="24">
        <f t="shared" si="29"/>
        <v>0</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v>
      </c>
      <c r="H116" s="720"/>
      <c r="I116" s="24">
        <f t="shared" si="26"/>
        <v>0</v>
      </c>
      <c r="J116" s="720"/>
      <c r="K116" s="24">
        <f t="shared" si="27"/>
        <v>0.05</v>
      </c>
      <c r="L116" s="720"/>
      <c r="M116" s="24">
        <f t="shared" si="28"/>
        <v>2</v>
      </c>
      <c r="N116" s="720"/>
      <c r="O116" s="24">
        <f t="shared" si="29"/>
        <v>0</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v>
      </c>
      <c r="H117" s="720"/>
      <c r="I117" s="24">
        <f t="shared" si="26"/>
        <v>0</v>
      </c>
      <c r="J117" s="720"/>
      <c r="K117" s="24">
        <f t="shared" si="27"/>
        <v>0.05</v>
      </c>
      <c r="L117" s="720"/>
      <c r="M117" s="24">
        <f t="shared" si="28"/>
        <v>2</v>
      </c>
      <c r="N117" s="720"/>
      <c r="O117" s="24">
        <f t="shared" si="29"/>
        <v>0</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v>
      </c>
      <c r="H118" s="720"/>
      <c r="I118" s="24">
        <f t="shared" si="26"/>
        <v>0</v>
      </c>
      <c r="J118" s="720"/>
      <c r="K118" s="24">
        <f t="shared" si="27"/>
        <v>0.05</v>
      </c>
      <c r="L118" s="720"/>
      <c r="M118" s="24">
        <f t="shared" si="28"/>
        <v>2</v>
      </c>
      <c r="N118" s="720"/>
      <c r="O118" s="24">
        <f t="shared" si="29"/>
        <v>0</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v>
      </c>
      <c r="H119" s="720"/>
      <c r="I119" s="24">
        <f t="shared" si="26"/>
        <v>0</v>
      </c>
      <c r="J119" s="720"/>
      <c r="K119" s="24">
        <f t="shared" si="27"/>
        <v>0.05</v>
      </c>
      <c r="L119" s="720"/>
      <c r="M119" s="24">
        <f t="shared" si="28"/>
        <v>2</v>
      </c>
      <c r="N119" s="720"/>
      <c r="O119" s="24">
        <f t="shared" si="29"/>
        <v>0</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v>
      </c>
      <c r="H120" s="720"/>
      <c r="I120" s="24">
        <f t="shared" si="26"/>
        <v>0</v>
      </c>
      <c r="J120" s="720"/>
      <c r="K120" s="24">
        <f t="shared" si="27"/>
        <v>0.05</v>
      </c>
      <c r="L120" s="720"/>
      <c r="M120" s="24">
        <f t="shared" si="28"/>
        <v>2</v>
      </c>
      <c r="N120" s="720"/>
      <c r="O120" s="24">
        <f t="shared" si="29"/>
        <v>0</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v>
      </c>
      <c r="H121" s="720"/>
      <c r="I121" s="24">
        <f t="shared" si="26"/>
        <v>0</v>
      </c>
      <c r="J121" s="720"/>
      <c r="K121" s="24">
        <f t="shared" si="27"/>
        <v>0.05</v>
      </c>
      <c r="L121" s="720"/>
      <c r="M121" s="24">
        <f t="shared" si="28"/>
        <v>2</v>
      </c>
      <c r="N121" s="720"/>
      <c r="O121" s="24">
        <f t="shared" si="29"/>
        <v>0</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v>
      </c>
      <c r="H122" s="720"/>
      <c r="I122" s="24">
        <f t="shared" si="26"/>
        <v>0</v>
      </c>
      <c r="J122" s="720"/>
      <c r="K122" s="24">
        <f t="shared" si="27"/>
        <v>0.05</v>
      </c>
      <c r="L122" s="720"/>
      <c r="M122" s="24">
        <f t="shared" si="28"/>
        <v>2</v>
      </c>
      <c r="N122" s="720"/>
      <c r="O122" s="24">
        <f t="shared" si="29"/>
        <v>0</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v>
      </c>
      <c r="H123" s="720"/>
      <c r="I123" s="24">
        <f t="shared" si="26"/>
        <v>0</v>
      </c>
      <c r="J123" s="720"/>
      <c r="K123" s="24">
        <f t="shared" si="27"/>
        <v>0.05</v>
      </c>
      <c r="L123" s="720"/>
      <c r="M123" s="24">
        <f t="shared" si="28"/>
        <v>2</v>
      </c>
      <c r="N123" s="720"/>
      <c r="O123" s="24">
        <f t="shared" si="29"/>
        <v>0</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v>
      </c>
      <c r="H124" s="720"/>
      <c r="I124" s="24">
        <f t="shared" si="26"/>
        <v>0</v>
      </c>
      <c r="J124" s="720"/>
      <c r="K124" s="24">
        <f t="shared" si="27"/>
        <v>0.05</v>
      </c>
      <c r="L124" s="720"/>
      <c r="M124" s="24">
        <f t="shared" si="28"/>
        <v>2</v>
      </c>
      <c r="N124" s="720"/>
      <c r="O124" s="24">
        <f t="shared" si="29"/>
        <v>0</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v>
      </c>
      <c r="H125" s="720"/>
      <c r="I125" s="24">
        <f t="shared" si="26"/>
        <v>0</v>
      </c>
      <c r="J125" s="720"/>
      <c r="K125" s="24">
        <f t="shared" si="27"/>
        <v>0.05</v>
      </c>
      <c r="L125" s="720"/>
      <c r="M125" s="24">
        <f t="shared" si="28"/>
        <v>2</v>
      </c>
      <c r="N125" s="720"/>
      <c r="O125" s="24">
        <f t="shared" si="29"/>
        <v>0</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v>
      </c>
      <c r="H126" s="720"/>
      <c r="I126" s="24">
        <f t="shared" si="26"/>
        <v>0</v>
      </c>
      <c r="J126" s="720"/>
      <c r="K126" s="24">
        <f t="shared" si="27"/>
        <v>0.05</v>
      </c>
      <c r="L126" s="720"/>
      <c r="M126" s="24">
        <f t="shared" si="28"/>
        <v>2</v>
      </c>
      <c r="N126" s="720"/>
      <c r="O126" s="24">
        <f t="shared" si="29"/>
        <v>0</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v>
      </c>
      <c r="H127" s="720"/>
      <c r="I127" s="24">
        <f t="shared" si="26"/>
        <v>0</v>
      </c>
      <c r="J127" s="720"/>
      <c r="K127" s="24">
        <f t="shared" si="27"/>
        <v>0.05</v>
      </c>
      <c r="L127" s="720"/>
      <c r="M127" s="24">
        <f t="shared" si="28"/>
        <v>2</v>
      </c>
      <c r="N127" s="720"/>
      <c r="O127" s="24">
        <f t="shared" si="29"/>
        <v>0</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v>
      </c>
      <c r="H128" s="720"/>
      <c r="I128" s="24">
        <f t="shared" si="26"/>
        <v>0</v>
      </c>
      <c r="J128" s="720"/>
      <c r="K128" s="24">
        <f t="shared" si="27"/>
        <v>0.05</v>
      </c>
      <c r="L128" s="720"/>
      <c r="M128" s="24">
        <f t="shared" si="28"/>
        <v>2</v>
      </c>
      <c r="N128" s="720"/>
      <c r="O128" s="24">
        <f t="shared" si="29"/>
        <v>0</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v>
      </c>
      <c r="H129" s="720"/>
      <c r="I129" s="24">
        <f t="shared" si="26"/>
        <v>0</v>
      </c>
      <c r="J129" s="720"/>
      <c r="K129" s="24">
        <f t="shared" si="27"/>
        <v>0.05</v>
      </c>
      <c r="L129" s="720"/>
      <c r="M129" s="24">
        <f t="shared" si="28"/>
        <v>2</v>
      </c>
      <c r="N129" s="720"/>
      <c r="O129" s="24">
        <f t="shared" si="29"/>
        <v>0</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v>
      </c>
      <c r="H130" s="720"/>
      <c r="I130" s="24">
        <f t="shared" si="26"/>
        <v>0</v>
      </c>
      <c r="J130" s="720"/>
      <c r="K130" s="24">
        <f t="shared" si="27"/>
        <v>0.05</v>
      </c>
      <c r="L130" s="720"/>
      <c r="M130" s="24">
        <f t="shared" si="28"/>
        <v>2</v>
      </c>
      <c r="N130" s="720"/>
      <c r="O130" s="24">
        <f t="shared" si="29"/>
        <v>0</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v>
      </c>
      <c r="H131" s="720"/>
      <c r="I131" s="24">
        <f t="shared" si="26"/>
        <v>0</v>
      </c>
      <c r="J131" s="720"/>
      <c r="K131" s="24">
        <f t="shared" si="27"/>
        <v>0.05</v>
      </c>
      <c r="L131" s="720"/>
      <c r="M131" s="24">
        <f t="shared" si="28"/>
        <v>2</v>
      </c>
      <c r="N131" s="720"/>
      <c r="O131" s="24">
        <f t="shared" si="29"/>
        <v>0</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v>
      </c>
      <c r="H132" s="720"/>
      <c r="I132" s="24">
        <f t="shared" si="26"/>
        <v>0</v>
      </c>
      <c r="J132" s="720"/>
      <c r="K132" s="24">
        <f t="shared" si="27"/>
        <v>0.05</v>
      </c>
      <c r="L132" s="720"/>
      <c r="M132" s="24">
        <f t="shared" si="28"/>
        <v>2</v>
      </c>
      <c r="N132" s="720"/>
      <c r="O132" s="24">
        <f t="shared" si="29"/>
        <v>0</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v>
      </c>
      <c r="H133" s="720"/>
      <c r="I133" s="24">
        <f t="shared" si="26"/>
        <v>0</v>
      </c>
      <c r="J133" s="720"/>
      <c r="K133" s="24">
        <f t="shared" si="27"/>
        <v>0.05</v>
      </c>
      <c r="L133" s="720"/>
      <c r="M133" s="24">
        <f t="shared" si="28"/>
        <v>2</v>
      </c>
      <c r="N133" s="720"/>
      <c r="O133" s="24">
        <f t="shared" si="29"/>
        <v>0</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v>
      </c>
      <c r="H134" s="720"/>
      <c r="I134" s="24">
        <f t="shared" si="26"/>
        <v>0</v>
      </c>
      <c r="J134" s="720"/>
      <c r="K134" s="24">
        <f t="shared" si="27"/>
        <v>0.05</v>
      </c>
      <c r="L134" s="720"/>
      <c r="M134" s="24">
        <f t="shared" si="28"/>
        <v>2</v>
      </c>
      <c r="N134" s="720"/>
      <c r="O134" s="24">
        <f t="shared" si="29"/>
        <v>0</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v>
      </c>
      <c r="H135" s="720"/>
      <c r="I135" s="24">
        <f t="shared" si="26"/>
        <v>0</v>
      </c>
      <c r="J135" s="720"/>
      <c r="K135" s="24">
        <f t="shared" si="27"/>
        <v>0.05</v>
      </c>
      <c r="L135" s="720"/>
      <c r="M135" s="24">
        <f t="shared" si="28"/>
        <v>2</v>
      </c>
      <c r="N135" s="720"/>
      <c r="O135" s="24">
        <f t="shared" si="29"/>
        <v>0</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v>
      </c>
      <c r="H136" s="720"/>
      <c r="I136" s="24">
        <f t="shared" si="26"/>
        <v>0</v>
      </c>
      <c r="J136" s="720"/>
      <c r="K136" s="24">
        <f t="shared" si="27"/>
        <v>0.05</v>
      </c>
      <c r="L136" s="720"/>
      <c r="M136" s="24">
        <f t="shared" si="28"/>
        <v>2</v>
      </c>
      <c r="N136" s="720"/>
      <c r="O136" s="24">
        <f t="shared" si="29"/>
        <v>0</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v>
      </c>
      <c r="H137" s="720"/>
      <c r="I137" s="24">
        <f t="shared" si="26"/>
        <v>0</v>
      </c>
      <c r="J137" s="720"/>
      <c r="K137" s="24">
        <f t="shared" si="27"/>
        <v>0.05</v>
      </c>
      <c r="L137" s="720"/>
      <c r="M137" s="24">
        <f t="shared" si="28"/>
        <v>2</v>
      </c>
      <c r="N137" s="720"/>
      <c r="O137" s="24">
        <f t="shared" si="29"/>
        <v>0</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v>
      </c>
      <c r="H138" s="720"/>
      <c r="I138" s="24">
        <f t="shared" si="26"/>
        <v>0</v>
      </c>
      <c r="J138" s="720"/>
      <c r="K138" s="24">
        <f t="shared" si="27"/>
        <v>0.05</v>
      </c>
      <c r="L138" s="720"/>
      <c r="M138" s="24">
        <f t="shared" si="28"/>
        <v>2</v>
      </c>
      <c r="N138" s="720"/>
      <c r="O138" s="24">
        <f t="shared" si="29"/>
        <v>0</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v>
      </c>
      <c r="H139" s="720"/>
      <c r="I139" s="24">
        <f t="shared" si="26"/>
        <v>0</v>
      </c>
      <c r="J139" s="720"/>
      <c r="K139" s="24">
        <f t="shared" si="27"/>
        <v>0.05</v>
      </c>
      <c r="L139" s="720"/>
      <c r="M139" s="24">
        <f t="shared" si="28"/>
        <v>2</v>
      </c>
      <c r="N139" s="720"/>
      <c r="O139" s="24">
        <f t="shared" si="29"/>
        <v>0</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v>
      </c>
      <c r="H140" s="720"/>
      <c r="I140" s="24">
        <f t="shared" si="26"/>
        <v>0</v>
      </c>
      <c r="J140" s="720"/>
      <c r="K140" s="24">
        <f t="shared" si="27"/>
        <v>0.05</v>
      </c>
      <c r="L140" s="720"/>
      <c r="M140" s="24">
        <f t="shared" si="28"/>
        <v>2</v>
      </c>
      <c r="N140" s="720"/>
      <c r="O140" s="24">
        <f t="shared" si="29"/>
        <v>0</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v>
      </c>
      <c r="H141" s="720"/>
      <c r="I141" s="24">
        <f t="shared" si="26"/>
        <v>0</v>
      </c>
      <c r="J141" s="720"/>
      <c r="K141" s="24">
        <f t="shared" si="27"/>
        <v>0.05</v>
      </c>
      <c r="L141" s="720"/>
      <c r="M141" s="24">
        <f t="shared" si="28"/>
        <v>2</v>
      </c>
      <c r="N141" s="720"/>
      <c r="O141" s="24">
        <f t="shared" si="29"/>
        <v>0</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v>
      </c>
      <c r="H142" s="720"/>
      <c r="I142" s="24">
        <f t="shared" si="26"/>
        <v>0</v>
      </c>
      <c r="J142" s="720"/>
      <c r="K142" s="24">
        <f t="shared" si="27"/>
        <v>0.05</v>
      </c>
      <c r="L142" s="720"/>
      <c r="M142" s="24">
        <f t="shared" si="28"/>
        <v>2</v>
      </c>
      <c r="N142" s="720"/>
      <c r="O142" s="24">
        <f t="shared" si="29"/>
        <v>0</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v>
      </c>
      <c r="H143" s="720"/>
      <c r="I143" s="24">
        <f t="shared" si="26"/>
        <v>0</v>
      </c>
      <c r="J143" s="720"/>
      <c r="K143" s="24">
        <f t="shared" si="27"/>
        <v>0.05</v>
      </c>
      <c r="L143" s="720"/>
      <c r="M143" s="24">
        <f t="shared" si="28"/>
        <v>2</v>
      </c>
      <c r="N143" s="720"/>
      <c r="O143" s="24">
        <f t="shared" si="29"/>
        <v>0</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v>
      </c>
      <c r="H144" s="720"/>
      <c r="I144" s="24">
        <f t="shared" si="26"/>
        <v>0</v>
      </c>
      <c r="J144" s="720"/>
      <c r="K144" s="24">
        <f t="shared" si="27"/>
        <v>0.05</v>
      </c>
      <c r="L144" s="720"/>
      <c r="M144" s="24">
        <f t="shared" si="28"/>
        <v>2</v>
      </c>
      <c r="N144" s="720"/>
      <c r="O144" s="24">
        <f t="shared" si="29"/>
        <v>0</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v>
      </c>
      <c r="H145" s="720"/>
      <c r="I145" s="24">
        <f t="shared" si="26"/>
        <v>0</v>
      </c>
      <c r="J145" s="720"/>
      <c r="K145" s="24">
        <f t="shared" si="27"/>
        <v>0.05</v>
      </c>
      <c r="L145" s="720"/>
      <c r="M145" s="24">
        <f t="shared" si="28"/>
        <v>2</v>
      </c>
      <c r="N145" s="720"/>
      <c r="O145" s="24">
        <f t="shared" si="29"/>
        <v>0</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v>
      </c>
      <c r="H146" s="720"/>
      <c r="I146" s="24">
        <f t="shared" si="26"/>
        <v>0</v>
      </c>
      <c r="J146" s="720"/>
      <c r="K146" s="24">
        <f t="shared" si="27"/>
        <v>0.05</v>
      </c>
      <c r="L146" s="720"/>
      <c r="M146" s="24">
        <f t="shared" si="28"/>
        <v>2</v>
      </c>
      <c r="N146" s="720"/>
      <c r="O146" s="24">
        <f t="shared" si="29"/>
        <v>0</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v>
      </c>
      <c r="H147" s="720"/>
      <c r="I147" s="24">
        <f t="shared" si="26"/>
        <v>0</v>
      </c>
      <c r="J147" s="720"/>
      <c r="K147" s="24">
        <f t="shared" si="27"/>
        <v>0.05</v>
      </c>
      <c r="L147" s="720"/>
      <c r="M147" s="24">
        <f t="shared" si="28"/>
        <v>2</v>
      </c>
      <c r="N147" s="720"/>
      <c r="O147" s="24">
        <f t="shared" si="29"/>
        <v>0</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v>
      </c>
      <c r="H148" s="720"/>
      <c r="I148" s="24">
        <f t="shared" si="26"/>
        <v>0</v>
      </c>
      <c r="J148" s="720"/>
      <c r="K148" s="24">
        <f t="shared" si="27"/>
        <v>0.05</v>
      </c>
      <c r="L148" s="720"/>
      <c r="M148" s="24">
        <f t="shared" si="28"/>
        <v>2</v>
      </c>
      <c r="N148" s="720"/>
      <c r="O148" s="24">
        <f t="shared" si="29"/>
        <v>0</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v>
      </c>
      <c r="H149" s="720"/>
      <c r="I149" s="24">
        <f t="shared" si="26"/>
        <v>0</v>
      </c>
      <c r="J149" s="720"/>
      <c r="K149" s="24">
        <f t="shared" si="27"/>
        <v>0.05</v>
      </c>
      <c r="L149" s="720"/>
      <c r="M149" s="24">
        <f t="shared" si="28"/>
        <v>2</v>
      </c>
      <c r="N149" s="720"/>
      <c r="O149" s="24">
        <f t="shared" si="29"/>
        <v>0</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v>
      </c>
      <c r="H150" s="720"/>
      <c r="I150" s="24">
        <f t="shared" si="26"/>
        <v>0</v>
      </c>
      <c r="J150" s="720"/>
      <c r="K150" s="24">
        <f t="shared" si="27"/>
        <v>0.05</v>
      </c>
      <c r="L150" s="720"/>
      <c r="M150" s="24">
        <f t="shared" si="28"/>
        <v>2</v>
      </c>
      <c r="N150" s="720"/>
      <c r="O150" s="24">
        <f t="shared" si="29"/>
        <v>0</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v>
      </c>
      <c r="H151" s="720"/>
      <c r="I151" s="24">
        <f t="shared" si="26"/>
        <v>0</v>
      </c>
      <c r="J151" s="720"/>
      <c r="K151" s="24">
        <f t="shared" si="27"/>
        <v>0.05</v>
      </c>
      <c r="L151" s="720"/>
      <c r="M151" s="24">
        <f t="shared" si="28"/>
        <v>2</v>
      </c>
      <c r="N151" s="720"/>
      <c r="O151" s="24">
        <f t="shared" si="29"/>
        <v>0</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v>
      </c>
      <c r="H152" s="720"/>
      <c r="I152" s="24">
        <f t="shared" si="26"/>
        <v>0</v>
      </c>
      <c r="J152" s="720"/>
      <c r="K152" s="24">
        <f t="shared" si="27"/>
        <v>0.05</v>
      </c>
      <c r="L152" s="720"/>
      <c r="M152" s="24">
        <f t="shared" si="28"/>
        <v>2</v>
      </c>
      <c r="N152" s="720"/>
      <c r="O152" s="24">
        <f t="shared" si="29"/>
        <v>0</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v>
      </c>
      <c r="H153" s="720"/>
      <c r="I153" s="24">
        <f t="shared" si="26"/>
        <v>0</v>
      </c>
      <c r="J153" s="720"/>
      <c r="K153" s="24">
        <f t="shared" si="27"/>
        <v>0.05</v>
      </c>
      <c r="L153" s="720"/>
      <c r="M153" s="24">
        <f t="shared" si="28"/>
        <v>2</v>
      </c>
      <c r="N153" s="720"/>
      <c r="O153" s="24">
        <f t="shared" si="29"/>
        <v>0</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v>
      </c>
      <c r="H154" s="720"/>
      <c r="I154" s="24">
        <f t="shared" ref="I154:I217" si="36">(SUMIF($9:$9,H154,$10:$10)-SUMIF($9:$9,$H$24,$10:$10)+100)/100</f>
        <v>0</v>
      </c>
      <c r="J154" s="720"/>
      <c r="K154" s="24">
        <f t="shared" ref="K154:K217" si="37">(SUMIF($11:$11,J154,$12:$12)-SUMIF($11:$11,$J$24,$12:$12)+100)/100</f>
        <v>0.05</v>
      </c>
      <c r="L154" s="720"/>
      <c r="M154" s="24">
        <f t="shared" ref="M154:M217" si="38">(SUMIF($13:$13,L154,$14:$14)-SUMIF($13:$13,$L$24,$14:$14)+100)/100</f>
        <v>2</v>
      </c>
      <c r="N154" s="720"/>
      <c r="O154" s="24">
        <f t="shared" ref="O154:O217" si="39">(SUMIF($15:$15,N154,$16:$16)-SUMIF($15:$15,$N$24,$16:$16)+100)/100</f>
        <v>0</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v>
      </c>
      <c r="H155" s="720"/>
      <c r="I155" s="24">
        <f t="shared" si="36"/>
        <v>0</v>
      </c>
      <c r="J155" s="720"/>
      <c r="K155" s="24">
        <f t="shared" si="37"/>
        <v>0.05</v>
      </c>
      <c r="L155" s="720"/>
      <c r="M155" s="24">
        <f t="shared" si="38"/>
        <v>2</v>
      </c>
      <c r="N155" s="720"/>
      <c r="O155" s="24">
        <f t="shared" si="39"/>
        <v>0</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v>
      </c>
      <c r="H156" s="720"/>
      <c r="I156" s="24">
        <f t="shared" si="36"/>
        <v>0</v>
      </c>
      <c r="J156" s="720"/>
      <c r="K156" s="24">
        <f t="shared" si="37"/>
        <v>0.05</v>
      </c>
      <c r="L156" s="720"/>
      <c r="M156" s="24">
        <f t="shared" si="38"/>
        <v>2</v>
      </c>
      <c r="N156" s="720"/>
      <c r="O156" s="24">
        <f t="shared" si="39"/>
        <v>0</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v>
      </c>
      <c r="H157" s="720"/>
      <c r="I157" s="24">
        <f t="shared" si="36"/>
        <v>0</v>
      </c>
      <c r="J157" s="720"/>
      <c r="K157" s="24">
        <f t="shared" si="37"/>
        <v>0.05</v>
      </c>
      <c r="L157" s="720"/>
      <c r="M157" s="24">
        <f t="shared" si="38"/>
        <v>2</v>
      </c>
      <c r="N157" s="720"/>
      <c r="O157" s="24">
        <f t="shared" si="39"/>
        <v>0</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v>
      </c>
      <c r="H158" s="720"/>
      <c r="I158" s="24">
        <f t="shared" si="36"/>
        <v>0</v>
      </c>
      <c r="J158" s="720"/>
      <c r="K158" s="24">
        <f t="shared" si="37"/>
        <v>0.05</v>
      </c>
      <c r="L158" s="720"/>
      <c r="M158" s="24">
        <f t="shared" si="38"/>
        <v>2</v>
      </c>
      <c r="N158" s="720"/>
      <c r="O158" s="24">
        <f t="shared" si="39"/>
        <v>0</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v>
      </c>
      <c r="H159" s="720"/>
      <c r="I159" s="24">
        <f t="shared" si="36"/>
        <v>0</v>
      </c>
      <c r="J159" s="720"/>
      <c r="K159" s="24">
        <f t="shared" si="37"/>
        <v>0.05</v>
      </c>
      <c r="L159" s="720"/>
      <c r="M159" s="24">
        <f t="shared" si="38"/>
        <v>2</v>
      </c>
      <c r="N159" s="720"/>
      <c r="O159" s="24">
        <f t="shared" si="39"/>
        <v>0</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v>
      </c>
      <c r="H160" s="720"/>
      <c r="I160" s="24">
        <f t="shared" si="36"/>
        <v>0</v>
      </c>
      <c r="J160" s="720"/>
      <c r="K160" s="24">
        <f t="shared" si="37"/>
        <v>0.05</v>
      </c>
      <c r="L160" s="720"/>
      <c r="M160" s="24">
        <f t="shared" si="38"/>
        <v>2</v>
      </c>
      <c r="N160" s="720"/>
      <c r="O160" s="24">
        <f t="shared" si="39"/>
        <v>0</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v>
      </c>
      <c r="H161" s="720"/>
      <c r="I161" s="24">
        <f t="shared" si="36"/>
        <v>0</v>
      </c>
      <c r="J161" s="720"/>
      <c r="K161" s="24">
        <f t="shared" si="37"/>
        <v>0.05</v>
      </c>
      <c r="L161" s="720"/>
      <c r="M161" s="24">
        <f t="shared" si="38"/>
        <v>2</v>
      </c>
      <c r="N161" s="720"/>
      <c r="O161" s="24">
        <f t="shared" si="39"/>
        <v>0</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v>
      </c>
      <c r="H162" s="720"/>
      <c r="I162" s="24">
        <f t="shared" si="36"/>
        <v>0</v>
      </c>
      <c r="J162" s="720"/>
      <c r="K162" s="24">
        <f t="shared" si="37"/>
        <v>0.05</v>
      </c>
      <c r="L162" s="720"/>
      <c r="M162" s="24">
        <f t="shared" si="38"/>
        <v>2</v>
      </c>
      <c r="N162" s="720"/>
      <c r="O162" s="24">
        <f t="shared" si="39"/>
        <v>0</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v>
      </c>
      <c r="H163" s="720"/>
      <c r="I163" s="24">
        <f t="shared" si="36"/>
        <v>0</v>
      </c>
      <c r="J163" s="720"/>
      <c r="K163" s="24">
        <f t="shared" si="37"/>
        <v>0.05</v>
      </c>
      <c r="L163" s="720"/>
      <c r="M163" s="24">
        <f t="shared" si="38"/>
        <v>2</v>
      </c>
      <c r="N163" s="720"/>
      <c r="O163" s="24">
        <f t="shared" si="39"/>
        <v>0</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v>
      </c>
      <c r="H164" s="720"/>
      <c r="I164" s="24">
        <f t="shared" si="36"/>
        <v>0</v>
      </c>
      <c r="J164" s="720"/>
      <c r="K164" s="24">
        <f t="shared" si="37"/>
        <v>0.05</v>
      </c>
      <c r="L164" s="720"/>
      <c r="M164" s="24">
        <f t="shared" si="38"/>
        <v>2</v>
      </c>
      <c r="N164" s="720"/>
      <c r="O164" s="24">
        <f t="shared" si="39"/>
        <v>0</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v>
      </c>
      <c r="H165" s="720"/>
      <c r="I165" s="24">
        <f t="shared" si="36"/>
        <v>0</v>
      </c>
      <c r="J165" s="720"/>
      <c r="K165" s="24">
        <f t="shared" si="37"/>
        <v>0.05</v>
      </c>
      <c r="L165" s="720"/>
      <c r="M165" s="24">
        <f t="shared" si="38"/>
        <v>2</v>
      </c>
      <c r="N165" s="720"/>
      <c r="O165" s="24">
        <f t="shared" si="39"/>
        <v>0</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v>
      </c>
      <c r="H166" s="720"/>
      <c r="I166" s="24">
        <f t="shared" si="36"/>
        <v>0</v>
      </c>
      <c r="J166" s="720"/>
      <c r="K166" s="24">
        <f t="shared" si="37"/>
        <v>0.05</v>
      </c>
      <c r="L166" s="720"/>
      <c r="M166" s="24">
        <f t="shared" si="38"/>
        <v>2</v>
      </c>
      <c r="N166" s="720"/>
      <c r="O166" s="24">
        <f t="shared" si="39"/>
        <v>0</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v>
      </c>
      <c r="H167" s="720"/>
      <c r="I167" s="24">
        <f t="shared" si="36"/>
        <v>0</v>
      </c>
      <c r="J167" s="720"/>
      <c r="K167" s="24">
        <f t="shared" si="37"/>
        <v>0.05</v>
      </c>
      <c r="L167" s="720"/>
      <c r="M167" s="24">
        <f t="shared" si="38"/>
        <v>2</v>
      </c>
      <c r="N167" s="720"/>
      <c r="O167" s="24">
        <f t="shared" si="39"/>
        <v>0</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v>
      </c>
      <c r="H168" s="720"/>
      <c r="I168" s="24">
        <f t="shared" si="36"/>
        <v>0</v>
      </c>
      <c r="J168" s="720"/>
      <c r="K168" s="24">
        <f t="shared" si="37"/>
        <v>0.05</v>
      </c>
      <c r="L168" s="720"/>
      <c r="M168" s="24">
        <f t="shared" si="38"/>
        <v>2</v>
      </c>
      <c r="N168" s="720"/>
      <c r="O168" s="24">
        <f t="shared" si="39"/>
        <v>0</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v>
      </c>
      <c r="H169" s="720"/>
      <c r="I169" s="24">
        <f t="shared" si="36"/>
        <v>0</v>
      </c>
      <c r="J169" s="720"/>
      <c r="K169" s="24">
        <f t="shared" si="37"/>
        <v>0.05</v>
      </c>
      <c r="L169" s="720"/>
      <c r="M169" s="24">
        <f t="shared" si="38"/>
        <v>2</v>
      </c>
      <c r="N169" s="720"/>
      <c r="O169" s="24">
        <f t="shared" si="39"/>
        <v>0</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v>
      </c>
      <c r="H170" s="720"/>
      <c r="I170" s="24">
        <f t="shared" si="36"/>
        <v>0</v>
      </c>
      <c r="J170" s="720"/>
      <c r="K170" s="24">
        <f t="shared" si="37"/>
        <v>0.05</v>
      </c>
      <c r="L170" s="720"/>
      <c r="M170" s="24">
        <f t="shared" si="38"/>
        <v>2</v>
      </c>
      <c r="N170" s="720"/>
      <c r="O170" s="24">
        <f t="shared" si="39"/>
        <v>0</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v>
      </c>
      <c r="H171" s="720"/>
      <c r="I171" s="24">
        <f t="shared" si="36"/>
        <v>0</v>
      </c>
      <c r="J171" s="720"/>
      <c r="K171" s="24">
        <f t="shared" si="37"/>
        <v>0.05</v>
      </c>
      <c r="L171" s="720"/>
      <c r="M171" s="24">
        <f t="shared" si="38"/>
        <v>2</v>
      </c>
      <c r="N171" s="720"/>
      <c r="O171" s="24">
        <f t="shared" si="39"/>
        <v>0</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v>
      </c>
      <c r="H172" s="720"/>
      <c r="I172" s="24">
        <f t="shared" si="36"/>
        <v>0</v>
      </c>
      <c r="J172" s="720"/>
      <c r="K172" s="24">
        <f t="shared" si="37"/>
        <v>0.05</v>
      </c>
      <c r="L172" s="720"/>
      <c r="M172" s="24">
        <f t="shared" si="38"/>
        <v>2</v>
      </c>
      <c r="N172" s="720"/>
      <c r="O172" s="24">
        <f t="shared" si="39"/>
        <v>0</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v>
      </c>
      <c r="H173" s="720"/>
      <c r="I173" s="24">
        <f t="shared" si="36"/>
        <v>0</v>
      </c>
      <c r="J173" s="720"/>
      <c r="K173" s="24">
        <f t="shared" si="37"/>
        <v>0.05</v>
      </c>
      <c r="L173" s="720"/>
      <c r="M173" s="24">
        <f t="shared" si="38"/>
        <v>2</v>
      </c>
      <c r="N173" s="720"/>
      <c r="O173" s="24">
        <f t="shared" si="39"/>
        <v>0</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v>
      </c>
      <c r="H174" s="720"/>
      <c r="I174" s="24">
        <f t="shared" si="36"/>
        <v>0</v>
      </c>
      <c r="J174" s="720"/>
      <c r="K174" s="24">
        <f t="shared" si="37"/>
        <v>0.05</v>
      </c>
      <c r="L174" s="720"/>
      <c r="M174" s="24">
        <f t="shared" si="38"/>
        <v>2</v>
      </c>
      <c r="N174" s="720"/>
      <c r="O174" s="24">
        <f t="shared" si="39"/>
        <v>0</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v>
      </c>
      <c r="H175" s="720"/>
      <c r="I175" s="24">
        <f t="shared" si="36"/>
        <v>0</v>
      </c>
      <c r="J175" s="720"/>
      <c r="K175" s="24">
        <f t="shared" si="37"/>
        <v>0.05</v>
      </c>
      <c r="L175" s="720"/>
      <c r="M175" s="24">
        <f t="shared" si="38"/>
        <v>2</v>
      </c>
      <c r="N175" s="720"/>
      <c r="O175" s="24">
        <f t="shared" si="39"/>
        <v>0</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v>
      </c>
      <c r="H176" s="720"/>
      <c r="I176" s="24">
        <f t="shared" si="36"/>
        <v>0</v>
      </c>
      <c r="J176" s="720"/>
      <c r="K176" s="24">
        <f t="shared" si="37"/>
        <v>0.05</v>
      </c>
      <c r="L176" s="720"/>
      <c r="M176" s="24">
        <f t="shared" si="38"/>
        <v>2</v>
      </c>
      <c r="N176" s="720"/>
      <c r="O176" s="24">
        <f t="shared" si="39"/>
        <v>0</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v>
      </c>
      <c r="H177" s="720"/>
      <c r="I177" s="24">
        <f t="shared" si="36"/>
        <v>0</v>
      </c>
      <c r="J177" s="720"/>
      <c r="K177" s="24">
        <f t="shared" si="37"/>
        <v>0.05</v>
      </c>
      <c r="L177" s="720"/>
      <c r="M177" s="24">
        <f t="shared" si="38"/>
        <v>2</v>
      </c>
      <c r="N177" s="720"/>
      <c r="O177" s="24">
        <f t="shared" si="39"/>
        <v>0</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v>
      </c>
      <c r="H178" s="720"/>
      <c r="I178" s="24">
        <f t="shared" si="36"/>
        <v>0</v>
      </c>
      <c r="J178" s="720"/>
      <c r="K178" s="24">
        <f t="shared" si="37"/>
        <v>0.05</v>
      </c>
      <c r="L178" s="720"/>
      <c r="M178" s="24">
        <f t="shared" si="38"/>
        <v>2</v>
      </c>
      <c r="N178" s="720"/>
      <c r="O178" s="24">
        <f t="shared" si="39"/>
        <v>0</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v>
      </c>
      <c r="H179" s="720"/>
      <c r="I179" s="24">
        <f t="shared" si="36"/>
        <v>0</v>
      </c>
      <c r="J179" s="720"/>
      <c r="K179" s="24">
        <f t="shared" si="37"/>
        <v>0.05</v>
      </c>
      <c r="L179" s="720"/>
      <c r="M179" s="24">
        <f t="shared" si="38"/>
        <v>2</v>
      </c>
      <c r="N179" s="720"/>
      <c r="O179" s="24">
        <f t="shared" si="39"/>
        <v>0</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v>
      </c>
      <c r="H180" s="720"/>
      <c r="I180" s="24">
        <f t="shared" si="36"/>
        <v>0</v>
      </c>
      <c r="J180" s="720"/>
      <c r="K180" s="24">
        <f t="shared" si="37"/>
        <v>0.05</v>
      </c>
      <c r="L180" s="720"/>
      <c r="M180" s="24">
        <f t="shared" si="38"/>
        <v>2</v>
      </c>
      <c r="N180" s="720"/>
      <c r="O180" s="24">
        <f t="shared" si="39"/>
        <v>0</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v>
      </c>
      <c r="H181" s="720"/>
      <c r="I181" s="24">
        <f t="shared" si="36"/>
        <v>0</v>
      </c>
      <c r="J181" s="720"/>
      <c r="K181" s="24">
        <f t="shared" si="37"/>
        <v>0.05</v>
      </c>
      <c r="L181" s="720"/>
      <c r="M181" s="24">
        <f t="shared" si="38"/>
        <v>2</v>
      </c>
      <c r="N181" s="720"/>
      <c r="O181" s="24">
        <f t="shared" si="39"/>
        <v>0</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v>
      </c>
      <c r="H182" s="720"/>
      <c r="I182" s="24">
        <f t="shared" si="36"/>
        <v>0</v>
      </c>
      <c r="J182" s="720"/>
      <c r="K182" s="24">
        <f t="shared" si="37"/>
        <v>0.05</v>
      </c>
      <c r="L182" s="720"/>
      <c r="M182" s="24">
        <f t="shared" si="38"/>
        <v>2</v>
      </c>
      <c r="N182" s="720"/>
      <c r="O182" s="24">
        <f t="shared" si="39"/>
        <v>0</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v>
      </c>
      <c r="H183" s="720"/>
      <c r="I183" s="24">
        <f t="shared" si="36"/>
        <v>0</v>
      </c>
      <c r="J183" s="720"/>
      <c r="K183" s="24">
        <f t="shared" si="37"/>
        <v>0.05</v>
      </c>
      <c r="L183" s="720"/>
      <c r="M183" s="24">
        <f t="shared" si="38"/>
        <v>2</v>
      </c>
      <c r="N183" s="720"/>
      <c r="O183" s="24">
        <f t="shared" si="39"/>
        <v>0</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v>
      </c>
      <c r="H184" s="720"/>
      <c r="I184" s="24">
        <f t="shared" si="36"/>
        <v>0</v>
      </c>
      <c r="J184" s="720"/>
      <c r="K184" s="24">
        <f t="shared" si="37"/>
        <v>0.05</v>
      </c>
      <c r="L184" s="720"/>
      <c r="M184" s="24">
        <f t="shared" si="38"/>
        <v>2</v>
      </c>
      <c r="N184" s="720"/>
      <c r="O184" s="24">
        <f t="shared" si="39"/>
        <v>0</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v>
      </c>
      <c r="H185" s="720"/>
      <c r="I185" s="24">
        <f t="shared" si="36"/>
        <v>0</v>
      </c>
      <c r="J185" s="720"/>
      <c r="K185" s="24">
        <f t="shared" si="37"/>
        <v>0.05</v>
      </c>
      <c r="L185" s="720"/>
      <c r="M185" s="24">
        <f t="shared" si="38"/>
        <v>2</v>
      </c>
      <c r="N185" s="720"/>
      <c r="O185" s="24">
        <f t="shared" si="39"/>
        <v>0</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v>
      </c>
      <c r="H186" s="720"/>
      <c r="I186" s="24">
        <f t="shared" si="36"/>
        <v>0</v>
      </c>
      <c r="J186" s="720"/>
      <c r="K186" s="24">
        <f t="shared" si="37"/>
        <v>0.05</v>
      </c>
      <c r="L186" s="720"/>
      <c r="M186" s="24">
        <f t="shared" si="38"/>
        <v>2</v>
      </c>
      <c r="N186" s="720"/>
      <c r="O186" s="24">
        <f t="shared" si="39"/>
        <v>0</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v>
      </c>
      <c r="H187" s="720"/>
      <c r="I187" s="24">
        <f t="shared" si="36"/>
        <v>0</v>
      </c>
      <c r="J187" s="720"/>
      <c r="K187" s="24">
        <f t="shared" si="37"/>
        <v>0.05</v>
      </c>
      <c r="L187" s="720"/>
      <c r="M187" s="24">
        <f t="shared" si="38"/>
        <v>2</v>
      </c>
      <c r="N187" s="720"/>
      <c r="O187" s="24">
        <f t="shared" si="39"/>
        <v>0</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v>
      </c>
      <c r="H188" s="720"/>
      <c r="I188" s="24">
        <f t="shared" si="36"/>
        <v>0</v>
      </c>
      <c r="J188" s="720"/>
      <c r="K188" s="24">
        <f t="shared" si="37"/>
        <v>0.05</v>
      </c>
      <c r="L188" s="720"/>
      <c r="M188" s="24">
        <f t="shared" si="38"/>
        <v>2</v>
      </c>
      <c r="N188" s="720"/>
      <c r="O188" s="24">
        <f t="shared" si="39"/>
        <v>0</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v>
      </c>
      <c r="H189" s="720"/>
      <c r="I189" s="24">
        <f t="shared" si="36"/>
        <v>0</v>
      </c>
      <c r="J189" s="720"/>
      <c r="K189" s="24">
        <f t="shared" si="37"/>
        <v>0.05</v>
      </c>
      <c r="L189" s="720"/>
      <c r="M189" s="24">
        <f t="shared" si="38"/>
        <v>2</v>
      </c>
      <c r="N189" s="720"/>
      <c r="O189" s="24">
        <f t="shared" si="39"/>
        <v>0</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v>
      </c>
      <c r="H190" s="720"/>
      <c r="I190" s="24">
        <f t="shared" si="36"/>
        <v>0</v>
      </c>
      <c r="J190" s="720"/>
      <c r="K190" s="24">
        <f t="shared" si="37"/>
        <v>0.05</v>
      </c>
      <c r="L190" s="720"/>
      <c r="M190" s="24">
        <f t="shared" si="38"/>
        <v>2</v>
      </c>
      <c r="N190" s="720"/>
      <c r="O190" s="24">
        <f t="shared" si="39"/>
        <v>0</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v>
      </c>
      <c r="H191" s="720"/>
      <c r="I191" s="24">
        <f t="shared" si="36"/>
        <v>0</v>
      </c>
      <c r="J191" s="720"/>
      <c r="K191" s="24">
        <f t="shared" si="37"/>
        <v>0.05</v>
      </c>
      <c r="L191" s="720"/>
      <c r="M191" s="24">
        <f t="shared" si="38"/>
        <v>2</v>
      </c>
      <c r="N191" s="720"/>
      <c r="O191" s="24">
        <f t="shared" si="39"/>
        <v>0</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v>
      </c>
      <c r="H192" s="720"/>
      <c r="I192" s="24">
        <f t="shared" si="36"/>
        <v>0</v>
      </c>
      <c r="J192" s="720"/>
      <c r="K192" s="24">
        <f t="shared" si="37"/>
        <v>0.05</v>
      </c>
      <c r="L192" s="720"/>
      <c r="M192" s="24">
        <f t="shared" si="38"/>
        <v>2</v>
      </c>
      <c r="N192" s="720"/>
      <c r="O192" s="24">
        <f t="shared" si="39"/>
        <v>0</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v>
      </c>
      <c r="H193" s="720"/>
      <c r="I193" s="24">
        <f t="shared" si="36"/>
        <v>0</v>
      </c>
      <c r="J193" s="720"/>
      <c r="K193" s="24">
        <f t="shared" si="37"/>
        <v>0.05</v>
      </c>
      <c r="L193" s="720"/>
      <c r="M193" s="24">
        <f t="shared" si="38"/>
        <v>2</v>
      </c>
      <c r="N193" s="720"/>
      <c r="O193" s="24">
        <f t="shared" si="39"/>
        <v>0</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v>
      </c>
      <c r="H194" s="720"/>
      <c r="I194" s="24">
        <f t="shared" si="36"/>
        <v>0</v>
      </c>
      <c r="J194" s="720"/>
      <c r="K194" s="24">
        <f t="shared" si="37"/>
        <v>0.05</v>
      </c>
      <c r="L194" s="720"/>
      <c r="M194" s="24">
        <f t="shared" si="38"/>
        <v>2</v>
      </c>
      <c r="N194" s="720"/>
      <c r="O194" s="24">
        <f t="shared" si="39"/>
        <v>0</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v>
      </c>
      <c r="H195" s="720"/>
      <c r="I195" s="24">
        <f t="shared" si="36"/>
        <v>0</v>
      </c>
      <c r="J195" s="720"/>
      <c r="K195" s="24">
        <f t="shared" si="37"/>
        <v>0.05</v>
      </c>
      <c r="L195" s="720"/>
      <c r="M195" s="24">
        <f t="shared" si="38"/>
        <v>2</v>
      </c>
      <c r="N195" s="720"/>
      <c r="O195" s="24">
        <f t="shared" si="39"/>
        <v>0</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v>
      </c>
      <c r="H196" s="720"/>
      <c r="I196" s="24">
        <f t="shared" si="36"/>
        <v>0</v>
      </c>
      <c r="J196" s="720"/>
      <c r="K196" s="24">
        <f t="shared" si="37"/>
        <v>0.05</v>
      </c>
      <c r="L196" s="720"/>
      <c r="M196" s="24">
        <f t="shared" si="38"/>
        <v>2</v>
      </c>
      <c r="N196" s="720"/>
      <c r="O196" s="24">
        <f t="shared" si="39"/>
        <v>0</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v>
      </c>
      <c r="H197" s="720"/>
      <c r="I197" s="24">
        <f t="shared" si="36"/>
        <v>0</v>
      </c>
      <c r="J197" s="720"/>
      <c r="K197" s="24">
        <f t="shared" si="37"/>
        <v>0.05</v>
      </c>
      <c r="L197" s="720"/>
      <c r="M197" s="24">
        <f t="shared" si="38"/>
        <v>2</v>
      </c>
      <c r="N197" s="720"/>
      <c r="O197" s="24">
        <f t="shared" si="39"/>
        <v>0</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v>
      </c>
      <c r="H198" s="720"/>
      <c r="I198" s="24">
        <f t="shared" si="36"/>
        <v>0</v>
      </c>
      <c r="J198" s="720"/>
      <c r="K198" s="24">
        <f t="shared" si="37"/>
        <v>0.05</v>
      </c>
      <c r="L198" s="720"/>
      <c r="M198" s="24">
        <f t="shared" si="38"/>
        <v>2</v>
      </c>
      <c r="N198" s="720"/>
      <c r="O198" s="24">
        <f t="shared" si="39"/>
        <v>0</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v>
      </c>
      <c r="H199" s="720"/>
      <c r="I199" s="24">
        <f t="shared" si="36"/>
        <v>0</v>
      </c>
      <c r="J199" s="720"/>
      <c r="K199" s="24">
        <f t="shared" si="37"/>
        <v>0.05</v>
      </c>
      <c r="L199" s="720"/>
      <c r="M199" s="24">
        <f t="shared" si="38"/>
        <v>2</v>
      </c>
      <c r="N199" s="720"/>
      <c r="O199" s="24">
        <f t="shared" si="39"/>
        <v>0</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v>
      </c>
      <c r="H200" s="720"/>
      <c r="I200" s="24">
        <f t="shared" si="36"/>
        <v>0</v>
      </c>
      <c r="J200" s="720"/>
      <c r="K200" s="24">
        <f t="shared" si="37"/>
        <v>0.05</v>
      </c>
      <c r="L200" s="720"/>
      <c r="M200" s="24">
        <f t="shared" si="38"/>
        <v>2</v>
      </c>
      <c r="N200" s="720"/>
      <c r="O200" s="24">
        <f t="shared" si="39"/>
        <v>0</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v>
      </c>
      <c r="H201" s="720"/>
      <c r="I201" s="24">
        <f t="shared" si="36"/>
        <v>0</v>
      </c>
      <c r="J201" s="720"/>
      <c r="K201" s="24">
        <f t="shared" si="37"/>
        <v>0.05</v>
      </c>
      <c r="L201" s="720"/>
      <c r="M201" s="24">
        <f t="shared" si="38"/>
        <v>2</v>
      </c>
      <c r="N201" s="720"/>
      <c r="O201" s="24">
        <f t="shared" si="39"/>
        <v>0</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v>
      </c>
      <c r="H202" s="720"/>
      <c r="I202" s="24">
        <f t="shared" si="36"/>
        <v>0</v>
      </c>
      <c r="J202" s="720"/>
      <c r="K202" s="24">
        <f t="shared" si="37"/>
        <v>0.05</v>
      </c>
      <c r="L202" s="720"/>
      <c r="M202" s="24">
        <f t="shared" si="38"/>
        <v>2</v>
      </c>
      <c r="N202" s="720"/>
      <c r="O202" s="24">
        <f t="shared" si="39"/>
        <v>0</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v>
      </c>
      <c r="H203" s="720"/>
      <c r="I203" s="24">
        <f t="shared" si="36"/>
        <v>0</v>
      </c>
      <c r="J203" s="720"/>
      <c r="K203" s="24">
        <f t="shared" si="37"/>
        <v>0.05</v>
      </c>
      <c r="L203" s="720"/>
      <c r="M203" s="24">
        <f t="shared" si="38"/>
        <v>2</v>
      </c>
      <c r="N203" s="720"/>
      <c r="O203" s="24">
        <f t="shared" si="39"/>
        <v>0</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v>
      </c>
      <c r="H204" s="720"/>
      <c r="I204" s="24">
        <f t="shared" si="36"/>
        <v>0</v>
      </c>
      <c r="J204" s="720"/>
      <c r="K204" s="24">
        <f t="shared" si="37"/>
        <v>0.05</v>
      </c>
      <c r="L204" s="720"/>
      <c r="M204" s="24">
        <f t="shared" si="38"/>
        <v>2</v>
      </c>
      <c r="N204" s="720"/>
      <c r="O204" s="24">
        <f t="shared" si="39"/>
        <v>0</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v>
      </c>
      <c r="H205" s="720"/>
      <c r="I205" s="24">
        <f t="shared" si="36"/>
        <v>0</v>
      </c>
      <c r="J205" s="720"/>
      <c r="K205" s="24">
        <f t="shared" si="37"/>
        <v>0.05</v>
      </c>
      <c r="L205" s="720"/>
      <c r="M205" s="24">
        <f t="shared" si="38"/>
        <v>2</v>
      </c>
      <c r="N205" s="720"/>
      <c r="O205" s="24">
        <f t="shared" si="39"/>
        <v>0</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v>
      </c>
      <c r="H206" s="720"/>
      <c r="I206" s="24">
        <f t="shared" si="36"/>
        <v>0</v>
      </c>
      <c r="J206" s="720"/>
      <c r="K206" s="24">
        <f t="shared" si="37"/>
        <v>0.05</v>
      </c>
      <c r="L206" s="720"/>
      <c r="M206" s="24">
        <f t="shared" si="38"/>
        <v>2</v>
      </c>
      <c r="N206" s="720"/>
      <c r="O206" s="24">
        <f t="shared" si="39"/>
        <v>0</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v>
      </c>
      <c r="H207" s="720"/>
      <c r="I207" s="24">
        <f t="shared" si="36"/>
        <v>0</v>
      </c>
      <c r="J207" s="720"/>
      <c r="K207" s="24">
        <f t="shared" si="37"/>
        <v>0.05</v>
      </c>
      <c r="L207" s="720"/>
      <c r="M207" s="24">
        <f t="shared" si="38"/>
        <v>2</v>
      </c>
      <c r="N207" s="720"/>
      <c r="O207" s="24">
        <f t="shared" si="39"/>
        <v>0</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v>
      </c>
      <c r="H208" s="720"/>
      <c r="I208" s="24">
        <f t="shared" si="36"/>
        <v>0</v>
      </c>
      <c r="J208" s="720"/>
      <c r="K208" s="24">
        <f t="shared" si="37"/>
        <v>0.05</v>
      </c>
      <c r="L208" s="720"/>
      <c r="M208" s="24">
        <f t="shared" si="38"/>
        <v>2</v>
      </c>
      <c r="N208" s="720"/>
      <c r="O208" s="24">
        <f t="shared" si="39"/>
        <v>0</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v>
      </c>
      <c r="H209" s="720"/>
      <c r="I209" s="24">
        <f t="shared" si="36"/>
        <v>0</v>
      </c>
      <c r="J209" s="720"/>
      <c r="K209" s="24">
        <f t="shared" si="37"/>
        <v>0.05</v>
      </c>
      <c r="L209" s="720"/>
      <c r="M209" s="24">
        <f t="shared" si="38"/>
        <v>2</v>
      </c>
      <c r="N209" s="720"/>
      <c r="O209" s="24">
        <f t="shared" si="39"/>
        <v>0</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v>
      </c>
      <c r="H210" s="720"/>
      <c r="I210" s="24">
        <f t="shared" si="36"/>
        <v>0</v>
      </c>
      <c r="J210" s="720"/>
      <c r="K210" s="24">
        <f t="shared" si="37"/>
        <v>0.05</v>
      </c>
      <c r="L210" s="720"/>
      <c r="M210" s="24">
        <f t="shared" si="38"/>
        <v>2</v>
      </c>
      <c r="N210" s="720"/>
      <c r="O210" s="24">
        <f t="shared" si="39"/>
        <v>0</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v>
      </c>
      <c r="H211" s="720"/>
      <c r="I211" s="24">
        <f t="shared" si="36"/>
        <v>0</v>
      </c>
      <c r="J211" s="720"/>
      <c r="K211" s="24">
        <f t="shared" si="37"/>
        <v>0.05</v>
      </c>
      <c r="L211" s="720"/>
      <c r="M211" s="24">
        <f t="shared" si="38"/>
        <v>2</v>
      </c>
      <c r="N211" s="720"/>
      <c r="O211" s="24">
        <f t="shared" si="39"/>
        <v>0</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v>
      </c>
      <c r="H212" s="720"/>
      <c r="I212" s="24">
        <f t="shared" si="36"/>
        <v>0</v>
      </c>
      <c r="J212" s="720"/>
      <c r="K212" s="24">
        <f t="shared" si="37"/>
        <v>0.05</v>
      </c>
      <c r="L212" s="720"/>
      <c r="M212" s="24">
        <f t="shared" si="38"/>
        <v>2</v>
      </c>
      <c r="N212" s="720"/>
      <c r="O212" s="24">
        <f t="shared" si="39"/>
        <v>0</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v>
      </c>
      <c r="H213" s="720"/>
      <c r="I213" s="24">
        <f t="shared" si="36"/>
        <v>0</v>
      </c>
      <c r="J213" s="720"/>
      <c r="K213" s="24">
        <f t="shared" si="37"/>
        <v>0.05</v>
      </c>
      <c r="L213" s="720"/>
      <c r="M213" s="24">
        <f t="shared" si="38"/>
        <v>2</v>
      </c>
      <c r="N213" s="720"/>
      <c r="O213" s="24">
        <f t="shared" si="39"/>
        <v>0</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v>
      </c>
      <c r="H214" s="720"/>
      <c r="I214" s="24">
        <f t="shared" si="36"/>
        <v>0</v>
      </c>
      <c r="J214" s="720"/>
      <c r="K214" s="24">
        <f t="shared" si="37"/>
        <v>0.05</v>
      </c>
      <c r="L214" s="720"/>
      <c r="M214" s="24">
        <f t="shared" si="38"/>
        <v>2</v>
      </c>
      <c r="N214" s="720"/>
      <c r="O214" s="24">
        <f t="shared" si="39"/>
        <v>0</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v>
      </c>
      <c r="H215" s="720"/>
      <c r="I215" s="24">
        <f t="shared" si="36"/>
        <v>0</v>
      </c>
      <c r="J215" s="720"/>
      <c r="K215" s="24">
        <f t="shared" si="37"/>
        <v>0.05</v>
      </c>
      <c r="L215" s="720"/>
      <c r="M215" s="24">
        <f t="shared" si="38"/>
        <v>2</v>
      </c>
      <c r="N215" s="720"/>
      <c r="O215" s="24">
        <f t="shared" si="39"/>
        <v>0</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v>
      </c>
      <c r="H216" s="720"/>
      <c r="I216" s="24">
        <f t="shared" si="36"/>
        <v>0</v>
      </c>
      <c r="J216" s="720"/>
      <c r="K216" s="24">
        <f t="shared" si="37"/>
        <v>0.05</v>
      </c>
      <c r="L216" s="720"/>
      <c r="M216" s="24">
        <f t="shared" si="38"/>
        <v>2</v>
      </c>
      <c r="N216" s="720"/>
      <c r="O216" s="24">
        <f t="shared" si="39"/>
        <v>0</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v>
      </c>
      <c r="H217" s="720"/>
      <c r="I217" s="24">
        <f t="shared" si="36"/>
        <v>0</v>
      </c>
      <c r="J217" s="720"/>
      <c r="K217" s="24">
        <f t="shared" si="37"/>
        <v>0.05</v>
      </c>
      <c r="L217" s="720"/>
      <c r="M217" s="24">
        <f t="shared" si="38"/>
        <v>2</v>
      </c>
      <c r="N217" s="720"/>
      <c r="O217" s="24">
        <f t="shared" si="39"/>
        <v>0</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v>
      </c>
      <c r="H218" s="720"/>
      <c r="I218" s="24">
        <f t="shared" ref="I218:I281" si="46">(SUMIF($9:$9,H218,$10:$10)-SUMIF($9:$9,$H$24,$10:$10)+100)/100</f>
        <v>0</v>
      </c>
      <c r="J218" s="720"/>
      <c r="K218" s="24">
        <f t="shared" ref="K218:K281" si="47">(SUMIF($11:$11,J218,$12:$12)-SUMIF($11:$11,$J$24,$12:$12)+100)/100</f>
        <v>0.05</v>
      </c>
      <c r="L218" s="720"/>
      <c r="M218" s="24">
        <f t="shared" ref="M218:M281" si="48">(SUMIF($13:$13,L218,$14:$14)-SUMIF($13:$13,$L$24,$14:$14)+100)/100</f>
        <v>2</v>
      </c>
      <c r="N218" s="720"/>
      <c r="O218" s="24">
        <f t="shared" ref="O218:O281" si="49">(SUMIF($15:$15,N218,$16:$16)-SUMIF($15:$15,$N$24,$16:$16)+100)/100</f>
        <v>0</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v>
      </c>
      <c r="H219" s="720"/>
      <c r="I219" s="24">
        <f t="shared" si="46"/>
        <v>0</v>
      </c>
      <c r="J219" s="720"/>
      <c r="K219" s="24">
        <f t="shared" si="47"/>
        <v>0.05</v>
      </c>
      <c r="L219" s="720"/>
      <c r="M219" s="24">
        <f t="shared" si="48"/>
        <v>2</v>
      </c>
      <c r="N219" s="720"/>
      <c r="O219" s="24">
        <f t="shared" si="49"/>
        <v>0</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v>
      </c>
      <c r="H220" s="720"/>
      <c r="I220" s="24">
        <f t="shared" si="46"/>
        <v>0</v>
      </c>
      <c r="J220" s="720"/>
      <c r="K220" s="24">
        <f t="shared" si="47"/>
        <v>0.05</v>
      </c>
      <c r="L220" s="720"/>
      <c r="M220" s="24">
        <f t="shared" si="48"/>
        <v>2</v>
      </c>
      <c r="N220" s="720"/>
      <c r="O220" s="24">
        <f t="shared" si="49"/>
        <v>0</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v>
      </c>
      <c r="H221" s="720"/>
      <c r="I221" s="24">
        <f t="shared" si="46"/>
        <v>0</v>
      </c>
      <c r="J221" s="720"/>
      <c r="K221" s="24">
        <f t="shared" si="47"/>
        <v>0.05</v>
      </c>
      <c r="L221" s="720"/>
      <c r="M221" s="24">
        <f t="shared" si="48"/>
        <v>2</v>
      </c>
      <c r="N221" s="720"/>
      <c r="O221" s="24">
        <f t="shared" si="49"/>
        <v>0</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v>
      </c>
      <c r="H222" s="720"/>
      <c r="I222" s="24">
        <f t="shared" si="46"/>
        <v>0</v>
      </c>
      <c r="J222" s="720"/>
      <c r="K222" s="24">
        <f t="shared" si="47"/>
        <v>0.05</v>
      </c>
      <c r="L222" s="720"/>
      <c r="M222" s="24">
        <f t="shared" si="48"/>
        <v>2</v>
      </c>
      <c r="N222" s="720"/>
      <c r="O222" s="24">
        <f t="shared" si="49"/>
        <v>0</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v>
      </c>
      <c r="H223" s="720"/>
      <c r="I223" s="24">
        <f t="shared" si="46"/>
        <v>0</v>
      </c>
      <c r="J223" s="720"/>
      <c r="K223" s="24">
        <f t="shared" si="47"/>
        <v>0.05</v>
      </c>
      <c r="L223" s="720"/>
      <c r="M223" s="24">
        <f t="shared" si="48"/>
        <v>2</v>
      </c>
      <c r="N223" s="720"/>
      <c r="O223" s="24">
        <f t="shared" si="49"/>
        <v>0</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v>
      </c>
      <c r="H224" s="720"/>
      <c r="I224" s="24">
        <f t="shared" si="46"/>
        <v>0</v>
      </c>
      <c r="J224" s="720"/>
      <c r="K224" s="24">
        <f t="shared" si="47"/>
        <v>0.05</v>
      </c>
      <c r="L224" s="720"/>
      <c r="M224" s="24">
        <f t="shared" si="48"/>
        <v>2</v>
      </c>
      <c r="N224" s="720"/>
      <c r="O224" s="24">
        <f t="shared" si="49"/>
        <v>0</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v>
      </c>
      <c r="H225" s="720"/>
      <c r="I225" s="24">
        <f t="shared" si="46"/>
        <v>0</v>
      </c>
      <c r="J225" s="720"/>
      <c r="K225" s="24">
        <f t="shared" si="47"/>
        <v>0.05</v>
      </c>
      <c r="L225" s="720"/>
      <c r="M225" s="24">
        <f t="shared" si="48"/>
        <v>2</v>
      </c>
      <c r="N225" s="720"/>
      <c r="O225" s="24">
        <f t="shared" si="49"/>
        <v>0</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v>
      </c>
      <c r="H226" s="720"/>
      <c r="I226" s="24">
        <f t="shared" si="46"/>
        <v>0</v>
      </c>
      <c r="J226" s="720"/>
      <c r="K226" s="24">
        <f t="shared" si="47"/>
        <v>0.05</v>
      </c>
      <c r="L226" s="720"/>
      <c r="M226" s="24">
        <f t="shared" si="48"/>
        <v>2</v>
      </c>
      <c r="N226" s="720"/>
      <c r="O226" s="24">
        <f t="shared" si="49"/>
        <v>0</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v>
      </c>
      <c r="H227" s="720"/>
      <c r="I227" s="24">
        <f t="shared" si="46"/>
        <v>0</v>
      </c>
      <c r="J227" s="720"/>
      <c r="K227" s="24">
        <f t="shared" si="47"/>
        <v>0.05</v>
      </c>
      <c r="L227" s="720"/>
      <c r="M227" s="24">
        <f t="shared" si="48"/>
        <v>2</v>
      </c>
      <c r="N227" s="720"/>
      <c r="O227" s="24">
        <f t="shared" si="49"/>
        <v>0</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v>
      </c>
      <c r="H228" s="720"/>
      <c r="I228" s="24">
        <f t="shared" si="46"/>
        <v>0</v>
      </c>
      <c r="J228" s="720"/>
      <c r="K228" s="24">
        <f t="shared" si="47"/>
        <v>0.05</v>
      </c>
      <c r="L228" s="720"/>
      <c r="M228" s="24">
        <f t="shared" si="48"/>
        <v>2</v>
      </c>
      <c r="N228" s="720"/>
      <c r="O228" s="24">
        <f t="shared" si="49"/>
        <v>0</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v>
      </c>
      <c r="H229" s="720"/>
      <c r="I229" s="24">
        <f t="shared" si="46"/>
        <v>0</v>
      </c>
      <c r="J229" s="720"/>
      <c r="K229" s="24">
        <f t="shared" si="47"/>
        <v>0.05</v>
      </c>
      <c r="L229" s="720"/>
      <c r="M229" s="24">
        <f t="shared" si="48"/>
        <v>2</v>
      </c>
      <c r="N229" s="720"/>
      <c r="O229" s="24">
        <f t="shared" si="49"/>
        <v>0</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v>
      </c>
      <c r="H230" s="720"/>
      <c r="I230" s="24">
        <f t="shared" si="46"/>
        <v>0</v>
      </c>
      <c r="J230" s="720"/>
      <c r="K230" s="24">
        <f t="shared" si="47"/>
        <v>0.05</v>
      </c>
      <c r="L230" s="720"/>
      <c r="M230" s="24">
        <f t="shared" si="48"/>
        <v>2</v>
      </c>
      <c r="N230" s="720"/>
      <c r="O230" s="24">
        <f t="shared" si="49"/>
        <v>0</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v>
      </c>
      <c r="H231" s="720"/>
      <c r="I231" s="24">
        <f t="shared" si="46"/>
        <v>0</v>
      </c>
      <c r="J231" s="720"/>
      <c r="K231" s="24">
        <f t="shared" si="47"/>
        <v>0.05</v>
      </c>
      <c r="L231" s="720"/>
      <c r="M231" s="24">
        <f t="shared" si="48"/>
        <v>2</v>
      </c>
      <c r="N231" s="720"/>
      <c r="O231" s="24">
        <f t="shared" si="49"/>
        <v>0</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v>
      </c>
      <c r="H232" s="720"/>
      <c r="I232" s="24">
        <f t="shared" si="46"/>
        <v>0</v>
      </c>
      <c r="J232" s="720"/>
      <c r="K232" s="24">
        <f t="shared" si="47"/>
        <v>0.05</v>
      </c>
      <c r="L232" s="720"/>
      <c r="M232" s="24">
        <f t="shared" si="48"/>
        <v>2</v>
      </c>
      <c r="N232" s="720"/>
      <c r="O232" s="24">
        <f t="shared" si="49"/>
        <v>0</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v>
      </c>
      <c r="H233" s="720"/>
      <c r="I233" s="24">
        <f t="shared" si="46"/>
        <v>0</v>
      </c>
      <c r="J233" s="720"/>
      <c r="K233" s="24">
        <f t="shared" si="47"/>
        <v>0.05</v>
      </c>
      <c r="L233" s="720"/>
      <c r="M233" s="24">
        <f t="shared" si="48"/>
        <v>2</v>
      </c>
      <c r="N233" s="720"/>
      <c r="O233" s="24">
        <f t="shared" si="49"/>
        <v>0</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v>
      </c>
      <c r="H234" s="720"/>
      <c r="I234" s="24">
        <f t="shared" si="46"/>
        <v>0</v>
      </c>
      <c r="J234" s="720"/>
      <c r="K234" s="24">
        <f t="shared" si="47"/>
        <v>0.05</v>
      </c>
      <c r="L234" s="720"/>
      <c r="M234" s="24">
        <f t="shared" si="48"/>
        <v>2</v>
      </c>
      <c r="N234" s="720"/>
      <c r="O234" s="24">
        <f t="shared" si="49"/>
        <v>0</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v>
      </c>
      <c r="H235" s="720"/>
      <c r="I235" s="24">
        <f t="shared" si="46"/>
        <v>0</v>
      </c>
      <c r="J235" s="720"/>
      <c r="K235" s="24">
        <f t="shared" si="47"/>
        <v>0.05</v>
      </c>
      <c r="L235" s="720"/>
      <c r="M235" s="24">
        <f t="shared" si="48"/>
        <v>2</v>
      </c>
      <c r="N235" s="720"/>
      <c r="O235" s="24">
        <f t="shared" si="49"/>
        <v>0</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v>
      </c>
      <c r="H236" s="720"/>
      <c r="I236" s="24">
        <f t="shared" si="46"/>
        <v>0</v>
      </c>
      <c r="J236" s="720"/>
      <c r="K236" s="24">
        <f t="shared" si="47"/>
        <v>0.05</v>
      </c>
      <c r="L236" s="720"/>
      <c r="M236" s="24">
        <f t="shared" si="48"/>
        <v>2</v>
      </c>
      <c r="N236" s="720"/>
      <c r="O236" s="24">
        <f t="shared" si="49"/>
        <v>0</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v>
      </c>
      <c r="H237" s="720"/>
      <c r="I237" s="24">
        <f t="shared" si="46"/>
        <v>0</v>
      </c>
      <c r="J237" s="720"/>
      <c r="K237" s="24">
        <f t="shared" si="47"/>
        <v>0.05</v>
      </c>
      <c r="L237" s="720"/>
      <c r="M237" s="24">
        <f t="shared" si="48"/>
        <v>2</v>
      </c>
      <c r="N237" s="720"/>
      <c r="O237" s="24">
        <f t="shared" si="49"/>
        <v>0</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v>
      </c>
      <c r="H238" s="720"/>
      <c r="I238" s="24">
        <f t="shared" si="46"/>
        <v>0</v>
      </c>
      <c r="J238" s="720"/>
      <c r="K238" s="24">
        <f t="shared" si="47"/>
        <v>0.05</v>
      </c>
      <c r="L238" s="720"/>
      <c r="M238" s="24">
        <f t="shared" si="48"/>
        <v>2</v>
      </c>
      <c r="N238" s="720"/>
      <c r="O238" s="24">
        <f t="shared" si="49"/>
        <v>0</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v>
      </c>
      <c r="H239" s="720"/>
      <c r="I239" s="24">
        <f t="shared" si="46"/>
        <v>0</v>
      </c>
      <c r="J239" s="720"/>
      <c r="K239" s="24">
        <f t="shared" si="47"/>
        <v>0.05</v>
      </c>
      <c r="L239" s="720"/>
      <c r="M239" s="24">
        <f t="shared" si="48"/>
        <v>2</v>
      </c>
      <c r="N239" s="720"/>
      <c r="O239" s="24">
        <f t="shared" si="49"/>
        <v>0</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v>
      </c>
      <c r="H240" s="720"/>
      <c r="I240" s="24">
        <f t="shared" si="46"/>
        <v>0</v>
      </c>
      <c r="J240" s="720"/>
      <c r="K240" s="24">
        <f t="shared" si="47"/>
        <v>0.05</v>
      </c>
      <c r="L240" s="720"/>
      <c r="M240" s="24">
        <f t="shared" si="48"/>
        <v>2</v>
      </c>
      <c r="N240" s="720"/>
      <c r="O240" s="24">
        <f t="shared" si="49"/>
        <v>0</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v>
      </c>
      <c r="H241" s="720"/>
      <c r="I241" s="24">
        <f t="shared" si="46"/>
        <v>0</v>
      </c>
      <c r="J241" s="720"/>
      <c r="K241" s="24">
        <f t="shared" si="47"/>
        <v>0.05</v>
      </c>
      <c r="L241" s="720"/>
      <c r="M241" s="24">
        <f t="shared" si="48"/>
        <v>2</v>
      </c>
      <c r="N241" s="720"/>
      <c r="O241" s="24">
        <f t="shared" si="49"/>
        <v>0</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v>
      </c>
      <c r="H242" s="720"/>
      <c r="I242" s="24">
        <f t="shared" si="46"/>
        <v>0</v>
      </c>
      <c r="J242" s="720"/>
      <c r="K242" s="24">
        <f t="shared" si="47"/>
        <v>0.05</v>
      </c>
      <c r="L242" s="720"/>
      <c r="M242" s="24">
        <f t="shared" si="48"/>
        <v>2</v>
      </c>
      <c r="N242" s="720"/>
      <c r="O242" s="24">
        <f t="shared" si="49"/>
        <v>0</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v>
      </c>
      <c r="H243" s="720"/>
      <c r="I243" s="24">
        <f t="shared" si="46"/>
        <v>0</v>
      </c>
      <c r="J243" s="720"/>
      <c r="K243" s="24">
        <f t="shared" si="47"/>
        <v>0.05</v>
      </c>
      <c r="L243" s="720"/>
      <c r="M243" s="24">
        <f t="shared" si="48"/>
        <v>2</v>
      </c>
      <c r="N243" s="720"/>
      <c r="O243" s="24">
        <f t="shared" si="49"/>
        <v>0</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v>
      </c>
      <c r="H244" s="720"/>
      <c r="I244" s="24">
        <f t="shared" si="46"/>
        <v>0</v>
      </c>
      <c r="J244" s="720"/>
      <c r="K244" s="24">
        <f t="shared" si="47"/>
        <v>0.05</v>
      </c>
      <c r="L244" s="720"/>
      <c r="M244" s="24">
        <f t="shared" si="48"/>
        <v>2</v>
      </c>
      <c r="N244" s="720"/>
      <c r="O244" s="24">
        <f t="shared" si="49"/>
        <v>0</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v>
      </c>
      <c r="H245" s="720"/>
      <c r="I245" s="24">
        <f t="shared" si="46"/>
        <v>0</v>
      </c>
      <c r="J245" s="720"/>
      <c r="K245" s="24">
        <f t="shared" si="47"/>
        <v>0.05</v>
      </c>
      <c r="L245" s="720"/>
      <c r="M245" s="24">
        <f t="shared" si="48"/>
        <v>2</v>
      </c>
      <c r="N245" s="720"/>
      <c r="O245" s="24">
        <f t="shared" si="49"/>
        <v>0</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v>
      </c>
      <c r="H246" s="720"/>
      <c r="I246" s="24">
        <f t="shared" si="46"/>
        <v>0</v>
      </c>
      <c r="J246" s="720"/>
      <c r="K246" s="24">
        <f t="shared" si="47"/>
        <v>0.05</v>
      </c>
      <c r="L246" s="720"/>
      <c r="M246" s="24">
        <f t="shared" si="48"/>
        <v>2</v>
      </c>
      <c r="N246" s="720"/>
      <c r="O246" s="24">
        <f t="shared" si="49"/>
        <v>0</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v>
      </c>
      <c r="H247" s="720"/>
      <c r="I247" s="24">
        <f t="shared" si="46"/>
        <v>0</v>
      </c>
      <c r="J247" s="720"/>
      <c r="K247" s="24">
        <f t="shared" si="47"/>
        <v>0.05</v>
      </c>
      <c r="L247" s="720"/>
      <c r="M247" s="24">
        <f t="shared" si="48"/>
        <v>2</v>
      </c>
      <c r="N247" s="720"/>
      <c r="O247" s="24">
        <f t="shared" si="49"/>
        <v>0</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v>
      </c>
      <c r="H248" s="720"/>
      <c r="I248" s="24">
        <f t="shared" si="46"/>
        <v>0</v>
      </c>
      <c r="J248" s="720"/>
      <c r="K248" s="24">
        <f t="shared" si="47"/>
        <v>0.05</v>
      </c>
      <c r="L248" s="720"/>
      <c r="M248" s="24">
        <f t="shared" si="48"/>
        <v>2</v>
      </c>
      <c r="N248" s="720"/>
      <c r="O248" s="24">
        <f t="shared" si="49"/>
        <v>0</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v>
      </c>
      <c r="H249" s="720"/>
      <c r="I249" s="24">
        <f t="shared" si="46"/>
        <v>0</v>
      </c>
      <c r="J249" s="720"/>
      <c r="K249" s="24">
        <f t="shared" si="47"/>
        <v>0.05</v>
      </c>
      <c r="L249" s="720"/>
      <c r="M249" s="24">
        <f t="shared" si="48"/>
        <v>2</v>
      </c>
      <c r="N249" s="720"/>
      <c r="O249" s="24">
        <f t="shared" si="49"/>
        <v>0</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v>
      </c>
      <c r="H250" s="720"/>
      <c r="I250" s="24">
        <f t="shared" si="46"/>
        <v>0</v>
      </c>
      <c r="J250" s="720"/>
      <c r="K250" s="24">
        <f t="shared" si="47"/>
        <v>0.05</v>
      </c>
      <c r="L250" s="720"/>
      <c r="M250" s="24">
        <f t="shared" si="48"/>
        <v>2</v>
      </c>
      <c r="N250" s="720"/>
      <c r="O250" s="24">
        <f t="shared" si="49"/>
        <v>0</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v>
      </c>
      <c r="H251" s="720"/>
      <c r="I251" s="24">
        <f t="shared" si="46"/>
        <v>0</v>
      </c>
      <c r="J251" s="720"/>
      <c r="K251" s="24">
        <f t="shared" si="47"/>
        <v>0.05</v>
      </c>
      <c r="L251" s="720"/>
      <c r="M251" s="24">
        <f t="shared" si="48"/>
        <v>2</v>
      </c>
      <c r="N251" s="720"/>
      <c r="O251" s="24">
        <f t="shared" si="49"/>
        <v>0</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v>
      </c>
      <c r="H252" s="720"/>
      <c r="I252" s="24">
        <f t="shared" si="46"/>
        <v>0</v>
      </c>
      <c r="J252" s="720"/>
      <c r="K252" s="24">
        <f t="shared" si="47"/>
        <v>0.05</v>
      </c>
      <c r="L252" s="720"/>
      <c r="M252" s="24">
        <f t="shared" si="48"/>
        <v>2</v>
      </c>
      <c r="N252" s="720"/>
      <c r="O252" s="24">
        <f t="shared" si="49"/>
        <v>0</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v>
      </c>
      <c r="H253" s="720"/>
      <c r="I253" s="24">
        <f t="shared" si="46"/>
        <v>0</v>
      </c>
      <c r="J253" s="720"/>
      <c r="K253" s="24">
        <f t="shared" si="47"/>
        <v>0.05</v>
      </c>
      <c r="L253" s="720"/>
      <c r="M253" s="24">
        <f t="shared" si="48"/>
        <v>2</v>
      </c>
      <c r="N253" s="720"/>
      <c r="O253" s="24">
        <f t="shared" si="49"/>
        <v>0</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v>
      </c>
      <c r="H254" s="720"/>
      <c r="I254" s="24">
        <f t="shared" si="46"/>
        <v>0</v>
      </c>
      <c r="J254" s="720"/>
      <c r="K254" s="24">
        <f t="shared" si="47"/>
        <v>0.05</v>
      </c>
      <c r="L254" s="720"/>
      <c r="M254" s="24">
        <f t="shared" si="48"/>
        <v>2</v>
      </c>
      <c r="N254" s="720"/>
      <c r="O254" s="24">
        <f t="shared" si="49"/>
        <v>0</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v>
      </c>
      <c r="H255" s="720"/>
      <c r="I255" s="24">
        <f t="shared" si="46"/>
        <v>0</v>
      </c>
      <c r="J255" s="720"/>
      <c r="K255" s="24">
        <f t="shared" si="47"/>
        <v>0.05</v>
      </c>
      <c r="L255" s="720"/>
      <c r="M255" s="24">
        <f t="shared" si="48"/>
        <v>2</v>
      </c>
      <c r="N255" s="720"/>
      <c r="O255" s="24">
        <f t="shared" si="49"/>
        <v>0</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v>
      </c>
      <c r="H256" s="720"/>
      <c r="I256" s="24">
        <f t="shared" si="46"/>
        <v>0</v>
      </c>
      <c r="J256" s="720"/>
      <c r="K256" s="24">
        <f t="shared" si="47"/>
        <v>0.05</v>
      </c>
      <c r="L256" s="720"/>
      <c r="M256" s="24">
        <f t="shared" si="48"/>
        <v>2</v>
      </c>
      <c r="N256" s="720"/>
      <c r="O256" s="24">
        <f t="shared" si="49"/>
        <v>0</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v>
      </c>
      <c r="H257" s="720"/>
      <c r="I257" s="24">
        <f t="shared" si="46"/>
        <v>0</v>
      </c>
      <c r="J257" s="720"/>
      <c r="K257" s="24">
        <f t="shared" si="47"/>
        <v>0.05</v>
      </c>
      <c r="L257" s="720"/>
      <c r="M257" s="24">
        <f t="shared" si="48"/>
        <v>2</v>
      </c>
      <c r="N257" s="720"/>
      <c r="O257" s="24">
        <f t="shared" si="49"/>
        <v>0</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v>
      </c>
      <c r="H258" s="720"/>
      <c r="I258" s="24">
        <f t="shared" si="46"/>
        <v>0</v>
      </c>
      <c r="J258" s="720"/>
      <c r="K258" s="24">
        <f t="shared" si="47"/>
        <v>0.05</v>
      </c>
      <c r="L258" s="720"/>
      <c r="M258" s="24">
        <f t="shared" si="48"/>
        <v>2</v>
      </c>
      <c r="N258" s="720"/>
      <c r="O258" s="24">
        <f t="shared" si="49"/>
        <v>0</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v>
      </c>
      <c r="H259" s="720"/>
      <c r="I259" s="24">
        <f t="shared" si="46"/>
        <v>0</v>
      </c>
      <c r="J259" s="720"/>
      <c r="K259" s="24">
        <f t="shared" si="47"/>
        <v>0.05</v>
      </c>
      <c r="L259" s="720"/>
      <c r="M259" s="24">
        <f t="shared" si="48"/>
        <v>2</v>
      </c>
      <c r="N259" s="720"/>
      <c r="O259" s="24">
        <f t="shared" si="49"/>
        <v>0</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v>
      </c>
      <c r="H260" s="720"/>
      <c r="I260" s="24">
        <f t="shared" si="46"/>
        <v>0</v>
      </c>
      <c r="J260" s="720"/>
      <c r="K260" s="24">
        <f t="shared" si="47"/>
        <v>0.05</v>
      </c>
      <c r="L260" s="720"/>
      <c r="M260" s="24">
        <f t="shared" si="48"/>
        <v>2</v>
      </c>
      <c r="N260" s="720"/>
      <c r="O260" s="24">
        <f t="shared" si="49"/>
        <v>0</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v>
      </c>
      <c r="H261" s="720"/>
      <c r="I261" s="24">
        <f t="shared" si="46"/>
        <v>0</v>
      </c>
      <c r="J261" s="720"/>
      <c r="K261" s="24">
        <f t="shared" si="47"/>
        <v>0.05</v>
      </c>
      <c r="L261" s="720"/>
      <c r="M261" s="24">
        <f t="shared" si="48"/>
        <v>2</v>
      </c>
      <c r="N261" s="720"/>
      <c r="O261" s="24">
        <f t="shared" si="49"/>
        <v>0</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v>
      </c>
      <c r="H262" s="720"/>
      <c r="I262" s="24">
        <f t="shared" si="46"/>
        <v>0</v>
      </c>
      <c r="J262" s="720"/>
      <c r="K262" s="24">
        <f t="shared" si="47"/>
        <v>0.05</v>
      </c>
      <c r="L262" s="720"/>
      <c r="M262" s="24">
        <f t="shared" si="48"/>
        <v>2</v>
      </c>
      <c r="N262" s="720"/>
      <c r="O262" s="24">
        <f t="shared" si="49"/>
        <v>0</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v>
      </c>
      <c r="H263" s="720"/>
      <c r="I263" s="24">
        <f t="shared" si="46"/>
        <v>0</v>
      </c>
      <c r="J263" s="720"/>
      <c r="K263" s="24">
        <f t="shared" si="47"/>
        <v>0.05</v>
      </c>
      <c r="L263" s="720"/>
      <c r="M263" s="24">
        <f t="shared" si="48"/>
        <v>2</v>
      </c>
      <c r="N263" s="720"/>
      <c r="O263" s="24">
        <f t="shared" si="49"/>
        <v>0</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v>
      </c>
      <c r="H264" s="720"/>
      <c r="I264" s="24">
        <f t="shared" si="46"/>
        <v>0</v>
      </c>
      <c r="J264" s="720"/>
      <c r="K264" s="24">
        <f t="shared" si="47"/>
        <v>0.05</v>
      </c>
      <c r="L264" s="720"/>
      <c r="M264" s="24">
        <f t="shared" si="48"/>
        <v>2</v>
      </c>
      <c r="N264" s="720"/>
      <c r="O264" s="24">
        <f t="shared" si="49"/>
        <v>0</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v>
      </c>
      <c r="H265" s="720"/>
      <c r="I265" s="24">
        <f t="shared" si="46"/>
        <v>0</v>
      </c>
      <c r="J265" s="720"/>
      <c r="K265" s="24">
        <f t="shared" si="47"/>
        <v>0.05</v>
      </c>
      <c r="L265" s="720"/>
      <c r="M265" s="24">
        <f t="shared" si="48"/>
        <v>2</v>
      </c>
      <c r="N265" s="720"/>
      <c r="O265" s="24">
        <f t="shared" si="49"/>
        <v>0</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v>
      </c>
      <c r="H266" s="720"/>
      <c r="I266" s="24">
        <f t="shared" si="46"/>
        <v>0</v>
      </c>
      <c r="J266" s="720"/>
      <c r="K266" s="24">
        <f t="shared" si="47"/>
        <v>0.05</v>
      </c>
      <c r="L266" s="720"/>
      <c r="M266" s="24">
        <f t="shared" si="48"/>
        <v>2</v>
      </c>
      <c r="N266" s="720"/>
      <c r="O266" s="24">
        <f t="shared" si="49"/>
        <v>0</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v>
      </c>
      <c r="H267" s="720"/>
      <c r="I267" s="24">
        <f t="shared" si="46"/>
        <v>0</v>
      </c>
      <c r="J267" s="720"/>
      <c r="K267" s="24">
        <f t="shared" si="47"/>
        <v>0.05</v>
      </c>
      <c r="L267" s="720"/>
      <c r="M267" s="24">
        <f t="shared" si="48"/>
        <v>2</v>
      </c>
      <c r="N267" s="720"/>
      <c r="O267" s="24">
        <f t="shared" si="49"/>
        <v>0</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v>
      </c>
      <c r="H268" s="720"/>
      <c r="I268" s="24">
        <f t="shared" si="46"/>
        <v>0</v>
      </c>
      <c r="J268" s="720"/>
      <c r="K268" s="24">
        <f t="shared" si="47"/>
        <v>0.05</v>
      </c>
      <c r="L268" s="720"/>
      <c r="M268" s="24">
        <f t="shared" si="48"/>
        <v>2</v>
      </c>
      <c r="N268" s="720"/>
      <c r="O268" s="24">
        <f t="shared" si="49"/>
        <v>0</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v>
      </c>
      <c r="H269" s="720"/>
      <c r="I269" s="24">
        <f t="shared" si="46"/>
        <v>0</v>
      </c>
      <c r="J269" s="720"/>
      <c r="K269" s="24">
        <f t="shared" si="47"/>
        <v>0.05</v>
      </c>
      <c r="L269" s="720"/>
      <c r="M269" s="24">
        <f t="shared" si="48"/>
        <v>2</v>
      </c>
      <c r="N269" s="720"/>
      <c r="O269" s="24">
        <f t="shared" si="49"/>
        <v>0</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v>
      </c>
      <c r="H270" s="720"/>
      <c r="I270" s="24">
        <f t="shared" si="46"/>
        <v>0</v>
      </c>
      <c r="J270" s="720"/>
      <c r="K270" s="24">
        <f t="shared" si="47"/>
        <v>0.05</v>
      </c>
      <c r="L270" s="720"/>
      <c r="M270" s="24">
        <f t="shared" si="48"/>
        <v>2</v>
      </c>
      <c r="N270" s="720"/>
      <c r="O270" s="24">
        <f t="shared" si="49"/>
        <v>0</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v>
      </c>
      <c r="H271" s="720"/>
      <c r="I271" s="24">
        <f t="shared" si="46"/>
        <v>0</v>
      </c>
      <c r="J271" s="720"/>
      <c r="K271" s="24">
        <f t="shared" si="47"/>
        <v>0.05</v>
      </c>
      <c r="L271" s="720"/>
      <c r="M271" s="24">
        <f t="shared" si="48"/>
        <v>2</v>
      </c>
      <c r="N271" s="720"/>
      <c r="O271" s="24">
        <f t="shared" si="49"/>
        <v>0</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v>
      </c>
      <c r="H272" s="720"/>
      <c r="I272" s="24">
        <f t="shared" si="46"/>
        <v>0</v>
      </c>
      <c r="J272" s="720"/>
      <c r="K272" s="24">
        <f t="shared" si="47"/>
        <v>0.05</v>
      </c>
      <c r="L272" s="720"/>
      <c r="M272" s="24">
        <f t="shared" si="48"/>
        <v>2</v>
      </c>
      <c r="N272" s="720"/>
      <c r="O272" s="24">
        <f t="shared" si="49"/>
        <v>0</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v>
      </c>
      <c r="H273" s="720"/>
      <c r="I273" s="24">
        <f t="shared" si="46"/>
        <v>0</v>
      </c>
      <c r="J273" s="720"/>
      <c r="K273" s="24">
        <f t="shared" si="47"/>
        <v>0.05</v>
      </c>
      <c r="L273" s="720"/>
      <c r="M273" s="24">
        <f t="shared" si="48"/>
        <v>2</v>
      </c>
      <c r="N273" s="720"/>
      <c r="O273" s="24">
        <f t="shared" si="49"/>
        <v>0</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v>
      </c>
      <c r="H274" s="720"/>
      <c r="I274" s="24">
        <f t="shared" si="46"/>
        <v>0</v>
      </c>
      <c r="J274" s="720"/>
      <c r="K274" s="24">
        <f t="shared" si="47"/>
        <v>0.05</v>
      </c>
      <c r="L274" s="720"/>
      <c r="M274" s="24">
        <f t="shared" si="48"/>
        <v>2</v>
      </c>
      <c r="N274" s="720"/>
      <c r="O274" s="24">
        <f t="shared" si="49"/>
        <v>0</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v>
      </c>
      <c r="H275" s="720"/>
      <c r="I275" s="24">
        <f t="shared" si="46"/>
        <v>0</v>
      </c>
      <c r="J275" s="720"/>
      <c r="K275" s="24">
        <f t="shared" si="47"/>
        <v>0.05</v>
      </c>
      <c r="L275" s="720"/>
      <c r="M275" s="24">
        <f t="shared" si="48"/>
        <v>2</v>
      </c>
      <c r="N275" s="720"/>
      <c r="O275" s="24">
        <f t="shared" si="49"/>
        <v>0</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v>
      </c>
      <c r="H276" s="720"/>
      <c r="I276" s="24">
        <f t="shared" si="46"/>
        <v>0</v>
      </c>
      <c r="J276" s="720"/>
      <c r="K276" s="24">
        <f t="shared" si="47"/>
        <v>0.05</v>
      </c>
      <c r="L276" s="720"/>
      <c r="M276" s="24">
        <f t="shared" si="48"/>
        <v>2</v>
      </c>
      <c r="N276" s="720"/>
      <c r="O276" s="24">
        <f t="shared" si="49"/>
        <v>0</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v>
      </c>
      <c r="H277" s="720"/>
      <c r="I277" s="24">
        <f t="shared" si="46"/>
        <v>0</v>
      </c>
      <c r="J277" s="720"/>
      <c r="K277" s="24">
        <f t="shared" si="47"/>
        <v>0.05</v>
      </c>
      <c r="L277" s="720"/>
      <c r="M277" s="24">
        <f t="shared" si="48"/>
        <v>2</v>
      </c>
      <c r="N277" s="720"/>
      <c r="O277" s="24">
        <f t="shared" si="49"/>
        <v>0</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v>
      </c>
      <c r="H278" s="720"/>
      <c r="I278" s="24">
        <f t="shared" si="46"/>
        <v>0</v>
      </c>
      <c r="J278" s="720"/>
      <c r="K278" s="24">
        <f t="shared" si="47"/>
        <v>0.05</v>
      </c>
      <c r="L278" s="720"/>
      <c r="M278" s="24">
        <f t="shared" si="48"/>
        <v>2</v>
      </c>
      <c r="N278" s="720"/>
      <c r="O278" s="24">
        <f t="shared" si="49"/>
        <v>0</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v>
      </c>
      <c r="H279" s="720"/>
      <c r="I279" s="24">
        <f t="shared" si="46"/>
        <v>0</v>
      </c>
      <c r="J279" s="720"/>
      <c r="K279" s="24">
        <f t="shared" si="47"/>
        <v>0.05</v>
      </c>
      <c r="L279" s="720"/>
      <c r="M279" s="24">
        <f t="shared" si="48"/>
        <v>2</v>
      </c>
      <c r="N279" s="720"/>
      <c r="O279" s="24">
        <f t="shared" si="49"/>
        <v>0</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v>
      </c>
      <c r="H280" s="720"/>
      <c r="I280" s="24">
        <f t="shared" si="46"/>
        <v>0</v>
      </c>
      <c r="J280" s="720"/>
      <c r="K280" s="24">
        <f t="shared" si="47"/>
        <v>0.05</v>
      </c>
      <c r="L280" s="720"/>
      <c r="M280" s="24">
        <f t="shared" si="48"/>
        <v>2</v>
      </c>
      <c r="N280" s="720"/>
      <c r="O280" s="24">
        <f t="shared" si="49"/>
        <v>0</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v>
      </c>
      <c r="H281" s="720"/>
      <c r="I281" s="24">
        <f t="shared" si="46"/>
        <v>0</v>
      </c>
      <c r="J281" s="720"/>
      <c r="K281" s="24">
        <f t="shared" si="47"/>
        <v>0.05</v>
      </c>
      <c r="L281" s="720"/>
      <c r="M281" s="24">
        <f t="shared" si="48"/>
        <v>2</v>
      </c>
      <c r="N281" s="720"/>
      <c r="O281" s="24">
        <f t="shared" si="49"/>
        <v>0</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v>
      </c>
      <c r="H282" s="720"/>
      <c r="I282" s="24">
        <f t="shared" ref="I282:I345" si="56">(SUMIF($9:$9,H282,$10:$10)-SUMIF($9:$9,$H$24,$10:$10)+100)/100</f>
        <v>0</v>
      </c>
      <c r="J282" s="720"/>
      <c r="K282" s="24">
        <f t="shared" ref="K282:K345" si="57">(SUMIF($11:$11,J282,$12:$12)-SUMIF($11:$11,$J$24,$12:$12)+100)/100</f>
        <v>0.05</v>
      </c>
      <c r="L282" s="720"/>
      <c r="M282" s="24">
        <f t="shared" ref="M282:M345" si="58">(SUMIF($13:$13,L282,$14:$14)-SUMIF($13:$13,$L$24,$14:$14)+100)/100</f>
        <v>2</v>
      </c>
      <c r="N282" s="720"/>
      <c r="O282" s="24">
        <f t="shared" ref="O282:O345" si="59">(SUMIF($15:$15,N282,$16:$16)-SUMIF($15:$15,$N$24,$16:$16)+100)/100</f>
        <v>0</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v>
      </c>
      <c r="H283" s="720"/>
      <c r="I283" s="24">
        <f t="shared" si="56"/>
        <v>0</v>
      </c>
      <c r="J283" s="720"/>
      <c r="K283" s="24">
        <f t="shared" si="57"/>
        <v>0.05</v>
      </c>
      <c r="L283" s="720"/>
      <c r="M283" s="24">
        <f t="shared" si="58"/>
        <v>2</v>
      </c>
      <c r="N283" s="720"/>
      <c r="O283" s="24">
        <f t="shared" si="59"/>
        <v>0</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v>
      </c>
      <c r="H284" s="720"/>
      <c r="I284" s="24">
        <f t="shared" si="56"/>
        <v>0</v>
      </c>
      <c r="J284" s="720"/>
      <c r="K284" s="24">
        <f t="shared" si="57"/>
        <v>0.05</v>
      </c>
      <c r="L284" s="720"/>
      <c r="M284" s="24">
        <f t="shared" si="58"/>
        <v>2</v>
      </c>
      <c r="N284" s="720"/>
      <c r="O284" s="24">
        <f t="shared" si="59"/>
        <v>0</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v>
      </c>
      <c r="H285" s="720"/>
      <c r="I285" s="24">
        <f t="shared" si="56"/>
        <v>0</v>
      </c>
      <c r="J285" s="720"/>
      <c r="K285" s="24">
        <f t="shared" si="57"/>
        <v>0.05</v>
      </c>
      <c r="L285" s="720"/>
      <c r="M285" s="24">
        <f t="shared" si="58"/>
        <v>2</v>
      </c>
      <c r="N285" s="720"/>
      <c r="O285" s="24">
        <f t="shared" si="59"/>
        <v>0</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v>
      </c>
      <c r="H286" s="720"/>
      <c r="I286" s="24">
        <f t="shared" si="56"/>
        <v>0</v>
      </c>
      <c r="J286" s="720"/>
      <c r="K286" s="24">
        <f t="shared" si="57"/>
        <v>0.05</v>
      </c>
      <c r="L286" s="720"/>
      <c r="M286" s="24">
        <f t="shared" si="58"/>
        <v>2</v>
      </c>
      <c r="N286" s="720"/>
      <c r="O286" s="24">
        <f t="shared" si="59"/>
        <v>0</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v>
      </c>
      <c r="H287" s="720"/>
      <c r="I287" s="24">
        <f t="shared" si="56"/>
        <v>0</v>
      </c>
      <c r="J287" s="720"/>
      <c r="K287" s="24">
        <f t="shared" si="57"/>
        <v>0.05</v>
      </c>
      <c r="L287" s="720"/>
      <c r="M287" s="24">
        <f t="shared" si="58"/>
        <v>2</v>
      </c>
      <c r="N287" s="720"/>
      <c r="O287" s="24">
        <f t="shared" si="59"/>
        <v>0</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v>
      </c>
      <c r="H288" s="720"/>
      <c r="I288" s="24">
        <f t="shared" si="56"/>
        <v>0</v>
      </c>
      <c r="J288" s="720"/>
      <c r="K288" s="24">
        <f t="shared" si="57"/>
        <v>0.05</v>
      </c>
      <c r="L288" s="720"/>
      <c r="M288" s="24">
        <f t="shared" si="58"/>
        <v>2</v>
      </c>
      <c r="N288" s="720"/>
      <c r="O288" s="24">
        <f t="shared" si="59"/>
        <v>0</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v>
      </c>
      <c r="H289" s="720"/>
      <c r="I289" s="24">
        <f t="shared" si="56"/>
        <v>0</v>
      </c>
      <c r="J289" s="720"/>
      <c r="K289" s="24">
        <f t="shared" si="57"/>
        <v>0.05</v>
      </c>
      <c r="L289" s="720"/>
      <c r="M289" s="24">
        <f t="shared" si="58"/>
        <v>2</v>
      </c>
      <c r="N289" s="720"/>
      <c r="O289" s="24">
        <f t="shared" si="59"/>
        <v>0</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v>
      </c>
      <c r="H290" s="720"/>
      <c r="I290" s="24">
        <f t="shared" si="56"/>
        <v>0</v>
      </c>
      <c r="J290" s="720"/>
      <c r="K290" s="24">
        <f t="shared" si="57"/>
        <v>0.05</v>
      </c>
      <c r="L290" s="720"/>
      <c r="M290" s="24">
        <f t="shared" si="58"/>
        <v>2</v>
      </c>
      <c r="N290" s="720"/>
      <c r="O290" s="24">
        <f t="shared" si="59"/>
        <v>0</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v>
      </c>
      <c r="H291" s="720"/>
      <c r="I291" s="24">
        <f t="shared" si="56"/>
        <v>0</v>
      </c>
      <c r="J291" s="720"/>
      <c r="K291" s="24">
        <f t="shared" si="57"/>
        <v>0.05</v>
      </c>
      <c r="L291" s="720"/>
      <c r="M291" s="24">
        <f t="shared" si="58"/>
        <v>2</v>
      </c>
      <c r="N291" s="720"/>
      <c r="O291" s="24">
        <f t="shared" si="59"/>
        <v>0</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v>
      </c>
      <c r="H292" s="720"/>
      <c r="I292" s="24">
        <f t="shared" si="56"/>
        <v>0</v>
      </c>
      <c r="J292" s="720"/>
      <c r="K292" s="24">
        <f t="shared" si="57"/>
        <v>0.05</v>
      </c>
      <c r="L292" s="720"/>
      <c r="M292" s="24">
        <f t="shared" si="58"/>
        <v>2</v>
      </c>
      <c r="N292" s="720"/>
      <c r="O292" s="24">
        <f t="shared" si="59"/>
        <v>0</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v>
      </c>
      <c r="H293" s="720"/>
      <c r="I293" s="24">
        <f t="shared" si="56"/>
        <v>0</v>
      </c>
      <c r="J293" s="720"/>
      <c r="K293" s="24">
        <f t="shared" si="57"/>
        <v>0.05</v>
      </c>
      <c r="L293" s="720"/>
      <c r="M293" s="24">
        <f t="shared" si="58"/>
        <v>2</v>
      </c>
      <c r="N293" s="720"/>
      <c r="O293" s="24">
        <f t="shared" si="59"/>
        <v>0</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v>
      </c>
      <c r="H294" s="720"/>
      <c r="I294" s="24">
        <f t="shared" si="56"/>
        <v>0</v>
      </c>
      <c r="J294" s="720"/>
      <c r="K294" s="24">
        <f t="shared" si="57"/>
        <v>0.05</v>
      </c>
      <c r="L294" s="720"/>
      <c r="M294" s="24">
        <f t="shared" si="58"/>
        <v>2</v>
      </c>
      <c r="N294" s="720"/>
      <c r="O294" s="24">
        <f t="shared" si="59"/>
        <v>0</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v>
      </c>
      <c r="H295" s="720"/>
      <c r="I295" s="24">
        <f t="shared" si="56"/>
        <v>0</v>
      </c>
      <c r="J295" s="720"/>
      <c r="K295" s="24">
        <f t="shared" si="57"/>
        <v>0.05</v>
      </c>
      <c r="L295" s="720"/>
      <c r="M295" s="24">
        <f t="shared" si="58"/>
        <v>2</v>
      </c>
      <c r="N295" s="720"/>
      <c r="O295" s="24">
        <f t="shared" si="59"/>
        <v>0</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v>
      </c>
      <c r="H296" s="720"/>
      <c r="I296" s="24">
        <f t="shared" si="56"/>
        <v>0</v>
      </c>
      <c r="J296" s="720"/>
      <c r="K296" s="24">
        <f t="shared" si="57"/>
        <v>0.05</v>
      </c>
      <c r="L296" s="720"/>
      <c r="M296" s="24">
        <f t="shared" si="58"/>
        <v>2</v>
      </c>
      <c r="N296" s="720"/>
      <c r="O296" s="24">
        <f t="shared" si="59"/>
        <v>0</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v>
      </c>
      <c r="H297" s="720"/>
      <c r="I297" s="24">
        <f t="shared" si="56"/>
        <v>0</v>
      </c>
      <c r="J297" s="720"/>
      <c r="K297" s="24">
        <f t="shared" si="57"/>
        <v>0.05</v>
      </c>
      <c r="L297" s="720"/>
      <c r="M297" s="24">
        <f t="shared" si="58"/>
        <v>2</v>
      </c>
      <c r="N297" s="720"/>
      <c r="O297" s="24">
        <f t="shared" si="59"/>
        <v>0</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v>
      </c>
      <c r="H298" s="720"/>
      <c r="I298" s="24">
        <f t="shared" si="56"/>
        <v>0</v>
      </c>
      <c r="J298" s="720"/>
      <c r="K298" s="24">
        <f t="shared" si="57"/>
        <v>0.05</v>
      </c>
      <c r="L298" s="720"/>
      <c r="M298" s="24">
        <f t="shared" si="58"/>
        <v>2</v>
      </c>
      <c r="N298" s="720"/>
      <c r="O298" s="24">
        <f t="shared" si="59"/>
        <v>0</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v>
      </c>
      <c r="H299" s="720"/>
      <c r="I299" s="24">
        <f t="shared" si="56"/>
        <v>0</v>
      </c>
      <c r="J299" s="720"/>
      <c r="K299" s="24">
        <f t="shared" si="57"/>
        <v>0.05</v>
      </c>
      <c r="L299" s="720"/>
      <c r="M299" s="24">
        <f t="shared" si="58"/>
        <v>2</v>
      </c>
      <c r="N299" s="720"/>
      <c r="O299" s="24">
        <f t="shared" si="59"/>
        <v>0</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v>
      </c>
      <c r="H300" s="720"/>
      <c r="I300" s="24">
        <f t="shared" si="56"/>
        <v>0</v>
      </c>
      <c r="J300" s="720"/>
      <c r="K300" s="24">
        <f t="shared" si="57"/>
        <v>0.05</v>
      </c>
      <c r="L300" s="720"/>
      <c r="M300" s="24">
        <f t="shared" si="58"/>
        <v>2</v>
      </c>
      <c r="N300" s="720"/>
      <c r="O300" s="24">
        <f t="shared" si="59"/>
        <v>0</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v>
      </c>
      <c r="H301" s="720"/>
      <c r="I301" s="24">
        <f t="shared" si="56"/>
        <v>0</v>
      </c>
      <c r="J301" s="720"/>
      <c r="K301" s="24">
        <f t="shared" si="57"/>
        <v>0.05</v>
      </c>
      <c r="L301" s="720"/>
      <c r="M301" s="24">
        <f t="shared" si="58"/>
        <v>2</v>
      </c>
      <c r="N301" s="720"/>
      <c r="O301" s="24">
        <f t="shared" si="59"/>
        <v>0</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v>
      </c>
      <c r="H302" s="720"/>
      <c r="I302" s="24">
        <f t="shared" si="56"/>
        <v>0</v>
      </c>
      <c r="J302" s="720"/>
      <c r="K302" s="24">
        <f t="shared" si="57"/>
        <v>0.05</v>
      </c>
      <c r="L302" s="720"/>
      <c r="M302" s="24">
        <f t="shared" si="58"/>
        <v>2</v>
      </c>
      <c r="N302" s="720"/>
      <c r="O302" s="24">
        <f t="shared" si="59"/>
        <v>0</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v>
      </c>
      <c r="H303" s="720"/>
      <c r="I303" s="24">
        <f t="shared" si="56"/>
        <v>0</v>
      </c>
      <c r="J303" s="720"/>
      <c r="K303" s="24">
        <f t="shared" si="57"/>
        <v>0.05</v>
      </c>
      <c r="L303" s="720"/>
      <c r="M303" s="24">
        <f t="shared" si="58"/>
        <v>2</v>
      </c>
      <c r="N303" s="720"/>
      <c r="O303" s="24">
        <f t="shared" si="59"/>
        <v>0</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v>
      </c>
      <c r="H304" s="720"/>
      <c r="I304" s="24">
        <f t="shared" si="56"/>
        <v>0</v>
      </c>
      <c r="J304" s="720"/>
      <c r="K304" s="24">
        <f t="shared" si="57"/>
        <v>0.05</v>
      </c>
      <c r="L304" s="720"/>
      <c r="M304" s="24">
        <f t="shared" si="58"/>
        <v>2</v>
      </c>
      <c r="N304" s="720"/>
      <c r="O304" s="24">
        <f t="shared" si="59"/>
        <v>0</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v>
      </c>
      <c r="H305" s="720"/>
      <c r="I305" s="24">
        <f t="shared" si="56"/>
        <v>0</v>
      </c>
      <c r="J305" s="720"/>
      <c r="K305" s="24">
        <f t="shared" si="57"/>
        <v>0.05</v>
      </c>
      <c r="L305" s="720"/>
      <c r="M305" s="24">
        <f t="shared" si="58"/>
        <v>2</v>
      </c>
      <c r="N305" s="720"/>
      <c r="O305" s="24">
        <f t="shared" si="59"/>
        <v>0</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v>
      </c>
      <c r="H306" s="720"/>
      <c r="I306" s="24">
        <f t="shared" si="56"/>
        <v>0</v>
      </c>
      <c r="J306" s="720"/>
      <c r="K306" s="24">
        <f t="shared" si="57"/>
        <v>0.05</v>
      </c>
      <c r="L306" s="720"/>
      <c r="M306" s="24">
        <f t="shared" si="58"/>
        <v>2</v>
      </c>
      <c r="N306" s="720"/>
      <c r="O306" s="24">
        <f t="shared" si="59"/>
        <v>0</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v>
      </c>
      <c r="H307" s="720"/>
      <c r="I307" s="24">
        <f t="shared" si="56"/>
        <v>0</v>
      </c>
      <c r="J307" s="720"/>
      <c r="K307" s="24">
        <f t="shared" si="57"/>
        <v>0.05</v>
      </c>
      <c r="L307" s="720"/>
      <c r="M307" s="24">
        <f t="shared" si="58"/>
        <v>2</v>
      </c>
      <c r="N307" s="720"/>
      <c r="O307" s="24">
        <f t="shared" si="59"/>
        <v>0</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v>
      </c>
      <c r="H308" s="720"/>
      <c r="I308" s="24">
        <f t="shared" si="56"/>
        <v>0</v>
      </c>
      <c r="J308" s="720"/>
      <c r="K308" s="24">
        <f t="shared" si="57"/>
        <v>0.05</v>
      </c>
      <c r="L308" s="720"/>
      <c r="M308" s="24">
        <f t="shared" si="58"/>
        <v>2</v>
      </c>
      <c r="N308" s="720"/>
      <c r="O308" s="24">
        <f t="shared" si="59"/>
        <v>0</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v>
      </c>
      <c r="H309" s="720"/>
      <c r="I309" s="24">
        <f t="shared" si="56"/>
        <v>0</v>
      </c>
      <c r="J309" s="720"/>
      <c r="K309" s="24">
        <f t="shared" si="57"/>
        <v>0.05</v>
      </c>
      <c r="L309" s="720"/>
      <c r="M309" s="24">
        <f t="shared" si="58"/>
        <v>2</v>
      </c>
      <c r="N309" s="720"/>
      <c r="O309" s="24">
        <f t="shared" si="59"/>
        <v>0</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v>
      </c>
      <c r="H310" s="720"/>
      <c r="I310" s="24">
        <f t="shared" si="56"/>
        <v>0</v>
      </c>
      <c r="J310" s="720"/>
      <c r="K310" s="24">
        <f t="shared" si="57"/>
        <v>0.05</v>
      </c>
      <c r="L310" s="720"/>
      <c r="M310" s="24">
        <f t="shared" si="58"/>
        <v>2</v>
      </c>
      <c r="N310" s="720"/>
      <c r="O310" s="24">
        <f t="shared" si="59"/>
        <v>0</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v>
      </c>
      <c r="H311" s="720"/>
      <c r="I311" s="24">
        <f t="shared" si="56"/>
        <v>0</v>
      </c>
      <c r="J311" s="720"/>
      <c r="K311" s="24">
        <f t="shared" si="57"/>
        <v>0.05</v>
      </c>
      <c r="L311" s="720"/>
      <c r="M311" s="24">
        <f t="shared" si="58"/>
        <v>2</v>
      </c>
      <c r="N311" s="720"/>
      <c r="O311" s="24">
        <f t="shared" si="59"/>
        <v>0</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v>
      </c>
      <c r="H312" s="720"/>
      <c r="I312" s="24">
        <f t="shared" si="56"/>
        <v>0</v>
      </c>
      <c r="J312" s="720"/>
      <c r="K312" s="24">
        <f t="shared" si="57"/>
        <v>0.05</v>
      </c>
      <c r="L312" s="720"/>
      <c r="M312" s="24">
        <f t="shared" si="58"/>
        <v>2</v>
      </c>
      <c r="N312" s="720"/>
      <c r="O312" s="24">
        <f t="shared" si="59"/>
        <v>0</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v>
      </c>
      <c r="H313" s="720"/>
      <c r="I313" s="24">
        <f t="shared" si="56"/>
        <v>0</v>
      </c>
      <c r="J313" s="720"/>
      <c r="K313" s="24">
        <f t="shared" si="57"/>
        <v>0.05</v>
      </c>
      <c r="L313" s="720"/>
      <c r="M313" s="24">
        <f t="shared" si="58"/>
        <v>2</v>
      </c>
      <c r="N313" s="720"/>
      <c r="O313" s="24">
        <f t="shared" si="59"/>
        <v>0</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v>
      </c>
      <c r="H314" s="720"/>
      <c r="I314" s="24">
        <f t="shared" si="56"/>
        <v>0</v>
      </c>
      <c r="J314" s="720"/>
      <c r="K314" s="24">
        <f t="shared" si="57"/>
        <v>0.05</v>
      </c>
      <c r="L314" s="720"/>
      <c r="M314" s="24">
        <f t="shared" si="58"/>
        <v>2</v>
      </c>
      <c r="N314" s="720"/>
      <c r="O314" s="24">
        <f t="shared" si="59"/>
        <v>0</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v>
      </c>
      <c r="H315" s="720"/>
      <c r="I315" s="24">
        <f t="shared" si="56"/>
        <v>0</v>
      </c>
      <c r="J315" s="720"/>
      <c r="K315" s="24">
        <f t="shared" si="57"/>
        <v>0.05</v>
      </c>
      <c r="L315" s="720"/>
      <c r="M315" s="24">
        <f t="shared" si="58"/>
        <v>2</v>
      </c>
      <c r="N315" s="720"/>
      <c r="O315" s="24">
        <f t="shared" si="59"/>
        <v>0</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v>
      </c>
      <c r="H316" s="720"/>
      <c r="I316" s="24">
        <f t="shared" si="56"/>
        <v>0</v>
      </c>
      <c r="J316" s="720"/>
      <c r="K316" s="24">
        <f t="shared" si="57"/>
        <v>0.05</v>
      </c>
      <c r="L316" s="720"/>
      <c r="M316" s="24">
        <f t="shared" si="58"/>
        <v>2</v>
      </c>
      <c r="N316" s="720"/>
      <c r="O316" s="24">
        <f t="shared" si="59"/>
        <v>0</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v>
      </c>
      <c r="H317" s="720"/>
      <c r="I317" s="24">
        <f t="shared" si="56"/>
        <v>0</v>
      </c>
      <c r="J317" s="720"/>
      <c r="K317" s="24">
        <f t="shared" si="57"/>
        <v>0.05</v>
      </c>
      <c r="L317" s="720"/>
      <c r="M317" s="24">
        <f t="shared" si="58"/>
        <v>2</v>
      </c>
      <c r="N317" s="720"/>
      <c r="O317" s="24">
        <f t="shared" si="59"/>
        <v>0</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v>
      </c>
      <c r="H318" s="720"/>
      <c r="I318" s="24">
        <f t="shared" si="56"/>
        <v>0</v>
      </c>
      <c r="J318" s="720"/>
      <c r="K318" s="24">
        <f t="shared" si="57"/>
        <v>0.05</v>
      </c>
      <c r="L318" s="720"/>
      <c r="M318" s="24">
        <f t="shared" si="58"/>
        <v>2</v>
      </c>
      <c r="N318" s="720"/>
      <c r="O318" s="24">
        <f t="shared" si="59"/>
        <v>0</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v>
      </c>
      <c r="H319" s="720"/>
      <c r="I319" s="24">
        <f t="shared" si="56"/>
        <v>0</v>
      </c>
      <c r="J319" s="720"/>
      <c r="K319" s="24">
        <f t="shared" si="57"/>
        <v>0.05</v>
      </c>
      <c r="L319" s="720"/>
      <c r="M319" s="24">
        <f t="shared" si="58"/>
        <v>2</v>
      </c>
      <c r="N319" s="720"/>
      <c r="O319" s="24">
        <f t="shared" si="59"/>
        <v>0</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v>
      </c>
      <c r="H320" s="720"/>
      <c r="I320" s="24">
        <f t="shared" si="56"/>
        <v>0</v>
      </c>
      <c r="J320" s="720"/>
      <c r="K320" s="24">
        <f t="shared" si="57"/>
        <v>0.05</v>
      </c>
      <c r="L320" s="720"/>
      <c r="M320" s="24">
        <f t="shared" si="58"/>
        <v>2</v>
      </c>
      <c r="N320" s="720"/>
      <c r="O320" s="24">
        <f t="shared" si="59"/>
        <v>0</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v>
      </c>
      <c r="H321" s="720"/>
      <c r="I321" s="24">
        <f t="shared" si="56"/>
        <v>0</v>
      </c>
      <c r="J321" s="720"/>
      <c r="K321" s="24">
        <f t="shared" si="57"/>
        <v>0.05</v>
      </c>
      <c r="L321" s="720"/>
      <c r="M321" s="24">
        <f t="shared" si="58"/>
        <v>2</v>
      </c>
      <c r="N321" s="720"/>
      <c r="O321" s="24">
        <f t="shared" si="59"/>
        <v>0</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v>
      </c>
      <c r="H322" s="720"/>
      <c r="I322" s="24">
        <f t="shared" si="56"/>
        <v>0</v>
      </c>
      <c r="J322" s="720"/>
      <c r="K322" s="24">
        <f t="shared" si="57"/>
        <v>0.05</v>
      </c>
      <c r="L322" s="720"/>
      <c r="M322" s="24">
        <f t="shared" si="58"/>
        <v>2</v>
      </c>
      <c r="N322" s="720"/>
      <c r="O322" s="24">
        <f t="shared" si="59"/>
        <v>0</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v>
      </c>
      <c r="H323" s="720"/>
      <c r="I323" s="24">
        <f t="shared" si="56"/>
        <v>0</v>
      </c>
      <c r="J323" s="720"/>
      <c r="K323" s="24">
        <f t="shared" si="57"/>
        <v>0.05</v>
      </c>
      <c r="L323" s="720"/>
      <c r="M323" s="24">
        <f t="shared" si="58"/>
        <v>2</v>
      </c>
      <c r="N323" s="720"/>
      <c r="O323" s="24">
        <f t="shared" si="59"/>
        <v>0</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v>
      </c>
      <c r="H324" s="720"/>
      <c r="I324" s="24">
        <f t="shared" si="56"/>
        <v>0</v>
      </c>
      <c r="J324" s="720"/>
      <c r="K324" s="24">
        <f t="shared" si="57"/>
        <v>0.05</v>
      </c>
      <c r="L324" s="720"/>
      <c r="M324" s="24">
        <f t="shared" si="58"/>
        <v>2</v>
      </c>
      <c r="N324" s="720"/>
      <c r="O324" s="24">
        <f t="shared" si="59"/>
        <v>0</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v>
      </c>
      <c r="H325" s="720"/>
      <c r="I325" s="24">
        <f t="shared" si="56"/>
        <v>0</v>
      </c>
      <c r="J325" s="720"/>
      <c r="K325" s="24">
        <f t="shared" si="57"/>
        <v>0.05</v>
      </c>
      <c r="L325" s="720"/>
      <c r="M325" s="24">
        <f t="shared" si="58"/>
        <v>2</v>
      </c>
      <c r="N325" s="720"/>
      <c r="O325" s="24">
        <f t="shared" si="59"/>
        <v>0</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v>
      </c>
      <c r="H326" s="720"/>
      <c r="I326" s="24">
        <f t="shared" si="56"/>
        <v>0</v>
      </c>
      <c r="J326" s="720"/>
      <c r="K326" s="24">
        <f t="shared" si="57"/>
        <v>0.05</v>
      </c>
      <c r="L326" s="720"/>
      <c r="M326" s="24">
        <f t="shared" si="58"/>
        <v>2</v>
      </c>
      <c r="N326" s="720"/>
      <c r="O326" s="24">
        <f t="shared" si="59"/>
        <v>0</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v>
      </c>
      <c r="H327" s="720"/>
      <c r="I327" s="24">
        <f t="shared" si="56"/>
        <v>0</v>
      </c>
      <c r="J327" s="720"/>
      <c r="K327" s="24">
        <f t="shared" si="57"/>
        <v>0.05</v>
      </c>
      <c r="L327" s="720"/>
      <c r="M327" s="24">
        <f t="shared" si="58"/>
        <v>2</v>
      </c>
      <c r="N327" s="720"/>
      <c r="O327" s="24">
        <f t="shared" si="59"/>
        <v>0</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v>
      </c>
      <c r="H328" s="720"/>
      <c r="I328" s="24">
        <f t="shared" si="56"/>
        <v>0</v>
      </c>
      <c r="J328" s="720"/>
      <c r="K328" s="24">
        <f t="shared" si="57"/>
        <v>0.05</v>
      </c>
      <c r="L328" s="720"/>
      <c r="M328" s="24">
        <f t="shared" si="58"/>
        <v>2</v>
      </c>
      <c r="N328" s="720"/>
      <c r="O328" s="24">
        <f t="shared" si="59"/>
        <v>0</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v>
      </c>
      <c r="H329" s="720"/>
      <c r="I329" s="24">
        <f t="shared" si="56"/>
        <v>0</v>
      </c>
      <c r="J329" s="720"/>
      <c r="K329" s="24">
        <f t="shared" si="57"/>
        <v>0.05</v>
      </c>
      <c r="L329" s="720"/>
      <c r="M329" s="24">
        <f t="shared" si="58"/>
        <v>2</v>
      </c>
      <c r="N329" s="720"/>
      <c r="O329" s="24">
        <f t="shared" si="59"/>
        <v>0</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v>
      </c>
      <c r="H330" s="720"/>
      <c r="I330" s="24">
        <f t="shared" si="56"/>
        <v>0</v>
      </c>
      <c r="J330" s="720"/>
      <c r="K330" s="24">
        <f t="shared" si="57"/>
        <v>0.05</v>
      </c>
      <c r="L330" s="720"/>
      <c r="M330" s="24">
        <f t="shared" si="58"/>
        <v>2</v>
      </c>
      <c r="N330" s="720"/>
      <c r="O330" s="24">
        <f t="shared" si="59"/>
        <v>0</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v>
      </c>
      <c r="H331" s="720"/>
      <c r="I331" s="24">
        <f t="shared" si="56"/>
        <v>0</v>
      </c>
      <c r="J331" s="720"/>
      <c r="K331" s="24">
        <f t="shared" si="57"/>
        <v>0.05</v>
      </c>
      <c r="L331" s="720"/>
      <c r="M331" s="24">
        <f t="shared" si="58"/>
        <v>2</v>
      </c>
      <c r="N331" s="720"/>
      <c r="O331" s="24">
        <f t="shared" si="59"/>
        <v>0</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v>
      </c>
      <c r="H332" s="720"/>
      <c r="I332" s="24">
        <f t="shared" si="56"/>
        <v>0</v>
      </c>
      <c r="J332" s="720"/>
      <c r="K332" s="24">
        <f t="shared" si="57"/>
        <v>0.05</v>
      </c>
      <c r="L332" s="720"/>
      <c r="M332" s="24">
        <f t="shared" si="58"/>
        <v>2</v>
      </c>
      <c r="N332" s="720"/>
      <c r="O332" s="24">
        <f t="shared" si="59"/>
        <v>0</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v>
      </c>
      <c r="H333" s="720"/>
      <c r="I333" s="24">
        <f t="shared" si="56"/>
        <v>0</v>
      </c>
      <c r="J333" s="720"/>
      <c r="K333" s="24">
        <f t="shared" si="57"/>
        <v>0.05</v>
      </c>
      <c r="L333" s="720"/>
      <c r="M333" s="24">
        <f t="shared" si="58"/>
        <v>2</v>
      </c>
      <c r="N333" s="720"/>
      <c r="O333" s="24">
        <f t="shared" si="59"/>
        <v>0</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v>
      </c>
      <c r="H334" s="720"/>
      <c r="I334" s="24">
        <f t="shared" si="56"/>
        <v>0</v>
      </c>
      <c r="J334" s="720"/>
      <c r="K334" s="24">
        <f t="shared" si="57"/>
        <v>0.05</v>
      </c>
      <c r="L334" s="720"/>
      <c r="M334" s="24">
        <f t="shared" si="58"/>
        <v>2</v>
      </c>
      <c r="N334" s="720"/>
      <c r="O334" s="24">
        <f t="shared" si="59"/>
        <v>0</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v>
      </c>
      <c r="H335" s="720"/>
      <c r="I335" s="24">
        <f t="shared" si="56"/>
        <v>0</v>
      </c>
      <c r="J335" s="720"/>
      <c r="K335" s="24">
        <f t="shared" si="57"/>
        <v>0.05</v>
      </c>
      <c r="L335" s="720"/>
      <c r="M335" s="24">
        <f t="shared" si="58"/>
        <v>2</v>
      </c>
      <c r="N335" s="720"/>
      <c r="O335" s="24">
        <f t="shared" si="59"/>
        <v>0</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v>
      </c>
      <c r="H336" s="720"/>
      <c r="I336" s="24">
        <f t="shared" si="56"/>
        <v>0</v>
      </c>
      <c r="J336" s="720"/>
      <c r="K336" s="24">
        <f t="shared" si="57"/>
        <v>0.05</v>
      </c>
      <c r="L336" s="720"/>
      <c r="M336" s="24">
        <f t="shared" si="58"/>
        <v>2</v>
      </c>
      <c r="N336" s="720"/>
      <c r="O336" s="24">
        <f t="shared" si="59"/>
        <v>0</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v>
      </c>
      <c r="H337" s="720"/>
      <c r="I337" s="24">
        <f t="shared" si="56"/>
        <v>0</v>
      </c>
      <c r="J337" s="720"/>
      <c r="K337" s="24">
        <f t="shared" si="57"/>
        <v>0.05</v>
      </c>
      <c r="L337" s="720"/>
      <c r="M337" s="24">
        <f t="shared" si="58"/>
        <v>2</v>
      </c>
      <c r="N337" s="720"/>
      <c r="O337" s="24">
        <f t="shared" si="59"/>
        <v>0</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v>
      </c>
      <c r="H338" s="720"/>
      <c r="I338" s="24">
        <f t="shared" si="56"/>
        <v>0</v>
      </c>
      <c r="J338" s="720"/>
      <c r="K338" s="24">
        <f t="shared" si="57"/>
        <v>0.05</v>
      </c>
      <c r="L338" s="720"/>
      <c r="M338" s="24">
        <f t="shared" si="58"/>
        <v>2</v>
      </c>
      <c r="N338" s="720"/>
      <c r="O338" s="24">
        <f t="shared" si="59"/>
        <v>0</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v>
      </c>
      <c r="H339" s="720"/>
      <c r="I339" s="24">
        <f t="shared" si="56"/>
        <v>0</v>
      </c>
      <c r="J339" s="720"/>
      <c r="K339" s="24">
        <f t="shared" si="57"/>
        <v>0.05</v>
      </c>
      <c r="L339" s="720"/>
      <c r="M339" s="24">
        <f t="shared" si="58"/>
        <v>2</v>
      </c>
      <c r="N339" s="720"/>
      <c r="O339" s="24">
        <f t="shared" si="59"/>
        <v>0</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v>
      </c>
      <c r="H340" s="720"/>
      <c r="I340" s="24">
        <f t="shared" si="56"/>
        <v>0</v>
      </c>
      <c r="J340" s="720"/>
      <c r="K340" s="24">
        <f t="shared" si="57"/>
        <v>0.05</v>
      </c>
      <c r="L340" s="720"/>
      <c r="M340" s="24">
        <f t="shared" si="58"/>
        <v>2</v>
      </c>
      <c r="N340" s="720"/>
      <c r="O340" s="24">
        <f t="shared" si="59"/>
        <v>0</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v>
      </c>
      <c r="H341" s="720"/>
      <c r="I341" s="24">
        <f t="shared" si="56"/>
        <v>0</v>
      </c>
      <c r="J341" s="720"/>
      <c r="K341" s="24">
        <f t="shared" si="57"/>
        <v>0.05</v>
      </c>
      <c r="L341" s="720"/>
      <c r="M341" s="24">
        <f t="shared" si="58"/>
        <v>2</v>
      </c>
      <c r="N341" s="720"/>
      <c r="O341" s="24">
        <f t="shared" si="59"/>
        <v>0</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v>
      </c>
      <c r="H342" s="720"/>
      <c r="I342" s="24">
        <f t="shared" si="56"/>
        <v>0</v>
      </c>
      <c r="J342" s="720"/>
      <c r="K342" s="24">
        <f t="shared" si="57"/>
        <v>0.05</v>
      </c>
      <c r="L342" s="720"/>
      <c r="M342" s="24">
        <f t="shared" si="58"/>
        <v>2</v>
      </c>
      <c r="N342" s="720"/>
      <c r="O342" s="24">
        <f t="shared" si="59"/>
        <v>0</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v>
      </c>
      <c r="H343" s="720"/>
      <c r="I343" s="24">
        <f t="shared" si="56"/>
        <v>0</v>
      </c>
      <c r="J343" s="720"/>
      <c r="K343" s="24">
        <f t="shared" si="57"/>
        <v>0.05</v>
      </c>
      <c r="L343" s="720"/>
      <c r="M343" s="24">
        <f t="shared" si="58"/>
        <v>2</v>
      </c>
      <c r="N343" s="720"/>
      <c r="O343" s="24">
        <f t="shared" si="59"/>
        <v>0</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v>
      </c>
      <c r="H344" s="720"/>
      <c r="I344" s="24">
        <f t="shared" si="56"/>
        <v>0</v>
      </c>
      <c r="J344" s="720"/>
      <c r="K344" s="24">
        <f t="shared" si="57"/>
        <v>0.05</v>
      </c>
      <c r="L344" s="720"/>
      <c r="M344" s="24">
        <f t="shared" si="58"/>
        <v>2</v>
      </c>
      <c r="N344" s="720"/>
      <c r="O344" s="24">
        <f t="shared" si="59"/>
        <v>0</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v>
      </c>
      <c r="H345" s="720"/>
      <c r="I345" s="24">
        <f t="shared" si="56"/>
        <v>0</v>
      </c>
      <c r="J345" s="720"/>
      <c r="K345" s="24">
        <f t="shared" si="57"/>
        <v>0.05</v>
      </c>
      <c r="L345" s="720"/>
      <c r="M345" s="24">
        <f t="shared" si="58"/>
        <v>2</v>
      </c>
      <c r="N345" s="720"/>
      <c r="O345" s="24">
        <f t="shared" si="59"/>
        <v>0</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v>
      </c>
      <c r="H346" s="720"/>
      <c r="I346" s="24">
        <f t="shared" ref="I346:I409" si="67">(SUMIF($9:$9,H346,$10:$10)-SUMIF($9:$9,$H$24,$10:$10)+100)/100</f>
        <v>0</v>
      </c>
      <c r="J346" s="720"/>
      <c r="K346" s="24">
        <f t="shared" ref="K346:K409" si="68">(SUMIF($11:$11,J346,$12:$12)-SUMIF($11:$11,$J$24,$12:$12)+100)/100</f>
        <v>0.05</v>
      </c>
      <c r="L346" s="720"/>
      <c r="M346" s="24">
        <f t="shared" ref="M346:M409" si="69">(SUMIF($13:$13,L346,$14:$14)-SUMIF($13:$13,$L$24,$14:$14)+100)/100</f>
        <v>2</v>
      </c>
      <c r="N346" s="720"/>
      <c r="O346" s="24">
        <f t="shared" ref="O346:O409" si="70">(SUMIF($15:$15,N346,$16:$16)-SUMIF($15:$15,$N$24,$16:$16)+100)/100</f>
        <v>0</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v>
      </c>
      <c r="H347" s="720"/>
      <c r="I347" s="24">
        <f t="shared" si="67"/>
        <v>0</v>
      </c>
      <c r="J347" s="720"/>
      <c r="K347" s="24">
        <f t="shared" si="68"/>
        <v>0.05</v>
      </c>
      <c r="L347" s="720"/>
      <c r="M347" s="24">
        <f t="shared" si="69"/>
        <v>2</v>
      </c>
      <c r="N347" s="720"/>
      <c r="O347" s="24">
        <f t="shared" si="70"/>
        <v>0</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v>
      </c>
      <c r="H348" s="720"/>
      <c r="I348" s="24">
        <f t="shared" si="67"/>
        <v>0</v>
      </c>
      <c r="J348" s="720"/>
      <c r="K348" s="24">
        <f t="shared" si="68"/>
        <v>0.05</v>
      </c>
      <c r="L348" s="720"/>
      <c r="M348" s="24">
        <f t="shared" si="69"/>
        <v>2</v>
      </c>
      <c r="N348" s="720"/>
      <c r="O348" s="24">
        <f t="shared" si="70"/>
        <v>0</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v>
      </c>
      <c r="H349" s="720"/>
      <c r="I349" s="24">
        <f t="shared" si="67"/>
        <v>0</v>
      </c>
      <c r="J349" s="720"/>
      <c r="K349" s="24">
        <f t="shared" si="68"/>
        <v>0.05</v>
      </c>
      <c r="L349" s="720"/>
      <c r="M349" s="24">
        <f t="shared" si="69"/>
        <v>2</v>
      </c>
      <c r="N349" s="720"/>
      <c r="O349" s="24">
        <f t="shared" si="70"/>
        <v>0</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v>
      </c>
      <c r="H350" s="720"/>
      <c r="I350" s="24">
        <f t="shared" si="67"/>
        <v>0</v>
      </c>
      <c r="J350" s="720"/>
      <c r="K350" s="24">
        <f t="shared" si="68"/>
        <v>0.05</v>
      </c>
      <c r="L350" s="720"/>
      <c r="M350" s="24">
        <f t="shared" si="69"/>
        <v>2</v>
      </c>
      <c r="N350" s="720"/>
      <c r="O350" s="24">
        <f t="shared" si="70"/>
        <v>0</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v>
      </c>
      <c r="H351" s="720"/>
      <c r="I351" s="24">
        <f t="shared" si="67"/>
        <v>0</v>
      </c>
      <c r="J351" s="720"/>
      <c r="K351" s="24">
        <f t="shared" si="68"/>
        <v>0.05</v>
      </c>
      <c r="L351" s="720"/>
      <c r="M351" s="24">
        <f t="shared" si="69"/>
        <v>2</v>
      </c>
      <c r="N351" s="720"/>
      <c r="O351" s="24">
        <f t="shared" si="70"/>
        <v>0</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v>
      </c>
      <c r="H352" s="720"/>
      <c r="I352" s="24">
        <f t="shared" si="67"/>
        <v>0</v>
      </c>
      <c r="J352" s="720"/>
      <c r="K352" s="24">
        <f t="shared" si="68"/>
        <v>0.05</v>
      </c>
      <c r="L352" s="720"/>
      <c r="M352" s="24">
        <f t="shared" si="69"/>
        <v>2</v>
      </c>
      <c r="N352" s="720"/>
      <c r="O352" s="24">
        <f t="shared" si="70"/>
        <v>0</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v>
      </c>
      <c r="H353" s="720"/>
      <c r="I353" s="24">
        <f t="shared" si="67"/>
        <v>0</v>
      </c>
      <c r="J353" s="720"/>
      <c r="K353" s="24">
        <f t="shared" si="68"/>
        <v>0.05</v>
      </c>
      <c r="L353" s="720"/>
      <c r="M353" s="24">
        <f t="shared" si="69"/>
        <v>2</v>
      </c>
      <c r="N353" s="720"/>
      <c r="O353" s="24">
        <f t="shared" si="70"/>
        <v>0</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v>
      </c>
      <c r="H354" s="720"/>
      <c r="I354" s="24">
        <f t="shared" si="67"/>
        <v>0</v>
      </c>
      <c r="J354" s="720"/>
      <c r="K354" s="24">
        <f t="shared" si="68"/>
        <v>0.05</v>
      </c>
      <c r="L354" s="720"/>
      <c r="M354" s="24">
        <f t="shared" si="69"/>
        <v>2</v>
      </c>
      <c r="N354" s="720"/>
      <c r="O354" s="24">
        <f t="shared" si="70"/>
        <v>0</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v>
      </c>
      <c r="H355" s="720"/>
      <c r="I355" s="24">
        <f t="shared" si="67"/>
        <v>0</v>
      </c>
      <c r="J355" s="720"/>
      <c r="K355" s="24">
        <f t="shared" si="68"/>
        <v>0.05</v>
      </c>
      <c r="L355" s="720"/>
      <c r="M355" s="24">
        <f t="shared" si="69"/>
        <v>2</v>
      </c>
      <c r="N355" s="720"/>
      <c r="O355" s="24">
        <f t="shared" si="70"/>
        <v>0</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v>
      </c>
      <c r="H356" s="720"/>
      <c r="I356" s="24">
        <f t="shared" si="67"/>
        <v>0</v>
      </c>
      <c r="J356" s="720"/>
      <c r="K356" s="24">
        <f t="shared" si="68"/>
        <v>0.05</v>
      </c>
      <c r="L356" s="720"/>
      <c r="M356" s="24">
        <f t="shared" si="69"/>
        <v>2</v>
      </c>
      <c r="N356" s="720"/>
      <c r="O356" s="24">
        <f t="shared" si="70"/>
        <v>0</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v>
      </c>
      <c r="H357" s="720"/>
      <c r="I357" s="24">
        <f t="shared" si="67"/>
        <v>0</v>
      </c>
      <c r="J357" s="720"/>
      <c r="K357" s="24">
        <f t="shared" si="68"/>
        <v>0.05</v>
      </c>
      <c r="L357" s="720"/>
      <c r="M357" s="24">
        <f t="shared" si="69"/>
        <v>2</v>
      </c>
      <c r="N357" s="720"/>
      <c r="O357" s="24">
        <f t="shared" si="70"/>
        <v>0</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v>
      </c>
      <c r="H358" s="720"/>
      <c r="I358" s="24">
        <f t="shared" si="67"/>
        <v>0</v>
      </c>
      <c r="J358" s="720"/>
      <c r="K358" s="24">
        <f t="shared" si="68"/>
        <v>0.05</v>
      </c>
      <c r="L358" s="720"/>
      <c r="M358" s="24">
        <f t="shared" si="69"/>
        <v>2</v>
      </c>
      <c r="N358" s="720"/>
      <c r="O358" s="24">
        <f t="shared" si="70"/>
        <v>0</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v>
      </c>
      <c r="H359" s="720"/>
      <c r="I359" s="24">
        <f t="shared" si="67"/>
        <v>0</v>
      </c>
      <c r="J359" s="720"/>
      <c r="K359" s="24">
        <f t="shared" si="68"/>
        <v>0.05</v>
      </c>
      <c r="L359" s="720"/>
      <c r="M359" s="24">
        <f t="shared" si="69"/>
        <v>2</v>
      </c>
      <c r="N359" s="720"/>
      <c r="O359" s="24">
        <f t="shared" si="70"/>
        <v>0</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v>
      </c>
      <c r="H360" s="720"/>
      <c r="I360" s="24">
        <f t="shared" si="67"/>
        <v>0</v>
      </c>
      <c r="J360" s="720"/>
      <c r="K360" s="24">
        <f t="shared" si="68"/>
        <v>0.05</v>
      </c>
      <c r="L360" s="720"/>
      <c r="M360" s="24">
        <f t="shared" si="69"/>
        <v>2</v>
      </c>
      <c r="N360" s="720"/>
      <c r="O360" s="24">
        <f t="shared" si="70"/>
        <v>0</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v>
      </c>
      <c r="H361" s="720"/>
      <c r="I361" s="24">
        <f t="shared" si="67"/>
        <v>0</v>
      </c>
      <c r="J361" s="720"/>
      <c r="K361" s="24">
        <f t="shared" si="68"/>
        <v>0.05</v>
      </c>
      <c r="L361" s="720"/>
      <c r="M361" s="24">
        <f t="shared" si="69"/>
        <v>2</v>
      </c>
      <c r="N361" s="720"/>
      <c r="O361" s="24">
        <f t="shared" si="70"/>
        <v>0</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v>
      </c>
      <c r="H362" s="720"/>
      <c r="I362" s="24">
        <f t="shared" si="67"/>
        <v>0</v>
      </c>
      <c r="J362" s="720"/>
      <c r="K362" s="24">
        <f t="shared" si="68"/>
        <v>0.05</v>
      </c>
      <c r="L362" s="720"/>
      <c r="M362" s="24">
        <f t="shared" si="69"/>
        <v>2</v>
      </c>
      <c r="N362" s="720"/>
      <c r="O362" s="24">
        <f t="shared" si="70"/>
        <v>0</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v>
      </c>
      <c r="H363" s="720"/>
      <c r="I363" s="24">
        <f t="shared" si="67"/>
        <v>0</v>
      </c>
      <c r="J363" s="720"/>
      <c r="K363" s="24">
        <f t="shared" si="68"/>
        <v>0.05</v>
      </c>
      <c r="L363" s="720"/>
      <c r="M363" s="24">
        <f t="shared" si="69"/>
        <v>2</v>
      </c>
      <c r="N363" s="720"/>
      <c r="O363" s="24">
        <f t="shared" si="70"/>
        <v>0</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v>
      </c>
      <c r="H364" s="720"/>
      <c r="I364" s="24">
        <f t="shared" si="67"/>
        <v>0</v>
      </c>
      <c r="J364" s="720"/>
      <c r="K364" s="24">
        <f t="shared" si="68"/>
        <v>0.05</v>
      </c>
      <c r="L364" s="720"/>
      <c r="M364" s="24">
        <f t="shared" si="69"/>
        <v>2</v>
      </c>
      <c r="N364" s="720"/>
      <c r="O364" s="24">
        <f t="shared" si="70"/>
        <v>0</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v>
      </c>
      <c r="H365" s="720"/>
      <c r="I365" s="24">
        <f t="shared" si="67"/>
        <v>0</v>
      </c>
      <c r="J365" s="720"/>
      <c r="K365" s="24">
        <f t="shared" si="68"/>
        <v>0.05</v>
      </c>
      <c r="L365" s="720"/>
      <c r="M365" s="24">
        <f t="shared" si="69"/>
        <v>2</v>
      </c>
      <c r="N365" s="720"/>
      <c r="O365" s="24">
        <f t="shared" si="70"/>
        <v>0</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v>
      </c>
      <c r="H366" s="720"/>
      <c r="I366" s="24">
        <f t="shared" si="67"/>
        <v>0</v>
      </c>
      <c r="J366" s="720"/>
      <c r="K366" s="24">
        <f t="shared" si="68"/>
        <v>0.05</v>
      </c>
      <c r="L366" s="720"/>
      <c r="M366" s="24">
        <f t="shared" si="69"/>
        <v>2</v>
      </c>
      <c r="N366" s="720"/>
      <c r="O366" s="24">
        <f t="shared" si="70"/>
        <v>0</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v>
      </c>
      <c r="H367" s="720"/>
      <c r="I367" s="24">
        <f t="shared" si="67"/>
        <v>0</v>
      </c>
      <c r="J367" s="720"/>
      <c r="K367" s="24">
        <f t="shared" si="68"/>
        <v>0.05</v>
      </c>
      <c r="L367" s="720"/>
      <c r="M367" s="24">
        <f t="shared" si="69"/>
        <v>2</v>
      </c>
      <c r="N367" s="720"/>
      <c r="O367" s="24">
        <f t="shared" si="70"/>
        <v>0</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v>
      </c>
      <c r="H368" s="720"/>
      <c r="I368" s="24">
        <f t="shared" si="67"/>
        <v>0</v>
      </c>
      <c r="J368" s="720"/>
      <c r="K368" s="24">
        <f t="shared" si="68"/>
        <v>0.05</v>
      </c>
      <c r="L368" s="720"/>
      <c r="M368" s="24">
        <f t="shared" si="69"/>
        <v>2</v>
      </c>
      <c r="N368" s="720"/>
      <c r="O368" s="24">
        <f t="shared" si="70"/>
        <v>0</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v>
      </c>
      <c r="H369" s="720"/>
      <c r="I369" s="24">
        <f t="shared" si="67"/>
        <v>0</v>
      </c>
      <c r="J369" s="720"/>
      <c r="K369" s="24">
        <f t="shared" si="68"/>
        <v>0.05</v>
      </c>
      <c r="L369" s="720"/>
      <c r="M369" s="24">
        <f t="shared" si="69"/>
        <v>2</v>
      </c>
      <c r="N369" s="720"/>
      <c r="O369" s="24">
        <f t="shared" si="70"/>
        <v>0</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v>
      </c>
      <c r="H370" s="720"/>
      <c r="I370" s="24">
        <f t="shared" si="67"/>
        <v>0</v>
      </c>
      <c r="J370" s="720"/>
      <c r="K370" s="24">
        <f t="shared" si="68"/>
        <v>0.05</v>
      </c>
      <c r="L370" s="720"/>
      <c r="M370" s="24">
        <f t="shared" si="69"/>
        <v>2</v>
      </c>
      <c r="N370" s="720"/>
      <c r="O370" s="24">
        <f t="shared" si="70"/>
        <v>0</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v>
      </c>
      <c r="H371" s="720"/>
      <c r="I371" s="24">
        <f t="shared" si="67"/>
        <v>0</v>
      </c>
      <c r="J371" s="720"/>
      <c r="K371" s="24">
        <f t="shared" si="68"/>
        <v>0.05</v>
      </c>
      <c r="L371" s="720"/>
      <c r="M371" s="24">
        <f t="shared" si="69"/>
        <v>2</v>
      </c>
      <c r="N371" s="720"/>
      <c r="O371" s="24">
        <f t="shared" si="70"/>
        <v>0</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v>
      </c>
      <c r="H372" s="720"/>
      <c r="I372" s="24">
        <f t="shared" si="67"/>
        <v>0</v>
      </c>
      <c r="J372" s="720"/>
      <c r="K372" s="24">
        <f t="shared" si="68"/>
        <v>0.05</v>
      </c>
      <c r="L372" s="720"/>
      <c r="M372" s="24">
        <f t="shared" si="69"/>
        <v>2</v>
      </c>
      <c r="N372" s="720"/>
      <c r="O372" s="24">
        <f t="shared" si="70"/>
        <v>0</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v>
      </c>
      <c r="H373" s="720"/>
      <c r="I373" s="24">
        <f t="shared" si="67"/>
        <v>0</v>
      </c>
      <c r="J373" s="720"/>
      <c r="K373" s="24">
        <f t="shared" si="68"/>
        <v>0.05</v>
      </c>
      <c r="L373" s="720"/>
      <c r="M373" s="24">
        <f t="shared" si="69"/>
        <v>2</v>
      </c>
      <c r="N373" s="720"/>
      <c r="O373" s="24">
        <f t="shared" si="70"/>
        <v>0</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v>
      </c>
      <c r="H374" s="720"/>
      <c r="I374" s="24">
        <f t="shared" si="67"/>
        <v>0</v>
      </c>
      <c r="J374" s="720"/>
      <c r="K374" s="24">
        <f t="shared" si="68"/>
        <v>0.05</v>
      </c>
      <c r="L374" s="720"/>
      <c r="M374" s="24">
        <f t="shared" si="69"/>
        <v>2</v>
      </c>
      <c r="N374" s="720"/>
      <c r="O374" s="24">
        <f t="shared" si="70"/>
        <v>0</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v>
      </c>
      <c r="H375" s="720"/>
      <c r="I375" s="24">
        <f t="shared" si="67"/>
        <v>0</v>
      </c>
      <c r="J375" s="720"/>
      <c r="K375" s="24">
        <f t="shared" si="68"/>
        <v>0.05</v>
      </c>
      <c r="L375" s="720"/>
      <c r="M375" s="24">
        <f t="shared" si="69"/>
        <v>2</v>
      </c>
      <c r="N375" s="720"/>
      <c r="O375" s="24">
        <f t="shared" si="70"/>
        <v>0</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v>
      </c>
      <c r="H376" s="720"/>
      <c r="I376" s="24">
        <f t="shared" si="67"/>
        <v>0</v>
      </c>
      <c r="J376" s="720"/>
      <c r="K376" s="24">
        <f t="shared" si="68"/>
        <v>0.05</v>
      </c>
      <c r="L376" s="720"/>
      <c r="M376" s="24">
        <f t="shared" si="69"/>
        <v>2</v>
      </c>
      <c r="N376" s="720"/>
      <c r="O376" s="24">
        <f t="shared" si="70"/>
        <v>0</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v>
      </c>
      <c r="H377" s="720"/>
      <c r="I377" s="24">
        <f t="shared" si="67"/>
        <v>0</v>
      </c>
      <c r="J377" s="720"/>
      <c r="K377" s="24">
        <f t="shared" si="68"/>
        <v>0.05</v>
      </c>
      <c r="L377" s="720"/>
      <c r="M377" s="24">
        <f t="shared" si="69"/>
        <v>2</v>
      </c>
      <c r="N377" s="720"/>
      <c r="O377" s="24">
        <f t="shared" si="70"/>
        <v>0</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v>
      </c>
      <c r="H378" s="720"/>
      <c r="I378" s="24">
        <f t="shared" si="67"/>
        <v>0</v>
      </c>
      <c r="J378" s="720"/>
      <c r="K378" s="24">
        <f t="shared" si="68"/>
        <v>0.05</v>
      </c>
      <c r="L378" s="720"/>
      <c r="M378" s="24">
        <f t="shared" si="69"/>
        <v>2</v>
      </c>
      <c r="N378" s="720"/>
      <c r="O378" s="24">
        <f t="shared" si="70"/>
        <v>0</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v>
      </c>
      <c r="H379" s="720"/>
      <c r="I379" s="24">
        <f t="shared" si="67"/>
        <v>0</v>
      </c>
      <c r="J379" s="720"/>
      <c r="K379" s="24">
        <f t="shared" si="68"/>
        <v>0.05</v>
      </c>
      <c r="L379" s="720"/>
      <c r="M379" s="24">
        <f t="shared" si="69"/>
        <v>2</v>
      </c>
      <c r="N379" s="720"/>
      <c r="O379" s="24">
        <f t="shared" si="70"/>
        <v>0</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v>
      </c>
      <c r="H380" s="720"/>
      <c r="I380" s="24">
        <f t="shared" si="67"/>
        <v>0</v>
      </c>
      <c r="J380" s="720"/>
      <c r="K380" s="24">
        <f t="shared" si="68"/>
        <v>0.05</v>
      </c>
      <c r="L380" s="720"/>
      <c r="M380" s="24">
        <f t="shared" si="69"/>
        <v>2</v>
      </c>
      <c r="N380" s="720"/>
      <c r="O380" s="24">
        <f t="shared" si="70"/>
        <v>0</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v>
      </c>
      <c r="H381" s="720"/>
      <c r="I381" s="24">
        <f t="shared" si="67"/>
        <v>0</v>
      </c>
      <c r="J381" s="720"/>
      <c r="K381" s="24">
        <f t="shared" si="68"/>
        <v>0.05</v>
      </c>
      <c r="L381" s="720"/>
      <c r="M381" s="24">
        <f t="shared" si="69"/>
        <v>2</v>
      </c>
      <c r="N381" s="720"/>
      <c r="O381" s="24">
        <f t="shared" si="70"/>
        <v>0</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v>
      </c>
      <c r="H382" s="720"/>
      <c r="I382" s="24">
        <f t="shared" si="67"/>
        <v>0</v>
      </c>
      <c r="J382" s="720"/>
      <c r="K382" s="24">
        <f t="shared" si="68"/>
        <v>0.05</v>
      </c>
      <c r="L382" s="720"/>
      <c r="M382" s="24">
        <f t="shared" si="69"/>
        <v>2</v>
      </c>
      <c r="N382" s="720"/>
      <c r="O382" s="24">
        <f t="shared" si="70"/>
        <v>0</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v>
      </c>
      <c r="H383" s="720"/>
      <c r="I383" s="24">
        <f t="shared" si="67"/>
        <v>0</v>
      </c>
      <c r="J383" s="720"/>
      <c r="K383" s="24">
        <f t="shared" si="68"/>
        <v>0.05</v>
      </c>
      <c r="L383" s="720"/>
      <c r="M383" s="24">
        <f t="shared" si="69"/>
        <v>2</v>
      </c>
      <c r="N383" s="720"/>
      <c r="O383" s="24">
        <f t="shared" si="70"/>
        <v>0</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v>
      </c>
      <c r="H384" s="720"/>
      <c r="I384" s="24">
        <f t="shared" si="67"/>
        <v>0</v>
      </c>
      <c r="J384" s="720"/>
      <c r="K384" s="24">
        <f t="shared" si="68"/>
        <v>0.05</v>
      </c>
      <c r="L384" s="720"/>
      <c r="M384" s="24">
        <f t="shared" si="69"/>
        <v>2</v>
      </c>
      <c r="N384" s="720"/>
      <c r="O384" s="24">
        <f t="shared" si="70"/>
        <v>0</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v>
      </c>
      <c r="H385" s="720"/>
      <c r="I385" s="24">
        <f t="shared" si="67"/>
        <v>0</v>
      </c>
      <c r="J385" s="720"/>
      <c r="K385" s="24">
        <f t="shared" si="68"/>
        <v>0.05</v>
      </c>
      <c r="L385" s="720"/>
      <c r="M385" s="24">
        <f t="shared" si="69"/>
        <v>2</v>
      </c>
      <c r="N385" s="720"/>
      <c r="O385" s="24">
        <f t="shared" si="70"/>
        <v>0</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v>
      </c>
      <c r="H386" s="720"/>
      <c r="I386" s="24">
        <f t="shared" si="67"/>
        <v>0</v>
      </c>
      <c r="J386" s="720"/>
      <c r="K386" s="24">
        <f t="shared" si="68"/>
        <v>0.05</v>
      </c>
      <c r="L386" s="720"/>
      <c r="M386" s="24">
        <f t="shared" si="69"/>
        <v>2</v>
      </c>
      <c r="N386" s="720"/>
      <c r="O386" s="24">
        <f t="shared" si="70"/>
        <v>0</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v>
      </c>
      <c r="H387" s="720"/>
      <c r="I387" s="24">
        <f t="shared" si="67"/>
        <v>0</v>
      </c>
      <c r="J387" s="720"/>
      <c r="K387" s="24">
        <f t="shared" si="68"/>
        <v>0.05</v>
      </c>
      <c r="L387" s="720"/>
      <c r="M387" s="24">
        <f t="shared" si="69"/>
        <v>2</v>
      </c>
      <c r="N387" s="720"/>
      <c r="O387" s="24">
        <f t="shared" si="70"/>
        <v>0</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v>
      </c>
      <c r="H388" s="720"/>
      <c r="I388" s="24">
        <f t="shared" si="67"/>
        <v>0</v>
      </c>
      <c r="J388" s="720"/>
      <c r="K388" s="24">
        <f t="shared" si="68"/>
        <v>0.05</v>
      </c>
      <c r="L388" s="720"/>
      <c r="M388" s="24">
        <f t="shared" si="69"/>
        <v>2</v>
      </c>
      <c r="N388" s="720"/>
      <c r="O388" s="24">
        <f t="shared" si="70"/>
        <v>0</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v>
      </c>
      <c r="H389" s="720"/>
      <c r="I389" s="24">
        <f t="shared" si="67"/>
        <v>0</v>
      </c>
      <c r="J389" s="720"/>
      <c r="K389" s="24">
        <f t="shared" si="68"/>
        <v>0.05</v>
      </c>
      <c r="L389" s="720"/>
      <c r="M389" s="24">
        <f t="shared" si="69"/>
        <v>2</v>
      </c>
      <c r="N389" s="720"/>
      <c r="O389" s="24">
        <f t="shared" si="70"/>
        <v>0</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v>
      </c>
      <c r="H390" s="720"/>
      <c r="I390" s="24">
        <f t="shared" si="67"/>
        <v>0</v>
      </c>
      <c r="J390" s="720"/>
      <c r="K390" s="24">
        <f t="shared" si="68"/>
        <v>0.05</v>
      </c>
      <c r="L390" s="720"/>
      <c r="M390" s="24">
        <f t="shared" si="69"/>
        <v>2</v>
      </c>
      <c r="N390" s="720"/>
      <c r="O390" s="24">
        <f t="shared" si="70"/>
        <v>0</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v>
      </c>
      <c r="H391" s="720"/>
      <c r="I391" s="24">
        <f t="shared" si="67"/>
        <v>0</v>
      </c>
      <c r="J391" s="720"/>
      <c r="K391" s="24">
        <f t="shared" si="68"/>
        <v>0.05</v>
      </c>
      <c r="L391" s="720"/>
      <c r="M391" s="24">
        <f t="shared" si="69"/>
        <v>2</v>
      </c>
      <c r="N391" s="720"/>
      <c r="O391" s="24">
        <f t="shared" si="70"/>
        <v>0</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v>
      </c>
      <c r="H392" s="720"/>
      <c r="I392" s="24">
        <f t="shared" si="67"/>
        <v>0</v>
      </c>
      <c r="J392" s="720"/>
      <c r="K392" s="24">
        <f t="shared" si="68"/>
        <v>0.05</v>
      </c>
      <c r="L392" s="720"/>
      <c r="M392" s="24">
        <f t="shared" si="69"/>
        <v>2</v>
      </c>
      <c r="N392" s="720"/>
      <c r="O392" s="24">
        <f t="shared" si="70"/>
        <v>0</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v>
      </c>
      <c r="H393" s="720"/>
      <c r="I393" s="24">
        <f t="shared" si="67"/>
        <v>0</v>
      </c>
      <c r="J393" s="720"/>
      <c r="K393" s="24">
        <f t="shared" si="68"/>
        <v>0.05</v>
      </c>
      <c r="L393" s="720"/>
      <c r="M393" s="24">
        <f t="shared" si="69"/>
        <v>2</v>
      </c>
      <c r="N393" s="720"/>
      <c r="O393" s="24">
        <f t="shared" si="70"/>
        <v>0</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v>
      </c>
      <c r="H394" s="720"/>
      <c r="I394" s="24">
        <f t="shared" si="67"/>
        <v>0</v>
      </c>
      <c r="J394" s="720"/>
      <c r="K394" s="24">
        <f t="shared" si="68"/>
        <v>0.05</v>
      </c>
      <c r="L394" s="720"/>
      <c r="M394" s="24">
        <f t="shared" si="69"/>
        <v>2</v>
      </c>
      <c r="N394" s="720"/>
      <c r="O394" s="24">
        <f t="shared" si="70"/>
        <v>0</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v>
      </c>
      <c r="H395" s="720"/>
      <c r="I395" s="24">
        <f t="shared" si="67"/>
        <v>0</v>
      </c>
      <c r="J395" s="720"/>
      <c r="K395" s="24">
        <f t="shared" si="68"/>
        <v>0.05</v>
      </c>
      <c r="L395" s="720"/>
      <c r="M395" s="24">
        <f t="shared" si="69"/>
        <v>2</v>
      </c>
      <c r="N395" s="720"/>
      <c r="O395" s="24">
        <f t="shared" si="70"/>
        <v>0</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v>
      </c>
      <c r="H396" s="720"/>
      <c r="I396" s="24">
        <f t="shared" si="67"/>
        <v>0</v>
      </c>
      <c r="J396" s="720"/>
      <c r="K396" s="24">
        <f t="shared" si="68"/>
        <v>0.05</v>
      </c>
      <c r="L396" s="720"/>
      <c r="M396" s="24">
        <f t="shared" si="69"/>
        <v>2</v>
      </c>
      <c r="N396" s="720"/>
      <c r="O396" s="24">
        <f t="shared" si="70"/>
        <v>0</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v>
      </c>
      <c r="H397" s="720"/>
      <c r="I397" s="24">
        <f t="shared" si="67"/>
        <v>0</v>
      </c>
      <c r="J397" s="720"/>
      <c r="K397" s="24">
        <f t="shared" si="68"/>
        <v>0.05</v>
      </c>
      <c r="L397" s="720"/>
      <c r="M397" s="24">
        <f t="shared" si="69"/>
        <v>2</v>
      </c>
      <c r="N397" s="720"/>
      <c r="O397" s="24">
        <f t="shared" si="70"/>
        <v>0</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v>
      </c>
      <c r="H398" s="720"/>
      <c r="I398" s="24">
        <f t="shared" si="67"/>
        <v>0</v>
      </c>
      <c r="J398" s="720"/>
      <c r="K398" s="24">
        <f t="shared" si="68"/>
        <v>0.05</v>
      </c>
      <c r="L398" s="720"/>
      <c r="M398" s="24">
        <f t="shared" si="69"/>
        <v>2</v>
      </c>
      <c r="N398" s="720"/>
      <c r="O398" s="24">
        <f t="shared" si="70"/>
        <v>0</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v>
      </c>
      <c r="H399" s="720"/>
      <c r="I399" s="24">
        <f t="shared" si="67"/>
        <v>0</v>
      </c>
      <c r="J399" s="720"/>
      <c r="K399" s="24">
        <f t="shared" si="68"/>
        <v>0.05</v>
      </c>
      <c r="L399" s="720"/>
      <c r="M399" s="24">
        <f t="shared" si="69"/>
        <v>2</v>
      </c>
      <c r="N399" s="720"/>
      <c r="O399" s="24">
        <f t="shared" si="70"/>
        <v>0</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v>
      </c>
      <c r="H400" s="720"/>
      <c r="I400" s="24">
        <f t="shared" si="67"/>
        <v>0</v>
      </c>
      <c r="J400" s="720"/>
      <c r="K400" s="24">
        <f t="shared" si="68"/>
        <v>0.05</v>
      </c>
      <c r="L400" s="720"/>
      <c r="M400" s="24">
        <f t="shared" si="69"/>
        <v>2</v>
      </c>
      <c r="N400" s="720"/>
      <c r="O400" s="24">
        <f t="shared" si="70"/>
        <v>0</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v>
      </c>
      <c r="H401" s="720"/>
      <c r="I401" s="24">
        <f t="shared" si="67"/>
        <v>0</v>
      </c>
      <c r="J401" s="720"/>
      <c r="K401" s="24">
        <f t="shared" si="68"/>
        <v>0.05</v>
      </c>
      <c r="L401" s="720"/>
      <c r="M401" s="24">
        <f t="shared" si="69"/>
        <v>2</v>
      </c>
      <c r="N401" s="720"/>
      <c r="O401" s="24">
        <f t="shared" si="70"/>
        <v>0</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v>
      </c>
      <c r="H402" s="720"/>
      <c r="I402" s="24">
        <f t="shared" si="67"/>
        <v>0</v>
      </c>
      <c r="J402" s="720"/>
      <c r="K402" s="24">
        <f t="shared" si="68"/>
        <v>0.05</v>
      </c>
      <c r="L402" s="720"/>
      <c r="M402" s="24">
        <f t="shared" si="69"/>
        <v>2</v>
      </c>
      <c r="N402" s="720"/>
      <c r="O402" s="24">
        <f t="shared" si="70"/>
        <v>0</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v>
      </c>
      <c r="H403" s="720"/>
      <c r="I403" s="24">
        <f t="shared" si="67"/>
        <v>0</v>
      </c>
      <c r="J403" s="720"/>
      <c r="K403" s="24">
        <f t="shared" si="68"/>
        <v>0.05</v>
      </c>
      <c r="L403" s="720"/>
      <c r="M403" s="24">
        <f t="shared" si="69"/>
        <v>2</v>
      </c>
      <c r="N403" s="720"/>
      <c r="O403" s="24">
        <f t="shared" si="70"/>
        <v>0</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v>
      </c>
      <c r="H404" s="720"/>
      <c r="I404" s="24">
        <f t="shared" si="67"/>
        <v>0</v>
      </c>
      <c r="J404" s="720"/>
      <c r="K404" s="24">
        <f t="shared" si="68"/>
        <v>0.05</v>
      </c>
      <c r="L404" s="720"/>
      <c r="M404" s="24">
        <f t="shared" si="69"/>
        <v>2</v>
      </c>
      <c r="N404" s="720"/>
      <c r="O404" s="24">
        <f t="shared" si="70"/>
        <v>0</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v>
      </c>
      <c r="H405" s="720"/>
      <c r="I405" s="24">
        <f t="shared" si="67"/>
        <v>0</v>
      </c>
      <c r="J405" s="720"/>
      <c r="K405" s="24">
        <f t="shared" si="68"/>
        <v>0.05</v>
      </c>
      <c r="L405" s="720"/>
      <c r="M405" s="24">
        <f t="shared" si="69"/>
        <v>2</v>
      </c>
      <c r="N405" s="720"/>
      <c r="O405" s="24">
        <f t="shared" si="70"/>
        <v>0</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v>
      </c>
      <c r="H406" s="720"/>
      <c r="I406" s="24">
        <f t="shared" si="67"/>
        <v>0</v>
      </c>
      <c r="J406" s="720"/>
      <c r="K406" s="24">
        <f t="shared" si="68"/>
        <v>0.05</v>
      </c>
      <c r="L406" s="720"/>
      <c r="M406" s="24">
        <f t="shared" si="69"/>
        <v>2</v>
      </c>
      <c r="N406" s="720"/>
      <c r="O406" s="24">
        <f t="shared" si="70"/>
        <v>0</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v>
      </c>
      <c r="H407" s="720"/>
      <c r="I407" s="24">
        <f t="shared" si="67"/>
        <v>0</v>
      </c>
      <c r="J407" s="720"/>
      <c r="K407" s="24">
        <f t="shared" si="68"/>
        <v>0.05</v>
      </c>
      <c r="L407" s="720"/>
      <c r="M407" s="24">
        <f t="shared" si="69"/>
        <v>2</v>
      </c>
      <c r="N407" s="720"/>
      <c r="O407" s="24">
        <f t="shared" si="70"/>
        <v>0</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v>
      </c>
      <c r="H408" s="720"/>
      <c r="I408" s="24">
        <f t="shared" si="67"/>
        <v>0</v>
      </c>
      <c r="J408" s="720"/>
      <c r="K408" s="24">
        <f t="shared" si="68"/>
        <v>0.05</v>
      </c>
      <c r="L408" s="720"/>
      <c r="M408" s="24">
        <f t="shared" si="69"/>
        <v>2</v>
      </c>
      <c r="N408" s="720"/>
      <c r="O408" s="24">
        <f t="shared" si="70"/>
        <v>0</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v>
      </c>
      <c r="H409" s="720"/>
      <c r="I409" s="24">
        <f t="shared" si="67"/>
        <v>0</v>
      </c>
      <c r="J409" s="720"/>
      <c r="K409" s="24">
        <f t="shared" si="68"/>
        <v>0.05</v>
      </c>
      <c r="L409" s="720"/>
      <c r="M409" s="24">
        <f t="shared" si="69"/>
        <v>2</v>
      </c>
      <c r="N409" s="720"/>
      <c r="O409" s="24">
        <f t="shared" si="70"/>
        <v>0</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v>
      </c>
      <c r="H410" s="720"/>
      <c r="I410" s="24">
        <f t="shared" ref="I410:I473" si="77">(SUMIF($9:$9,H410,$10:$10)-SUMIF($9:$9,$H$24,$10:$10)+100)/100</f>
        <v>0</v>
      </c>
      <c r="J410" s="720"/>
      <c r="K410" s="24">
        <f t="shared" ref="K410:K473" si="78">(SUMIF($11:$11,J410,$12:$12)-SUMIF($11:$11,$J$24,$12:$12)+100)/100</f>
        <v>0.05</v>
      </c>
      <c r="L410" s="720"/>
      <c r="M410" s="24">
        <f t="shared" ref="M410:M473" si="79">(SUMIF($13:$13,L410,$14:$14)-SUMIF($13:$13,$L$24,$14:$14)+100)/100</f>
        <v>2</v>
      </c>
      <c r="N410" s="720"/>
      <c r="O410" s="24">
        <f t="shared" ref="O410:O473" si="80">(SUMIF($15:$15,N410,$16:$16)-SUMIF($15:$15,$N$24,$16:$16)+100)/100</f>
        <v>0</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v>
      </c>
      <c r="H411" s="720"/>
      <c r="I411" s="24">
        <f t="shared" si="77"/>
        <v>0</v>
      </c>
      <c r="J411" s="720"/>
      <c r="K411" s="24">
        <f t="shared" si="78"/>
        <v>0.05</v>
      </c>
      <c r="L411" s="720"/>
      <c r="M411" s="24">
        <f t="shared" si="79"/>
        <v>2</v>
      </c>
      <c r="N411" s="720"/>
      <c r="O411" s="24">
        <f t="shared" si="80"/>
        <v>0</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v>
      </c>
      <c r="H412" s="720"/>
      <c r="I412" s="24">
        <f t="shared" si="77"/>
        <v>0</v>
      </c>
      <c r="J412" s="720"/>
      <c r="K412" s="24">
        <f t="shared" si="78"/>
        <v>0.05</v>
      </c>
      <c r="L412" s="720"/>
      <c r="M412" s="24">
        <f t="shared" si="79"/>
        <v>2</v>
      </c>
      <c r="N412" s="720"/>
      <c r="O412" s="24">
        <f t="shared" si="80"/>
        <v>0</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v>
      </c>
      <c r="H413" s="720"/>
      <c r="I413" s="24">
        <f t="shared" si="77"/>
        <v>0</v>
      </c>
      <c r="J413" s="720"/>
      <c r="K413" s="24">
        <f t="shared" si="78"/>
        <v>0.05</v>
      </c>
      <c r="L413" s="720"/>
      <c r="M413" s="24">
        <f t="shared" si="79"/>
        <v>2</v>
      </c>
      <c r="N413" s="720"/>
      <c r="O413" s="24">
        <f t="shared" si="80"/>
        <v>0</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v>
      </c>
      <c r="H414" s="720"/>
      <c r="I414" s="24">
        <f t="shared" si="77"/>
        <v>0</v>
      </c>
      <c r="J414" s="720"/>
      <c r="K414" s="24">
        <f t="shared" si="78"/>
        <v>0.05</v>
      </c>
      <c r="L414" s="720"/>
      <c r="M414" s="24">
        <f t="shared" si="79"/>
        <v>2</v>
      </c>
      <c r="N414" s="720"/>
      <c r="O414" s="24">
        <f t="shared" si="80"/>
        <v>0</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v>
      </c>
      <c r="H415" s="720"/>
      <c r="I415" s="24">
        <f t="shared" si="77"/>
        <v>0</v>
      </c>
      <c r="J415" s="720"/>
      <c r="K415" s="24">
        <f t="shared" si="78"/>
        <v>0.05</v>
      </c>
      <c r="L415" s="720"/>
      <c r="M415" s="24">
        <f t="shared" si="79"/>
        <v>2</v>
      </c>
      <c r="N415" s="720"/>
      <c r="O415" s="24">
        <f t="shared" si="80"/>
        <v>0</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v>
      </c>
      <c r="H416" s="720"/>
      <c r="I416" s="24">
        <f t="shared" si="77"/>
        <v>0</v>
      </c>
      <c r="J416" s="720"/>
      <c r="K416" s="24">
        <f t="shared" si="78"/>
        <v>0.05</v>
      </c>
      <c r="L416" s="720"/>
      <c r="M416" s="24">
        <f t="shared" si="79"/>
        <v>2</v>
      </c>
      <c r="N416" s="720"/>
      <c r="O416" s="24">
        <f t="shared" si="80"/>
        <v>0</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v>
      </c>
      <c r="H417" s="720"/>
      <c r="I417" s="24">
        <f t="shared" si="77"/>
        <v>0</v>
      </c>
      <c r="J417" s="720"/>
      <c r="K417" s="24">
        <f t="shared" si="78"/>
        <v>0.05</v>
      </c>
      <c r="L417" s="720"/>
      <c r="M417" s="24">
        <f t="shared" si="79"/>
        <v>2</v>
      </c>
      <c r="N417" s="720"/>
      <c r="O417" s="24">
        <f t="shared" si="80"/>
        <v>0</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v>
      </c>
      <c r="H418" s="720"/>
      <c r="I418" s="24">
        <f t="shared" si="77"/>
        <v>0</v>
      </c>
      <c r="J418" s="720"/>
      <c r="K418" s="24">
        <f t="shared" si="78"/>
        <v>0.05</v>
      </c>
      <c r="L418" s="720"/>
      <c r="M418" s="24">
        <f t="shared" si="79"/>
        <v>2</v>
      </c>
      <c r="N418" s="720"/>
      <c r="O418" s="24">
        <f t="shared" si="80"/>
        <v>0</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v>
      </c>
      <c r="H419" s="720"/>
      <c r="I419" s="24">
        <f t="shared" si="77"/>
        <v>0</v>
      </c>
      <c r="J419" s="720"/>
      <c r="K419" s="24">
        <f t="shared" si="78"/>
        <v>0.05</v>
      </c>
      <c r="L419" s="720"/>
      <c r="M419" s="24">
        <f t="shared" si="79"/>
        <v>2</v>
      </c>
      <c r="N419" s="720"/>
      <c r="O419" s="24">
        <f t="shared" si="80"/>
        <v>0</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v>
      </c>
      <c r="H420" s="720"/>
      <c r="I420" s="24">
        <f t="shared" si="77"/>
        <v>0</v>
      </c>
      <c r="J420" s="720"/>
      <c r="K420" s="24">
        <f t="shared" si="78"/>
        <v>0.05</v>
      </c>
      <c r="L420" s="720"/>
      <c r="M420" s="24">
        <f t="shared" si="79"/>
        <v>2</v>
      </c>
      <c r="N420" s="720"/>
      <c r="O420" s="24">
        <f t="shared" si="80"/>
        <v>0</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v>
      </c>
      <c r="H421" s="720"/>
      <c r="I421" s="24">
        <f t="shared" si="77"/>
        <v>0</v>
      </c>
      <c r="J421" s="720"/>
      <c r="K421" s="24">
        <f t="shared" si="78"/>
        <v>0.05</v>
      </c>
      <c r="L421" s="720"/>
      <c r="M421" s="24">
        <f t="shared" si="79"/>
        <v>2</v>
      </c>
      <c r="N421" s="720"/>
      <c r="O421" s="24">
        <f t="shared" si="80"/>
        <v>0</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v>
      </c>
      <c r="H422" s="720"/>
      <c r="I422" s="24">
        <f t="shared" si="77"/>
        <v>0</v>
      </c>
      <c r="J422" s="720"/>
      <c r="K422" s="24">
        <f t="shared" si="78"/>
        <v>0.05</v>
      </c>
      <c r="L422" s="720"/>
      <c r="M422" s="24">
        <f t="shared" si="79"/>
        <v>2</v>
      </c>
      <c r="N422" s="720"/>
      <c r="O422" s="24">
        <f t="shared" si="80"/>
        <v>0</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v>
      </c>
      <c r="H423" s="720"/>
      <c r="I423" s="24">
        <f t="shared" si="77"/>
        <v>0</v>
      </c>
      <c r="J423" s="720"/>
      <c r="K423" s="24">
        <f t="shared" si="78"/>
        <v>0.05</v>
      </c>
      <c r="L423" s="720"/>
      <c r="M423" s="24">
        <f t="shared" si="79"/>
        <v>2</v>
      </c>
      <c r="N423" s="720"/>
      <c r="O423" s="24">
        <f t="shared" si="80"/>
        <v>0</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v>
      </c>
      <c r="H424" s="720"/>
      <c r="I424" s="24">
        <f t="shared" si="77"/>
        <v>0</v>
      </c>
      <c r="J424" s="720"/>
      <c r="K424" s="24">
        <f t="shared" si="78"/>
        <v>0.05</v>
      </c>
      <c r="L424" s="720"/>
      <c r="M424" s="24">
        <f t="shared" si="79"/>
        <v>2</v>
      </c>
      <c r="N424" s="720"/>
      <c r="O424" s="24">
        <f t="shared" si="80"/>
        <v>0</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v>
      </c>
      <c r="H425" s="720"/>
      <c r="I425" s="24">
        <f t="shared" si="77"/>
        <v>0</v>
      </c>
      <c r="J425" s="720"/>
      <c r="K425" s="24">
        <f t="shared" si="78"/>
        <v>0.05</v>
      </c>
      <c r="L425" s="720"/>
      <c r="M425" s="24">
        <f t="shared" si="79"/>
        <v>2</v>
      </c>
      <c r="N425" s="720"/>
      <c r="O425" s="24">
        <f t="shared" si="80"/>
        <v>0</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v>
      </c>
      <c r="H426" s="720"/>
      <c r="I426" s="24">
        <f t="shared" si="77"/>
        <v>0</v>
      </c>
      <c r="J426" s="720"/>
      <c r="K426" s="24">
        <f t="shared" si="78"/>
        <v>0.05</v>
      </c>
      <c r="L426" s="720"/>
      <c r="M426" s="24">
        <f t="shared" si="79"/>
        <v>2</v>
      </c>
      <c r="N426" s="720"/>
      <c r="O426" s="24">
        <f t="shared" si="80"/>
        <v>0</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v>
      </c>
      <c r="H427" s="720"/>
      <c r="I427" s="24">
        <f t="shared" si="77"/>
        <v>0</v>
      </c>
      <c r="J427" s="720"/>
      <c r="K427" s="24">
        <f t="shared" si="78"/>
        <v>0.05</v>
      </c>
      <c r="L427" s="720"/>
      <c r="M427" s="24">
        <f t="shared" si="79"/>
        <v>2</v>
      </c>
      <c r="N427" s="720"/>
      <c r="O427" s="24">
        <f t="shared" si="80"/>
        <v>0</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v>
      </c>
      <c r="H428" s="720"/>
      <c r="I428" s="24">
        <f t="shared" si="77"/>
        <v>0</v>
      </c>
      <c r="J428" s="720"/>
      <c r="K428" s="24">
        <f t="shared" si="78"/>
        <v>0.05</v>
      </c>
      <c r="L428" s="720"/>
      <c r="M428" s="24">
        <f t="shared" si="79"/>
        <v>2</v>
      </c>
      <c r="N428" s="720"/>
      <c r="O428" s="24">
        <f t="shared" si="80"/>
        <v>0</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v>
      </c>
      <c r="H429" s="720"/>
      <c r="I429" s="24">
        <f t="shared" si="77"/>
        <v>0</v>
      </c>
      <c r="J429" s="720"/>
      <c r="K429" s="24">
        <f t="shared" si="78"/>
        <v>0.05</v>
      </c>
      <c r="L429" s="720"/>
      <c r="M429" s="24">
        <f t="shared" si="79"/>
        <v>2</v>
      </c>
      <c r="N429" s="720"/>
      <c r="O429" s="24">
        <f t="shared" si="80"/>
        <v>0</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v>
      </c>
      <c r="H430" s="720"/>
      <c r="I430" s="24">
        <f t="shared" si="77"/>
        <v>0</v>
      </c>
      <c r="J430" s="720"/>
      <c r="K430" s="24">
        <f t="shared" si="78"/>
        <v>0.05</v>
      </c>
      <c r="L430" s="720"/>
      <c r="M430" s="24">
        <f t="shared" si="79"/>
        <v>2</v>
      </c>
      <c r="N430" s="720"/>
      <c r="O430" s="24">
        <f t="shared" si="80"/>
        <v>0</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v>
      </c>
      <c r="H431" s="720"/>
      <c r="I431" s="24">
        <f t="shared" si="77"/>
        <v>0</v>
      </c>
      <c r="J431" s="720"/>
      <c r="K431" s="24">
        <f t="shared" si="78"/>
        <v>0.05</v>
      </c>
      <c r="L431" s="720"/>
      <c r="M431" s="24">
        <f t="shared" si="79"/>
        <v>2</v>
      </c>
      <c r="N431" s="720"/>
      <c r="O431" s="24">
        <f t="shared" si="80"/>
        <v>0</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v>
      </c>
      <c r="H432" s="720"/>
      <c r="I432" s="24">
        <f t="shared" si="77"/>
        <v>0</v>
      </c>
      <c r="J432" s="720"/>
      <c r="K432" s="24">
        <f t="shared" si="78"/>
        <v>0.05</v>
      </c>
      <c r="L432" s="720"/>
      <c r="M432" s="24">
        <f t="shared" si="79"/>
        <v>2</v>
      </c>
      <c r="N432" s="720"/>
      <c r="O432" s="24">
        <f t="shared" si="80"/>
        <v>0</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v>
      </c>
      <c r="H433" s="720"/>
      <c r="I433" s="24">
        <f t="shared" si="77"/>
        <v>0</v>
      </c>
      <c r="J433" s="720"/>
      <c r="K433" s="24">
        <f t="shared" si="78"/>
        <v>0.05</v>
      </c>
      <c r="L433" s="720"/>
      <c r="M433" s="24">
        <f t="shared" si="79"/>
        <v>2</v>
      </c>
      <c r="N433" s="720"/>
      <c r="O433" s="24">
        <f t="shared" si="80"/>
        <v>0</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v>
      </c>
      <c r="H434" s="720"/>
      <c r="I434" s="24">
        <f t="shared" si="77"/>
        <v>0</v>
      </c>
      <c r="J434" s="720"/>
      <c r="K434" s="24">
        <f t="shared" si="78"/>
        <v>0.05</v>
      </c>
      <c r="L434" s="720"/>
      <c r="M434" s="24">
        <f t="shared" si="79"/>
        <v>2</v>
      </c>
      <c r="N434" s="720"/>
      <c r="O434" s="24">
        <f t="shared" si="80"/>
        <v>0</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v>
      </c>
      <c r="H435" s="720"/>
      <c r="I435" s="24">
        <f t="shared" si="77"/>
        <v>0</v>
      </c>
      <c r="J435" s="720"/>
      <c r="K435" s="24">
        <f t="shared" si="78"/>
        <v>0.05</v>
      </c>
      <c r="L435" s="720"/>
      <c r="M435" s="24">
        <f t="shared" si="79"/>
        <v>2</v>
      </c>
      <c r="N435" s="720"/>
      <c r="O435" s="24">
        <f t="shared" si="80"/>
        <v>0</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v>
      </c>
      <c r="H436" s="720"/>
      <c r="I436" s="24">
        <f t="shared" si="77"/>
        <v>0</v>
      </c>
      <c r="J436" s="720"/>
      <c r="K436" s="24">
        <f t="shared" si="78"/>
        <v>0.05</v>
      </c>
      <c r="L436" s="720"/>
      <c r="M436" s="24">
        <f t="shared" si="79"/>
        <v>2</v>
      </c>
      <c r="N436" s="720"/>
      <c r="O436" s="24">
        <f t="shared" si="80"/>
        <v>0</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v>
      </c>
      <c r="H437" s="720"/>
      <c r="I437" s="24">
        <f t="shared" si="77"/>
        <v>0</v>
      </c>
      <c r="J437" s="720"/>
      <c r="K437" s="24">
        <f t="shared" si="78"/>
        <v>0.05</v>
      </c>
      <c r="L437" s="720"/>
      <c r="M437" s="24">
        <f t="shared" si="79"/>
        <v>2</v>
      </c>
      <c r="N437" s="720"/>
      <c r="O437" s="24">
        <f t="shared" si="80"/>
        <v>0</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v>
      </c>
      <c r="H438" s="720"/>
      <c r="I438" s="24">
        <f t="shared" si="77"/>
        <v>0</v>
      </c>
      <c r="J438" s="720"/>
      <c r="K438" s="24">
        <f t="shared" si="78"/>
        <v>0.05</v>
      </c>
      <c r="L438" s="720"/>
      <c r="M438" s="24">
        <f t="shared" si="79"/>
        <v>2</v>
      </c>
      <c r="N438" s="720"/>
      <c r="O438" s="24">
        <f t="shared" si="80"/>
        <v>0</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v>
      </c>
      <c r="H439" s="720"/>
      <c r="I439" s="24">
        <f t="shared" si="77"/>
        <v>0</v>
      </c>
      <c r="J439" s="720"/>
      <c r="K439" s="24">
        <f t="shared" si="78"/>
        <v>0.05</v>
      </c>
      <c r="L439" s="720"/>
      <c r="M439" s="24">
        <f t="shared" si="79"/>
        <v>2</v>
      </c>
      <c r="N439" s="720"/>
      <c r="O439" s="24">
        <f t="shared" si="80"/>
        <v>0</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v>
      </c>
      <c r="H440" s="720"/>
      <c r="I440" s="24">
        <f t="shared" si="77"/>
        <v>0</v>
      </c>
      <c r="J440" s="720"/>
      <c r="K440" s="24">
        <f t="shared" si="78"/>
        <v>0.05</v>
      </c>
      <c r="L440" s="720"/>
      <c r="M440" s="24">
        <f t="shared" si="79"/>
        <v>2</v>
      </c>
      <c r="N440" s="720"/>
      <c r="O440" s="24">
        <f t="shared" si="80"/>
        <v>0</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v>
      </c>
      <c r="H441" s="720"/>
      <c r="I441" s="24">
        <f t="shared" si="77"/>
        <v>0</v>
      </c>
      <c r="J441" s="720"/>
      <c r="K441" s="24">
        <f t="shared" si="78"/>
        <v>0.05</v>
      </c>
      <c r="L441" s="720"/>
      <c r="M441" s="24">
        <f t="shared" si="79"/>
        <v>2</v>
      </c>
      <c r="N441" s="720"/>
      <c r="O441" s="24">
        <f t="shared" si="80"/>
        <v>0</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v>
      </c>
      <c r="H442" s="720"/>
      <c r="I442" s="24">
        <f t="shared" si="77"/>
        <v>0</v>
      </c>
      <c r="J442" s="720"/>
      <c r="K442" s="24">
        <f t="shared" si="78"/>
        <v>0.05</v>
      </c>
      <c r="L442" s="720"/>
      <c r="M442" s="24">
        <f t="shared" si="79"/>
        <v>2</v>
      </c>
      <c r="N442" s="720"/>
      <c r="O442" s="24">
        <f t="shared" si="80"/>
        <v>0</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v>
      </c>
      <c r="H443" s="720"/>
      <c r="I443" s="24">
        <f t="shared" si="77"/>
        <v>0</v>
      </c>
      <c r="J443" s="720"/>
      <c r="K443" s="24">
        <f t="shared" si="78"/>
        <v>0.05</v>
      </c>
      <c r="L443" s="720"/>
      <c r="M443" s="24">
        <f t="shared" si="79"/>
        <v>2</v>
      </c>
      <c r="N443" s="720"/>
      <c r="O443" s="24">
        <f t="shared" si="80"/>
        <v>0</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v>
      </c>
      <c r="H444" s="720"/>
      <c r="I444" s="24">
        <f t="shared" si="77"/>
        <v>0</v>
      </c>
      <c r="J444" s="720"/>
      <c r="K444" s="24">
        <f t="shared" si="78"/>
        <v>0.05</v>
      </c>
      <c r="L444" s="720"/>
      <c r="M444" s="24">
        <f t="shared" si="79"/>
        <v>2</v>
      </c>
      <c r="N444" s="720"/>
      <c r="O444" s="24">
        <f t="shared" si="80"/>
        <v>0</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v>
      </c>
      <c r="H445" s="720"/>
      <c r="I445" s="24">
        <f t="shared" si="77"/>
        <v>0</v>
      </c>
      <c r="J445" s="720"/>
      <c r="K445" s="24">
        <f t="shared" si="78"/>
        <v>0.05</v>
      </c>
      <c r="L445" s="720"/>
      <c r="M445" s="24">
        <f t="shared" si="79"/>
        <v>2</v>
      </c>
      <c r="N445" s="720"/>
      <c r="O445" s="24">
        <f t="shared" si="80"/>
        <v>0</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v>
      </c>
      <c r="H446" s="720"/>
      <c r="I446" s="24">
        <f t="shared" si="77"/>
        <v>0</v>
      </c>
      <c r="J446" s="720"/>
      <c r="K446" s="24">
        <f t="shared" si="78"/>
        <v>0.05</v>
      </c>
      <c r="L446" s="720"/>
      <c r="M446" s="24">
        <f t="shared" si="79"/>
        <v>2</v>
      </c>
      <c r="N446" s="720"/>
      <c r="O446" s="24">
        <f t="shared" si="80"/>
        <v>0</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v>
      </c>
      <c r="H447" s="720"/>
      <c r="I447" s="24">
        <f t="shared" si="77"/>
        <v>0</v>
      </c>
      <c r="J447" s="720"/>
      <c r="K447" s="24">
        <f t="shared" si="78"/>
        <v>0.05</v>
      </c>
      <c r="L447" s="720"/>
      <c r="M447" s="24">
        <f t="shared" si="79"/>
        <v>2</v>
      </c>
      <c r="N447" s="720"/>
      <c r="O447" s="24">
        <f t="shared" si="80"/>
        <v>0</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v>
      </c>
      <c r="H448" s="720"/>
      <c r="I448" s="24">
        <f t="shared" si="77"/>
        <v>0</v>
      </c>
      <c r="J448" s="720"/>
      <c r="K448" s="24">
        <f t="shared" si="78"/>
        <v>0.05</v>
      </c>
      <c r="L448" s="720"/>
      <c r="M448" s="24">
        <f t="shared" si="79"/>
        <v>2</v>
      </c>
      <c r="N448" s="720"/>
      <c r="O448" s="24">
        <f t="shared" si="80"/>
        <v>0</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v>
      </c>
      <c r="H449" s="720"/>
      <c r="I449" s="24">
        <f t="shared" si="77"/>
        <v>0</v>
      </c>
      <c r="J449" s="720"/>
      <c r="K449" s="24">
        <f t="shared" si="78"/>
        <v>0.05</v>
      </c>
      <c r="L449" s="720"/>
      <c r="M449" s="24">
        <f t="shared" si="79"/>
        <v>2</v>
      </c>
      <c r="N449" s="720"/>
      <c r="O449" s="24">
        <f t="shared" si="80"/>
        <v>0</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v>
      </c>
      <c r="H450" s="720"/>
      <c r="I450" s="24">
        <f t="shared" si="77"/>
        <v>0</v>
      </c>
      <c r="J450" s="720"/>
      <c r="K450" s="24">
        <f t="shared" si="78"/>
        <v>0.05</v>
      </c>
      <c r="L450" s="720"/>
      <c r="M450" s="24">
        <f t="shared" si="79"/>
        <v>2</v>
      </c>
      <c r="N450" s="720"/>
      <c r="O450" s="24">
        <f t="shared" si="80"/>
        <v>0</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v>
      </c>
      <c r="H451" s="720"/>
      <c r="I451" s="24">
        <f t="shared" si="77"/>
        <v>0</v>
      </c>
      <c r="J451" s="720"/>
      <c r="K451" s="24">
        <f t="shared" si="78"/>
        <v>0.05</v>
      </c>
      <c r="L451" s="720"/>
      <c r="M451" s="24">
        <f t="shared" si="79"/>
        <v>2</v>
      </c>
      <c r="N451" s="720"/>
      <c r="O451" s="24">
        <f t="shared" si="80"/>
        <v>0</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v>
      </c>
      <c r="H452" s="720"/>
      <c r="I452" s="24">
        <f t="shared" si="77"/>
        <v>0</v>
      </c>
      <c r="J452" s="720"/>
      <c r="K452" s="24">
        <f t="shared" si="78"/>
        <v>0.05</v>
      </c>
      <c r="L452" s="720"/>
      <c r="M452" s="24">
        <f t="shared" si="79"/>
        <v>2</v>
      </c>
      <c r="N452" s="720"/>
      <c r="O452" s="24">
        <f t="shared" si="80"/>
        <v>0</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v>
      </c>
      <c r="H453" s="720"/>
      <c r="I453" s="24">
        <f t="shared" si="77"/>
        <v>0</v>
      </c>
      <c r="J453" s="720"/>
      <c r="K453" s="24">
        <f t="shared" si="78"/>
        <v>0.05</v>
      </c>
      <c r="L453" s="720"/>
      <c r="M453" s="24">
        <f t="shared" si="79"/>
        <v>2</v>
      </c>
      <c r="N453" s="720"/>
      <c r="O453" s="24">
        <f t="shared" si="80"/>
        <v>0</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v>
      </c>
      <c r="H454" s="720"/>
      <c r="I454" s="24">
        <f t="shared" si="77"/>
        <v>0</v>
      </c>
      <c r="J454" s="720"/>
      <c r="K454" s="24">
        <f t="shared" si="78"/>
        <v>0.05</v>
      </c>
      <c r="L454" s="720"/>
      <c r="M454" s="24">
        <f t="shared" si="79"/>
        <v>2</v>
      </c>
      <c r="N454" s="720"/>
      <c r="O454" s="24">
        <f t="shared" si="80"/>
        <v>0</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v>
      </c>
      <c r="H455" s="720"/>
      <c r="I455" s="24">
        <f t="shared" si="77"/>
        <v>0</v>
      </c>
      <c r="J455" s="720"/>
      <c r="K455" s="24">
        <f t="shared" si="78"/>
        <v>0.05</v>
      </c>
      <c r="L455" s="720"/>
      <c r="M455" s="24">
        <f t="shared" si="79"/>
        <v>2</v>
      </c>
      <c r="N455" s="720"/>
      <c r="O455" s="24">
        <f t="shared" si="80"/>
        <v>0</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v>
      </c>
      <c r="H456" s="720"/>
      <c r="I456" s="24">
        <f t="shared" si="77"/>
        <v>0</v>
      </c>
      <c r="J456" s="720"/>
      <c r="K456" s="24">
        <f t="shared" si="78"/>
        <v>0.05</v>
      </c>
      <c r="L456" s="720"/>
      <c r="M456" s="24">
        <f t="shared" si="79"/>
        <v>2</v>
      </c>
      <c r="N456" s="720"/>
      <c r="O456" s="24">
        <f t="shared" si="80"/>
        <v>0</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v>
      </c>
      <c r="H457" s="720"/>
      <c r="I457" s="24">
        <f t="shared" si="77"/>
        <v>0</v>
      </c>
      <c r="J457" s="720"/>
      <c r="K457" s="24">
        <f t="shared" si="78"/>
        <v>0.05</v>
      </c>
      <c r="L457" s="720"/>
      <c r="M457" s="24">
        <f t="shared" si="79"/>
        <v>2</v>
      </c>
      <c r="N457" s="720"/>
      <c r="O457" s="24">
        <f t="shared" si="80"/>
        <v>0</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v>
      </c>
      <c r="H458" s="720"/>
      <c r="I458" s="24">
        <f t="shared" si="77"/>
        <v>0</v>
      </c>
      <c r="J458" s="720"/>
      <c r="K458" s="24">
        <f t="shared" si="78"/>
        <v>0.05</v>
      </c>
      <c r="L458" s="720"/>
      <c r="M458" s="24">
        <f t="shared" si="79"/>
        <v>2</v>
      </c>
      <c r="N458" s="720"/>
      <c r="O458" s="24">
        <f t="shared" si="80"/>
        <v>0</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v>
      </c>
      <c r="H459" s="720"/>
      <c r="I459" s="24">
        <f t="shared" si="77"/>
        <v>0</v>
      </c>
      <c r="J459" s="720"/>
      <c r="K459" s="24">
        <f t="shared" si="78"/>
        <v>0.05</v>
      </c>
      <c r="L459" s="720"/>
      <c r="M459" s="24">
        <f t="shared" si="79"/>
        <v>2</v>
      </c>
      <c r="N459" s="720"/>
      <c r="O459" s="24">
        <f t="shared" si="80"/>
        <v>0</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v>
      </c>
      <c r="H460" s="720"/>
      <c r="I460" s="24">
        <f t="shared" si="77"/>
        <v>0</v>
      </c>
      <c r="J460" s="720"/>
      <c r="K460" s="24">
        <f t="shared" si="78"/>
        <v>0.05</v>
      </c>
      <c r="L460" s="720"/>
      <c r="M460" s="24">
        <f t="shared" si="79"/>
        <v>2</v>
      </c>
      <c r="N460" s="720"/>
      <c r="O460" s="24">
        <f t="shared" si="80"/>
        <v>0</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v>
      </c>
      <c r="H461" s="720"/>
      <c r="I461" s="24">
        <f t="shared" si="77"/>
        <v>0</v>
      </c>
      <c r="J461" s="720"/>
      <c r="K461" s="24">
        <f t="shared" si="78"/>
        <v>0.05</v>
      </c>
      <c r="L461" s="720"/>
      <c r="M461" s="24">
        <f t="shared" si="79"/>
        <v>2</v>
      </c>
      <c r="N461" s="720"/>
      <c r="O461" s="24">
        <f t="shared" si="80"/>
        <v>0</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v>
      </c>
      <c r="H462" s="720"/>
      <c r="I462" s="24">
        <f t="shared" si="77"/>
        <v>0</v>
      </c>
      <c r="J462" s="720"/>
      <c r="K462" s="24">
        <f t="shared" si="78"/>
        <v>0.05</v>
      </c>
      <c r="L462" s="720"/>
      <c r="M462" s="24">
        <f t="shared" si="79"/>
        <v>2</v>
      </c>
      <c r="N462" s="720"/>
      <c r="O462" s="24">
        <f t="shared" si="80"/>
        <v>0</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v>
      </c>
      <c r="H463" s="720"/>
      <c r="I463" s="24">
        <f t="shared" si="77"/>
        <v>0</v>
      </c>
      <c r="J463" s="720"/>
      <c r="K463" s="24">
        <f t="shared" si="78"/>
        <v>0.05</v>
      </c>
      <c r="L463" s="720"/>
      <c r="M463" s="24">
        <f t="shared" si="79"/>
        <v>2</v>
      </c>
      <c r="N463" s="720"/>
      <c r="O463" s="24">
        <f t="shared" si="80"/>
        <v>0</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v>
      </c>
      <c r="H464" s="720"/>
      <c r="I464" s="24">
        <f t="shared" si="77"/>
        <v>0</v>
      </c>
      <c r="J464" s="720"/>
      <c r="K464" s="24">
        <f t="shared" si="78"/>
        <v>0.05</v>
      </c>
      <c r="L464" s="720"/>
      <c r="M464" s="24">
        <f t="shared" si="79"/>
        <v>2</v>
      </c>
      <c r="N464" s="720"/>
      <c r="O464" s="24">
        <f t="shared" si="80"/>
        <v>0</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v>
      </c>
      <c r="H465" s="720"/>
      <c r="I465" s="24">
        <f t="shared" si="77"/>
        <v>0</v>
      </c>
      <c r="J465" s="720"/>
      <c r="K465" s="24">
        <f t="shared" si="78"/>
        <v>0.05</v>
      </c>
      <c r="L465" s="720"/>
      <c r="M465" s="24">
        <f t="shared" si="79"/>
        <v>2</v>
      </c>
      <c r="N465" s="720"/>
      <c r="O465" s="24">
        <f t="shared" si="80"/>
        <v>0</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v>
      </c>
      <c r="H466" s="720"/>
      <c r="I466" s="24">
        <f t="shared" si="77"/>
        <v>0</v>
      </c>
      <c r="J466" s="720"/>
      <c r="K466" s="24">
        <f t="shared" si="78"/>
        <v>0.05</v>
      </c>
      <c r="L466" s="720"/>
      <c r="M466" s="24">
        <f t="shared" si="79"/>
        <v>2</v>
      </c>
      <c r="N466" s="720"/>
      <c r="O466" s="24">
        <f t="shared" si="80"/>
        <v>0</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v>
      </c>
      <c r="H467" s="720"/>
      <c r="I467" s="24">
        <f t="shared" si="77"/>
        <v>0</v>
      </c>
      <c r="J467" s="720"/>
      <c r="K467" s="24">
        <f t="shared" si="78"/>
        <v>0.05</v>
      </c>
      <c r="L467" s="720"/>
      <c r="M467" s="24">
        <f t="shared" si="79"/>
        <v>2</v>
      </c>
      <c r="N467" s="720"/>
      <c r="O467" s="24">
        <f t="shared" si="80"/>
        <v>0</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v>
      </c>
      <c r="H468" s="720"/>
      <c r="I468" s="24">
        <f t="shared" si="77"/>
        <v>0</v>
      </c>
      <c r="J468" s="720"/>
      <c r="K468" s="24">
        <f t="shared" si="78"/>
        <v>0.05</v>
      </c>
      <c r="L468" s="720"/>
      <c r="M468" s="24">
        <f t="shared" si="79"/>
        <v>2</v>
      </c>
      <c r="N468" s="720"/>
      <c r="O468" s="24">
        <f t="shared" si="80"/>
        <v>0</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v>
      </c>
      <c r="H469" s="720"/>
      <c r="I469" s="24">
        <f t="shared" si="77"/>
        <v>0</v>
      </c>
      <c r="J469" s="720"/>
      <c r="K469" s="24">
        <f t="shared" si="78"/>
        <v>0.05</v>
      </c>
      <c r="L469" s="720"/>
      <c r="M469" s="24">
        <f t="shared" si="79"/>
        <v>2</v>
      </c>
      <c r="N469" s="720"/>
      <c r="O469" s="24">
        <f t="shared" si="80"/>
        <v>0</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v>
      </c>
      <c r="H470" s="720"/>
      <c r="I470" s="24">
        <f t="shared" si="77"/>
        <v>0</v>
      </c>
      <c r="J470" s="720"/>
      <c r="K470" s="24">
        <f t="shared" si="78"/>
        <v>0.05</v>
      </c>
      <c r="L470" s="720"/>
      <c r="M470" s="24">
        <f t="shared" si="79"/>
        <v>2</v>
      </c>
      <c r="N470" s="720"/>
      <c r="O470" s="24">
        <f t="shared" si="80"/>
        <v>0</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v>
      </c>
      <c r="H471" s="720"/>
      <c r="I471" s="24">
        <f t="shared" si="77"/>
        <v>0</v>
      </c>
      <c r="J471" s="720"/>
      <c r="K471" s="24">
        <f t="shared" si="78"/>
        <v>0.05</v>
      </c>
      <c r="L471" s="720"/>
      <c r="M471" s="24">
        <f t="shared" si="79"/>
        <v>2</v>
      </c>
      <c r="N471" s="720"/>
      <c r="O471" s="24">
        <f t="shared" si="80"/>
        <v>0</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v>
      </c>
      <c r="H472" s="720"/>
      <c r="I472" s="24">
        <f t="shared" si="77"/>
        <v>0</v>
      </c>
      <c r="J472" s="720"/>
      <c r="K472" s="24">
        <f t="shared" si="78"/>
        <v>0.05</v>
      </c>
      <c r="L472" s="720"/>
      <c r="M472" s="24">
        <f t="shared" si="79"/>
        <v>2</v>
      </c>
      <c r="N472" s="720"/>
      <c r="O472" s="24">
        <f t="shared" si="80"/>
        <v>0</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v>
      </c>
      <c r="H473" s="720"/>
      <c r="I473" s="24">
        <f t="shared" si="77"/>
        <v>0</v>
      </c>
      <c r="J473" s="720"/>
      <c r="K473" s="24">
        <f t="shared" si="78"/>
        <v>0.05</v>
      </c>
      <c r="L473" s="720"/>
      <c r="M473" s="24">
        <f t="shared" si="79"/>
        <v>2</v>
      </c>
      <c r="N473" s="720"/>
      <c r="O473" s="24">
        <f t="shared" si="80"/>
        <v>0</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v>
      </c>
      <c r="H474" s="720"/>
      <c r="I474" s="24">
        <f t="shared" ref="I474:I524" si="88">(SUMIF($9:$9,H474,$10:$10)-SUMIF($9:$9,$H$24,$10:$10)+100)/100</f>
        <v>0</v>
      </c>
      <c r="J474" s="720"/>
      <c r="K474" s="24">
        <f t="shared" ref="K474:K524" si="89">(SUMIF($11:$11,J474,$12:$12)-SUMIF($11:$11,$J$24,$12:$12)+100)/100</f>
        <v>0.05</v>
      </c>
      <c r="L474" s="720"/>
      <c r="M474" s="24">
        <f t="shared" ref="M474:M524" si="90">(SUMIF($13:$13,L474,$14:$14)-SUMIF($13:$13,$L$24,$14:$14)+100)/100</f>
        <v>2</v>
      </c>
      <c r="N474" s="720"/>
      <c r="O474" s="24">
        <f t="shared" ref="O474:O524" si="91">(SUMIF($15:$15,N474,$16:$16)-SUMIF($15:$15,$N$24,$16:$16)+100)/100</f>
        <v>0</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v>
      </c>
      <c r="H475" s="720"/>
      <c r="I475" s="24">
        <f t="shared" si="88"/>
        <v>0</v>
      </c>
      <c r="J475" s="720"/>
      <c r="K475" s="24">
        <f t="shared" si="89"/>
        <v>0.05</v>
      </c>
      <c r="L475" s="720"/>
      <c r="M475" s="24">
        <f t="shared" si="90"/>
        <v>2</v>
      </c>
      <c r="N475" s="720"/>
      <c r="O475" s="24">
        <f t="shared" si="91"/>
        <v>0</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v>
      </c>
      <c r="H476" s="720"/>
      <c r="I476" s="24">
        <f t="shared" si="88"/>
        <v>0</v>
      </c>
      <c r="J476" s="720"/>
      <c r="K476" s="24">
        <f t="shared" si="89"/>
        <v>0.05</v>
      </c>
      <c r="L476" s="720"/>
      <c r="M476" s="24">
        <f t="shared" si="90"/>
        <v>2</v>
      </c>
      <c r="N476" s="720"/>
      <c r="O476" s="24">
        <f t="shared" si="91"/>
        <v>0</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v>
      </c>
      <c r="H477" s="720"/>
      <c r="I477" s="24">
        <f t="shared" si="88"/>
        <v>0</v>
      </c>
      <c r="J477" s="720"/>
      <c r="K477" s="24">
        <f t="shared" si="89"/>
        <v>0.05</v>
      </c>
      <c r="L477" s="720"/>
      <c r="M477" s="24">
        <f t="shared" si="90"/>
        <v>2</v>
      </c>
      <c r="N477" s="720"/>
      <c r="O477" s="24">
        <f t="shared" si="91"/>
        <v>0</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v>
      </c>
      <c r="H478" s="720"/>
      <c r="I478" s="24">
        <f t="shared" si="88"/>
        <v>0</v>
      </c>
      <c r="J478" s="720"/>
      <c r="K478" s="24">
        <f t="shared" si="89"/>
        <v>0.05</v>
      </c>
      <c r="L478" s="720"/>
      <c r="M478" s="24">
        <f t="shared" si="90"/>
        <v>2</v>
      </c>
      <c r="N478" s="720"/>
      <c r="O478" s="24">
        <f t="shared" si="91"/>
        <v>0</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v>
      </c>
      <c r="H479" s="720"/>
      <c r="I479" s="24">
        <f t="shared" si="88"/>
        <v>0</v>
      </c>
      <c r="J479" s="720"/>
      <c r="K479" s="24">
        <f t="shared" si="89"/>
        <v>0.05</v>
      </c>
      <c r="L479" s="720"/>
      <c r="M479" s="24">
        <f t="shared" si="90"/>
        <v>2</v>
      </c>
      <c r="N479" s="720"/>
      <c r="O479" s="24">
        <f t="shared" si="91"/>
        <v>0</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v>
      </c>
      <c r="H480" s="720"/>
      <c r="I480" s="24">
        <f t="shared" si="88"/>
        <v>0</v>
      </c>
      <c r="J480" s="720"/>
      <c r="K480" s="24">
        <f t="shared" si="89"/>
        <v>0.05</v>
      </c>
      <c r="L480" s="720"/>
      <c r="M480" s="24">
        <f t="shared" si="90"/>
        <v>2</v>
      </c>
      <c r="N480" s="720"/>
      <c r="O480" s="24">
        <f t="shared" si="91"/>
        <v>0</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v>
      </c>
      <c r="H481" s="720"/>
      <c r="I481" s="24">
        <f t="shared" si="88"/>
        <v>0</v>
      </c>
      <c r="J481" s="720"/>
      <c r="K481" s="24">
        <f t="shared" si="89"/>
        <v>0.05</v>
      </c>
      <c r="L481" s="720"/>
      <c r="M481" s="24">
        <f t="shared" si="90"/>
        <v>2</v>
      </c>
      <c r="N481" s="720"/>
      <c r="O481" s="24">
        <f t="shared" si="91"/>
        <v>0</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v>
      </c>
      <c r="H482" s="720"/>
      <c r="I482" s="24">
        <f t="shared" si="88"/>
        <v>0</v>
      </c>
      <c r="J482" s="720"/>
      <c r="K482" s="24">
        <f t="shared" si="89"/>
        <v>0.05</v>
      </c>
      <c r="L482" s="720"/>
      <c r="M482" s="24">
        <f t="shared" si="90"/>
        <v>2</v>
      </c>
      <c r="N482" s="720"/>
      <c r="O482" s="24">
        <f t="shared" si="91"/>
        <v>0</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v>
      </c>
      <c r="H483" s="720"/>
      <c r="I483" s="24">
        <f t="shared" si="88"/>
        <v>0</v>
      </c>
      <c r="J483" s="720"/>
      <c r="K483" s="24">
        <f t="shared" si="89"/>
        <v>0.05</v>
      </c>
      <c r="L483" s="720"/>
      <c r="M483" s="24">
        <f t="shared" si="90"/>
        <v>2</v>
      </c>
      <c r="N483" s="720"/>
      <c r="O483" s="24">
        <f t="shared" si="91"/>
        <v>0</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v>
      </c>
      <c r="H484" s="720"/>
      <c r="I484" s="24">
        <f t="shared" si="88"/>
        <v>0</v>
      </c>
      <c r="J484" s="720"/>
      <c r="K484" s="24">
        <f t="shared" si="89"/>
        <v>0.05</v>
      </c>
      <c r="L484" s="720"/>
      <c r="M484" s="24">
        <f t="shared" si="90"/>
        <v>2</v>
      </c>
      <c r="N484" s="720"/>
      <c r="O484" s="24">
        <f t="shared" si="91"/>
        <v>0</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v>
      </c>
      <c r="H485" s="720"/>
      <c r="I485" s="24">
        <f t="shared" si="88"/>
        <v>0</v>
      </c>
      <c r="J485" s="720"/>
      <c r="K485" s="24">
        <f t="shared" si="89"/>
        <v>0.05</v>
      </c>
      <c r="L485" s="720"/>
      <c r="M485" s="24">
        <f t="shared" si="90"/>
        <v>2</v>
      </c>
      <c r="N485" s="720"/>
      <c r="O485" s="24">
        <f t="shared" si="91"/>
        <v>0</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v>
      </c>
      <c r="H486" s="720"/>
      <c r="I486" s="24">
        <f t="shared" si="88"/>
        <v>0</v>
      </c>
      <c r="J486" s="720"/>
      <c r="K486" s="24">
        <f t="shared" si="89"/>
        <v>0.05</v>
      </c>
      <c r="L486" s="720"/>
      <c r="M486" s="24">
        <f t="shared" si="90"/>
        <v>2</v>
      </c>
      <c r="N486" s="720"/>
      <c r="O486" s="24">
        <f t="shared" si="91"/>
        <v>0</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v>
      </c>
      <c r="H487" s="720"/>
      <c r="I487" s="24">
        <f t="shared" si="88"/>
        <v>0</v>
      </c>
      <c r="J487" s="720"/>
      <c r="K487" s="24">
        <f t="shared" si="89"/>
        <v>0.05</v>
      </c>
      <c r="L487" s="720"/>
      <c r="M487" s="24">
        <f t="shared" si="90"/>
        <v>2</v>
      </c>
      <c r="N487" s="720"/>
      <c r="O487" s="24">
        <f t="shared" si="91"/>
        <v>0</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v>
      </c>
      <c r="H488" s="720"/>
      <c r="I488" s="24">
        <f t="shared" si="88"/>
        <v>0</v>
      </c>
      <c r="J488" s="720"/>
      <c r="K488" s="24">
        <f t="shared" si="89"/>
        <v>0.05</v>
      </c>
      <c r="L488" s="720"/>
      <c r="M488" s="24">
        <f t="shared" si="90"/>
        <v>2</v>
      </c>
      <c r="N488" s="720"/>
      <c r="O488" s="24">
        <f t="shared" si="91"/>
        <v>0</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v>
      </c>
      <c r="H489" s="720"/>
      <c r="I489" s="24">
        <f t="shared" si="88"/>
        <v>0</v>
      </c>
      <c r="J489" s="720"/>
      <c r="K489" s="24">
        <f t="shared" si="89"/>
        <v>0.05</v>
      </c>
      <c r="L489" s="720"/>
      <c r="M489" s="24">
        <f t="shared" si="90"/>
        <v>2</v>
      </c>
      <c r="N489" s="720"/>
      <c r="O489" s="24">
        <f t="shared" si="91"/>
        <v>0</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v>
      </c>
      <c r="H490" s="720"/>
      <c r="I490" s="24">
        <f t="shared" si="88"/>
        <v>0</v>
      </c>
      <c r="J490" s="720"/>
      <c r="K490" s="24">
        <f t="shared" si="89"/>
        <v>0.05</v>
      </c>
      <c r="L490" s="720"/>
      <c r="M490" s="24">
        <f t="shared" si="90"/>
        <v>2</v>
      </c>
      <c r="N490" s="720"/>
      <c r="O490" s="24">
        <f t="shared" si="91"/>
        <v>0</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v>
      </c>
      <c r="H491" s="720"/>
      <c r="I491" s="24">
        <f t="shared" si="88"/>
        <v>0</v>
      </c>
      <c r="J491" s="720"/>
      <c r="K491" s="24">
        <f t="shared" si="89"/>
        <v>0.05</v>
      </c>
      <c r="L491" s="720"/>
      <c r="M491" s="24">
        <f t="shared" si="90"/>
        <v>2</v>
      </c>
      <c r="N491" s="720"/>
      <c r="O491" s="24">
        <f t="shared" si="91"/>
        <v>0</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v>
      </c>
      <c r="H492" s="720"/>
      <c r="I492" s="24">
        <f t="shared" si="88"/>
        <v>0</v>
      </c>
      <c r="J492" s="720"/>
      <c r="K492" s="24">
        <f t="shared" si="89"/>
        <v>0.05</v>
      </c>
      <c r="L492" s="720"/>
      <c r="M492" s="24">
        <f t="shared" si="90"/>
        <v>2</v>
      </c>
      <c r="N492" s="720"/>
      <c r="O492" s="24">
        <f t="shared" si="91"/>
        <v>0</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v>
      </c>
      <c r="H493" s="720"/>
      <c r="I493" s="24">
        <f t="shared" si="88"/>
        <v>0</v>
      </c>
      <c r="J493" s="720"/>
      <c r="K493" s="24">
        <f t="shared" si="89"/>
        <v>0.05</v>
      </c>
      <c r="L493" s="720"/>
      <c r="M493" s="24">
        <f t="shared" si="90"/>
        <v>2</v>
      </c>
      <c r="N493" s="720"/>
      <c r="O493" s="24">
        <f t="shared" si="91"/>
        <v>0</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v>
      </c>
      <c r="H494" s="720"/>
      <c r="I494" s="24">
        <f t="shared" si="88"/>
        <v>0</v>
      </c>
      <c r="J494" s="720"/>
      <c r="K494" s="24">
        <f t="shared" si="89"/>
        <v>0.05</v>
      </c>
      <c r="L494" s="720"/>
      <c r="M494" s="24">
        <f t="shared" si="90"/>
        <v>2</v>
      </c>
      <c r="N494" s="720"/>
      <c r="O494" s="24">
        <f t="shared" si="91"/>
        <v>0</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v>
      </c>
      <c r="H495" s="720"/>
      <c r="I495" s="24">
        <f t="shared" si="88"/>
        <v>0</v>
      </c>
      <c r="J495" s="720"/>
      <c r="K495" s="24">
        <f t="shared" si="89"/>
        <v>0.05</v>
      </c>
      <c r="L495" s="720"/>
      <c r="M495" s="24">
        <f t="shared" si="90"/>
        <v>2</v>
      </c>
      <c r="N495" s="720"/>
      <c r="O495" s="24">
        <f t="shared" si="91"/>
        <v>0</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v>
      </c>
      <c r="H496" s="720"/>
      <c r="I496" s="24">
        <f t="shared" si="88"/>
        <v>0</v>
      </c>
      <c r="J496" s="720"/>
      <c r="K496" s="24">
        <f t="shared" si="89"/>
        <v>0.05</v>
      </c>
      <c r="L496" s="720"/>
      <c r="M496" s="24">
        <f t="shared" si="90"/>
        <v>2</v>
      </c>
      <c r="N496" s="720"/>
      <c r="O496" s="24">
        <f t="shared" si="91"/>
        <v>0</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v>
      </c>
      <c r="H497" s="720"/>
      <c r="I497" s="24">
        <f t="shared" si="88"/>
        <v>0</v>
      </c>
      <c r="J497" s="720"/>
      <c r="K497" s="24">
        <f t="shared" si="89"/>
        <v>0.05</v>
      </c>
      <c r="L497" s="720"/>
      <c r="M497" s="24">
        <f t="shared" si="90"/>
        <v>2</v>
      </c>
      <c r="N497" s="720"/>
      <c r="O497" s="24">
        <f t="shared" si="91"/>
        <v>0</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v>
      </c>
      <c r="H498" s="720"/>
      <c r="I498" s="24">
        <f t="shared" si="88"/>
        <v>0</v>
      </c>
      <c r="J498" s="720"/>
      <c r="K498" s="24">
        <f t="shared" si="89"/>
        <v>0.05</v>
      </c>
      <c r="L498" s="720"/>
      <c r="M498" s="24">
        <f t="shared" si="90"/>
        <v>2</v>
      </c>
      <c r="N498" s="720"/>
      <c r="O498" s="24">
        <f t="shared" si="91"/>
        <v>0</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v>
      </c>
      <c r="H499" s="720"/>
      <c r="I499" s="24">
        <f t="shared" si="88"/>
        <v>0</v>
      </c>
      <c r="J499" s="720"/>
      <c r="K499" s="24">
        <f t="shared" si="89"/>
        <v>0.05</v>
      </c>
      <c r="L499" s="720"/>
      <c r="M499" s="24">
        <f t="shared" si="90"/>
        <v>2</v>
      </c>
      <c r="N499" s="720"/>
      <c r="O499" s="24">
        <f t="shared" si="91"/>
        <v>0</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v>
      </c>
      <c r="H500" s="720"/>
      <c r="I500" s="24">
        <f t="shared" si="88"/>
        <v>0</v>
      </c>
      <c r="J500" s="720"/>
      <c r="K500" s="24">
        <f t="shared" si="89"/>
        <v>0.05</v>
      </c>
      <c r="L500" s="720"/>
      <c r="M500" s="24">
        <f t="shared" si="90"/>
        <v>2</v>
      </c>
      <c r="N500" s="720"/>
      <c r="O500" s="24">
        <f t="shared" si="91"/>
        <v>0</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v>
      </c>
      <c r="H501" s="720"/>
      <c r="I501" s="24">
        <f t="shared" si="88"/>
        <v>0</v>
      </c>
      <c r="J501" s="720"/>
      <c r="K501" s="24">
        <f t="shared" si="89"/>
        <v>0.05</v>
      </c>
      <c r="L501" s="720"/>
      <c r="M501" s="24">
        <f t="shared" si="90"/>
        <v>2</v>
      </c>
      <c r="N501" s="720"/>
      <c r="O501" s="24">
        <f t="shared" si="91"/>
        <v>0</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v>
      </c>
      <c r="H502" s="720"/>
      <c r="I502" s="24">
        <f t="shared" si="88"/>
        <v>0</v>
      </c>
      <c r="J502" s="720"/>
      <c r="K502" s="24">
        <f t="shared" si="89"/>
        <v>0.05</v>
      </c>
      <c r="L502" s="720"/>
      <c r="M502" s="24">
        <f t="shared" si="90"/>
        <v>2</v>
      </c>
      <c r="N502" s="720"/>
      <c r="O502" s="24">
        <f t="shared" si="91"/>
        <v>0</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v>
      </c>
      <c r="H503" s="720"/>
      <c r="I503" s="24">
        <f t="shared" si="88"/>
        <v>0</v>
      </c>
      <c r="J503" s="720"/>
      <c r="K503" s="24">
        <f t="shared" si="89"/>
        <v>0.05</v>
      </c>
      <c r="L503" s="720"/>
      <c r="M503" s="24">
        <f t="shared" si="90"/>
        <v>2</v>
      </c>
      <c r="N503" s="720"/>
      <c r="O503" s="24">
        <f t="shared" si="91"/>
        <v>0</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v>
      </c>
      <c r="H504" s="720"/>
      <c r="I504" s="24">
        <f t="shared" si="88"/>
        <v>0</v>
      </c>
      <c r="J504" s="720"/>
      <c r="K504" s="24">
        <f t="shared" si="89"/>
        <v>0.05</v>
      </c>
      <c r="L504" s="720"/>
      <c r="M504" s="24">
        <f t="shared" si="90"/>
        <v>2</v>
      </c>
      <c r="N504" s="720"/>
      <c r="O504" s="24">
        <f t="shared" si="91"/>
        <v>0</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v>
      </c>
      <c r="H505" s="720"/>
      <c r="I505" s="24">
        <f t="shared" si="88"/>
        <v>0</v>
      </c>
      <c r="J505" s="720"/>
      <c r="K505" s="24">
        <f t="shared" si="89"/>
        <v>0.05</v>
      </c>
      <c r="L505" s="720"/>
      <c r="M505" s="24">
        <f t="shared" si="90"/>
        <v>2</v>
      </c>
      <c r="N505" s="720"/>
      <c r="O505" s="24">
        <f t="shared" si="91"/>
        <v>0</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v>
      </c>
      <c r="H506" s="720"/>
      <c r="I506" s="24">
        <f t="shared" si="88"/>
        <v>0</v>
      </c>
      <c r="J506" s="720"/>
      <c r="K506" s="24">
        <f t="shared" si="89"/>
        <v>0.05</v>
      </c>
      <c r="L506" s="720"/>
      <c r="M506" s="24">
        <f t="shared" si="90"/>
        <v>2</v>
      </c>
      <c r="N506" s="720"/>
      <c r="O506" s="24">
        <f t="shared" si="91"/>
        <v>0</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v>
      </c>
      <c r="H507" s="720"/>
      <c r="I507" s="24">
        <f t="shared" si="88"/>
        <v>0</v>
      </c>
      <c r="J507" s="720"/>
      <c r="K507" s="24">
        <f t="shared" si="89"/>
        <v>0.05</v>
      </c>
      <c r="L507" s="720"/>
      <c r="M507" s="24">
        <f t="shared" si="90"/>
        <v>2</v>
      </c>
      <c r="N507" s="720"/>
      <c r="O507" s="24">
        <f t="shared" si="91"/>
        <v>0</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v>
      </c>
      <c r="H508" s="720"/>
      <c r="I508" s="24">
        <f t="shared" si="88"/>
        <v>0</v>
      </c>
      <c r="J508" s="720"/>
      <c r="K508" s="24">
        <f t="shared" si="89"/>
        <v>0.05</v>
      </c>
      <c r="L508" s="720"/>
      <c r="M508" s="24">
        <f t="shared" si="90"/>
        <v>2</v>
      </c>
      <c r="N508" s="720"/>
      <c r="O508" s="24">
        <f t="shared" si="91"/>
        <v>0</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v>
      </c>
      <c r="H509" s="720"/>
      <c r="I509" s="24">
        <f t="shared" si="88"/>
        <v>0</v>
      </c>
      <c r="J509" s="720"/>
      <c r="K509" s="24">
        <f t="shared" si="89"/>
        <v>0.05</v>
      </c>
      <c r="L509" s="720"/>
      <c r="M509" s="24">
        <f t="shared" si="90"/>
        <v>2</v>
      </c>
      <c r="N509" s="720"/>
      <c r="O509" s="24">
        <f t="shared" si="91"/>
        <v>0</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v>
      </c>
      <c r="H510" s="720"/>
      <c r="I510" s="24">
        <f t="shared" si="88"/>
        <v>0</v>
      </c>
      <c r="J510" s="720"/>
      <c r="K510" s="24">
        <f t="shared" si="89"/>
        <v>0.05</v>
      </c>
      <c r="L510" s="720"/>
      <c r="M510" s="24">
        <f t="shared" si="90"/>
        <v>2</v>
      </c>
      <c r="N510" s="720"/>
      <c r="O510" s="24">
        <f t="shared" si="91"/>
        <v>0</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v>
      </c>
      <c r="H511" s="720"/>
      <c r="I511" s="24">
        <f t="shared" si="88"/>
        <v>0</v>
      </c>
      <c r="J511" s="720"/>
      <c r="K511" s="24">
        <f t="shared" si="89"/>
        <v>0.05</v>
      </c>
      <c r="L511" s="720"/>
      <c r="M511" s="24">
        <f t="shared" si="90"/>
        <v>2</v>
      </c>
      <c r="N511" s="720"/>
      <c r="O511" s="24">
        <f t="shared" si="91"/>
        <v>0</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v>
      </c>
      <c r="H512" s="720"/>
      <c r="I512" s="24">
        <f t="shared" si="88"/>
        <v>0</v>
      </c>
      <c r="J512" s="720"/>
      <c r="K512" s="24">
        <f t="shared" si="89"/>
        <v>0.05</v>
      </c>
      <c r="L512" s="720"/>
      <c r="M512" s="24">
        <f t="shared" si="90"/>
        <v>2</v>
      </c>
      <c r="N512" s="720"/>
      <c r="O512" s="24">
        <f t="shared" si="91"/>
        <v>0</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v>
      </c>
      <c r="H513" s="720"/>
      <c r="I513" s="24">
        <f t="shared" si="88"/>
        <v>0</v>
      </c>
      <c r="J513" s="720"/>
      <c r="K513" s="24">
        <f t="shared" si="89"/>
        <v>0.05</v>
      </c>
      <c r="L513" s="720"/>
      <c r="M513" s="24">
        <f t="shared" si="90"/>
        <v>2</v>
      </c>
      <c r="N513" s="720"/>
      <c r="O513" s="24">
        <f t="shared" si="91"/>
        <v>0</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v>
      </c>
      <c r="H514" s="720"/>
      <c r="I514" s="24">
        <f t="shared" si="88"/>
        <v>0</v>
      </c>
      <c r="J514" s="720"/>
      <c r="K514" s="24">
        <f t="shared" si="89"/>
        <v>0.05</v>
      </c>
      <c r="L514" s="720"/>
      <c r="M514" s="24">
        <f t="shared" si="90"/>
        <v>2</v>
      </c>
      <c r="N514" s="720"/>
      <c r="O514" s="24">
        <f t="shared" si="91"/>
        <v>0</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v>
      </c>
      <c r="H515" s="720"/>
      <c r="I515" s="24">
        <f t="shared" si="88"/>
        <v>0</v>
      </c>
      <c r="J515" s="720"/>
      <c r="K515" s="24">
        <f t="shared" si="89"/>
        <v>0.05</v>
      </c>
      <c r="L515" s="720"/>
      <c r="M515" s="24">
        <f t="shared" si="90"/>
        <v>2</v>
      </c>
      <c r="N515" s="720"/>
      <c r="O515" s="24">
        <f t="shared" si="91"/>
        <v>0</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v>
      </c>
      <c r="H516" s="720"/>
      <c r="I516" s="24">
        <f t="shared" si="88"/>
        <v>0</v>
      </c>
      <c r="J516" s="720"/>
      <c r="K516" s="24">
        <f t="shared" si="89"/>
        <v>0.05</v>
      </c>
      <c r="L516" s="720"/>
      <c r="M516" s="24">
        <f t="shared" si="90"/>
        <v>2</v>
      </c>
      <c r="N516" s="720"/>
      <c r="O516" s="24">
        <f t="shared" si="91"/>
        <v>0</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v>
      </c>
      <c r="H517" s="720"/>
      <c r="I517" s="24">
        <f t="shared" si="88"/>
        <v>0</v>
      </c>
      <c r="J517" s="720"/>
      <c r="K517" s="24">
        <f t="shared" si="89"/>
        <v>0.05</v>
      </c>
      <c r="L517" s="720"/>
      <c r="M517" s="24">
        <f t="shared" si="90"/>
        <v>2</v>
      </c>
      <c r="N517" s="720"/>
      <c r="O517" s="24">
        <f t="shared" si="91"/>
        <v>0</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v>
      </c>
      <c r="H518" s="720"/>
      <c r="I518" s="24">
        <f t="shared" si="88"/>
        <v>0</v>
      </c>
      <c r="J518" s="720"/>
      <c r="K518" s="24">
        <f t="shared" si="89"/>
        <v>0.05</v>
      </c>
      <c r="L518" s="720"/>
      <c r="M518" s="24">
        <f t="shared" si="90"/>
        <v>2</v>
      </c>
      <c r="N518" s="720"/>
      <c r="O518" s="24">
        <f t="shared" si="91"/>
        <v>0</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v>
      </c>
      <c r="H519" s="720"/>
      <c r="I519" s="24">
        <f t="shared" si="88"/>
        <v>0</v>
      </c>
      <c r="J519" s="720"/>
      <c r="K519" s="24">
        <f t="shared" si="89"/>
        <v>0.05</v>
      </c>
      <c r="L519" s="720"/>
      <c r="M519" s="24">
        <f t="shared" si="90"/>
        <v>2</v>
      </c>
      <c r="N519" s="720"/>
      <c r="O519" s="24">
        <f t="shared" si="91"/>
        <v>0</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v>
      </c>
      <c r="H520" s="720"/>
      <c r="I520" s="24">
        <f t="shared" si="88"/>
        <v>0</v>
      </c>
      <c r="J520" s="720"/>
      <c r="K520" s="24">
        <f t="shared" si="89"/>
        <v>0.05</v>
      </c>
      <c r="L520" s="720"/>
      <c r="M520" s="24">
        <f t="shared" si="90"/>
        <v>2</v>
      </c>
      <c r="N520" s="720"/>
      <c r="O520" s="24">
        <f t="shared" si="91"/>
        <v>0</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v>
      </c>
      <c r="H521" s="720"/>
      <c r="I521" s="24">
        <f t="shared" si="88"/>
        <v>0</v>
      </c>
      <c r="J521" s="720"/>
      <c r="K521" s="24">
        <f t="shared" si="89"/>
        <v>0.05</v>
      </c>
      <c r="L521" s="720"/>
      <c r="M521" s="24">
        <f t="shared" si="90"/>
        <v>2</v>
      </c>
      <c r="N521" s="720"/>
      <c r="O521" s="24">
        <f t="shared" si="91"/>
        <v>0</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v>
      </c>
      <c r="H522" s="720"/>
      <c r="I522" s="24">
        <f t="shared" si="88"/>
        <v>0</v>
      </c>
      <c r="J522" s="720"/>
      <c r="K522" s="24">
        <f t="shared" si="89"/>
        <v>0.05</v>
      </c>
      <c r="L522" s="720"/>
      <c r="M522" s="24">
        <f t="shared" si="90"/>
        <v>2</v>
      </c>
      <c r="N522" s="720"/>
      <c r="O522" s="24">
        <f t="shared" si="91"/>
        <v>0</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v>
      </c>
      <c r="H523" s="720"/>
      <c r="I523" s="24">
        <f t="shared" si="88"/>
        <v>0</v>
      </c>
      <c r="J523" s="720"/>
      <c r="K523" s="24">
        <f t="shared" si="89"/>
        <v>0.05</v>
      </c>
      <c r="L523" s="720"/>
      <c r="M523" s="24">
        <f t="shared" si="90"/>
        <v>2</v>
      </c>
      <c r="N523" s="720"/>
      <c r="O523" s="24">
        <f t="shared" si="91"/>
        <v>0</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v>
      </c>
      <c r="H524" s="720"/>
      <c r="I524" s="24">
        <f t="shared" si="88"/>
        <v>0</v>
      </c>
      <c r="J524" s="720"/>
      <c r="K524" s="24">
        <f t="shared" si="89"/>
        <v>0.05</v>
      </c>
      <c r="L524" s="720"/>
      <c r="M524" s="24">
        <f t="shared" si="90"/>
        <v>2</v>
      </c>
      <c r="N524" s="720"/>
      <c r="O524" s="24">
        <f t="shared" si="91"/>
        <v>0</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7"/>
      <c r="B4" s="2973" t="s">
        <v>1630</v>
      </c>
      <c r="C4" s="2973"/>
      <c r="D4" s="2973"/>
      <c r="E4" s="1957"/>
    </row>
    <row r="5" spans="1:5" ht="16.5" thickTop="1">
      <c r="A5" s="1955"/>
      <c r="B5" s="2971" t="s">
        <v>1622</v>
      </c>
      <c r="C5" s="1958" t="s">
        <v>1623</v>
      </c>
      <c r="D5" s="1043">
        <f ca="1">结果表!H101</f>
        <v>18745</v>
      </c>
      <c r="E5" s="1955"/>
    </row>
    <row r="6" spans="1:5" ht="15.75">
      <c r="A6" s="1955"/>
      <c r="B6" s="2971"/>
      <c r="C6" s="1958" t="s">
        <v>1624</v>
      </c>
      <c r="D6" s="1043" t="str">
        <f ca="1">NUMBERSTRING(INT(D5*10000),2)&amp;"元整"</f>
        <v>壹亿捌仟柒佰肆拾伍万元整</v>
      </c>
      <c r="E6" s="1955"/>
    </row>
    <row r="7" spans="1:5" ht="15.75">
      <c r="A7" s="1955"/>
      <c r="B7" s="2976"/>
      <c r="C7" s="1959" t="s">
        <v>1625</v>
      </c>
      <c r="D7" s="1044">
        <f ca="1">结果表!H102</f>
        <v>4823</v>
      </c>
      <c r="E7" s="1955"/>
    </row>
    <row r="8" spans="1:5" ht="15.75">
      <c r="A8" s="1955"/>
      <c r="B8" s="2977" t="str">
        <f>结果表!E103</f>
        <v>2.估价师知悉的法定优先受偿款</v>
      </c>
      <c r="C8" s="1960" t="s">
        <v>1626</v>
      </c>
      <c r="D8" s="1044">
        <f>结果表!H103</f>
        <v>0</v>
      </c>
      <c r="E8" s="1955"/>
    </row>
    <row r="9" spans="1:5" ht="15.75">
      <c r="A9" s="1955"/>
      <c r="B9" s="2979"/>
      <c r="C9" s="1958" t="s">
        <v>1624</v>
      </c>
      <c r="D9" s="1043" t="str">
        <f>NUMBERSTRING(INT(D8*10000),2)&amp;"元整"</f>
        <v>零元整</v>
      </c>
      <c r="E9" s="1955"/>
    </row>
    <row r="10" spans="1:5" ht="15">
      <c r="A10" s="1955"/>
      <c r="B10" s="1961" t="s">
        <v>1629</v>
      </c>
      <c r="C10" s="1962" t="s">
        <v>1627</v>
      </c>
      <c r="D10" s="1045">
        <f>结果表!H104</f>
        <v>0</v>
      </c>
      <c r="E10" s="1955"/>
    </row>
    <row r="11" spans="1:5" ht="15">
      <c r="A11" s="1955"/>
      <c r="B11" s="1961" t="s">
        <v>1631</v>
      </c>
      <c r="C11" s="1962" t="s">
        <v>1632</v>
      </c>
      <c r="D11" s="1045">
        <f>结果表!H105</f>
        <v>0</v>
      </c>
      <c r="E11" s="1955"/>
    </row>
    <row r="12" spans="1:5" ht="15">
      <c r="A12" s="1955"/>
      <c r="B12" s="1961" t="s">
        <v>1633</v>
      </c>
      <c r="C12" s="1962" t="s">
        <v>1632</v>
      </c>
      <c r="D12" s="1045">
        <f>结果表!H106</f>
        <v>0</v>
      </c>
      <c r="E12" s="1955"/>
    </row>
    <row r="13" spans="1:5" ht="15.75">
      <c r="A13" s="1955"/>
      <c r="B13" s="2970" t="str">
        <f>结果表!E107</f>
        <v>3.房地产抵押价值</v>
      </c>
      <c r="C13" s="1963" t="s">
        <v>1623</v>
      </c>
      <c r="D13" s="1046">
        <f ca="1">结果表!H107</f>
        <v>18745</v>
      </c>
      <c r="E13" s="1955"/>
    </row>
    <row r="14" spans="1:5" ht="15.75">
      <c r="A14" s="1955"/>
      <c r="B14" s="2971"/>
      <c r="C14" s="1958" t="s">
        <v>1624</v>
      </c>
      <c r="D14" s="1043" t="str">
        <f ca="1">NUMBERSTRING(INT(D13*10000),2)&amp;"元整"</f>
        <v>壹亿捌仟柒佰肆拾伍万元整</v>
      </c>
      <c r="E14" s="1955"/>
    </row>
    <row r="15" spans="1:5" ht="15">
      <c r="A15" s="1955"/>
      <c r="B15" s="2976"/>
      <c r="C15" s="1959" t="s">
        <v>1634</v>
      </c>
      <c r="D15" s="1055">
        <f ca="1">结果表!H108</f>
        <v>4823</v>
      </c>
      <c r="E15" s="1955"/>
    </row>
    <row r="16" spans="1:5" ht="15">
      <c r="A16" s="1955"/>
      <c r="B16" s="2977" t="str">
        <f>结果表!E109</f>
        <v>——</v>
      </c>
      <c r="C16" s="1963" t="s">
        <v>1635</v>
      </c>
      <c r="D16" s="1964" t="str">
        <f>结果表!H109</f>
        <v>——</v>
      </c>
      <c r="E16" s="1955"/>
    </row>
    <row r="17" spans="1:5" ht="15.75">
      <c r="A17" s="1955"/>
      <c r="B17" s="2978"/>
      <c r="C17" s="1958" t="s">
        <v>1636</v>
      </c>
      <c r="D17" s="1043" t="e">
        <f>NUMBERSTRING(INT(D16*10000),2)&amp;"元整"</f>
        <v>#VALUE!</v>
      </c>
      <c r="E17" s="1955"/>
    </row>
    <row r="18" spans="1:5" ht="15">
      <c r="A18" s="1955"/>
      <c r="B18" s="2979"/>
      <c r="C18" s="1959" t="s">
        <v>1625</v>
      </c>
      <c r="D18" s="1055" t="str">
        <f>结果表!H110</f>
        <v>——</v>
      </c>
      <c r="E18" s="1955"/>
    </row>
    <row r="19" spans="1:5" ht="15.75">
      <c r="A19" s="1955"/>
      <c r="B19" s="2970" t="str">
        <f>结果表!E111</f>
        <v>——</v>
      </c>
      <c r="C19" s="1963" t="s">
        <v>1623</v>
      </c>
      <c r="D19" s="1044" t="str">
        <f>结果表!H111</f>
        <v>——</v>
      </c>
      <c r="E19" s="1955"/>
    </row>
    <row r="20" spans="1:5" ht="15.75">
      <c r="A20" s="1955"/>
      <c r="B20" s="2971"/>
      <c r="C20" s="1958" t="s">
        <v>1636</v>
      </c>
      <c r="D20" s="1043" t="e">
        <f>NUMBERSTRING(INT(D19*10000),2)&amp;"元整"</f>
        <v>#VALUE!</v>
      </c>
      <c r="E20" s="1955"/>
    </row>
    <row r="21" spans="1:5" ht="15.75" thickBot="1">
      <c r="A21" s="1955"/>
      <c r="B21" s="2972"/>
      <c r="C21" s="1965" t="s">
        <v>1634</v>
      </c>
      <c r="D21" s="1056"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40545</v>
      </c>
      <c r="C2" s="2" t="s">
        <v>133</v>
      </c>
      <c r="D2" s="243"/>
      <c r="E2" s="243"/>
      <c r="F2" s="243"/>
      <c r="G2" s="243"/>
    </row>
    <row r="3" spans="1:7" s="244" customFormat="1" ht="18" customHeight="1" thickBot="1">
      <c r="A3" s="247" t="s">
        <v>85</v>
      </c>
      <c r="B3" s="248">
        <f ca="1">ROUND(B2*10000/'数据-汇总表'!E3,0)</f>
        <v>10432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583</v>
      </c>
      <c r="D10" s="1035">
        <f>'数据-汇总表'!E6</f>
        <v>38865.599999999999</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777</v>
      </c>
      <c r="D19" s="1039">
        <f>'数据-汇总表'!E3</f>
        <v>38865.599999999999</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88"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3">
        <f ca="1">ROUND(SUM(C23:C25),0)</f>
        <v>1557</v>
      </c>
      <c r="D22" s="279">
        <f ca="1">C26</f>
        <v>1.1000000000000001E-3</v>
      </c>
      <c r="E22" s="280" t="s">
        <v>126</v>
      </c>
      <c r="F22" s="281">
        <f ca="1">'数据-取费表'!B40</f>
        <v>4.7500000000000001E-2</v>
      </c>
      <c r="G22" s="1288" t="str">
        <f>IF('数据-取费表'!B22&lt;=1,"单利计息","复利计息")</f>
        <v>复利计息</v>
      </c>
    </row>
    <row r="23" spans="1:7" s="258" customFormat="1" ht="13.5" customHeight="1">
      <c r="A23" s="954" t="s">
        <v>794</v>
      </c>
      <c r="B23" s="259" t="s">
        <v>1061</v>
      </c>
      <c r="C23" s="1354">
        <f ca="1">ROUND(IF('数据-取费表'!B22&lt;=1,C5*F22*'数据-取费表'!B23,C5*(POWER((1+F22),'数据-取费表'!B23)-1)),0)</f>
        <v>1486</v>
      </c>
      <c r="D23" s="282"/>
      <c r="E23" s="282"/>
      <c r="F23" s="283"/>
      <c r="G23" s="284" t="s">
        <v>108</v>
      </c>
    </row>
    <row r="24" spans="1:7" s="258" customFormat="1" ht="13.5" customHeight="1">
      <c r="A24" s="954" t="s">
        <v>792</v>
      </c>
      <c r="B24" s="259" t="s">
        <v>1056</v>
      </c>
      <c r="C24" s="1354">
        <f ca="1">ROUND(IF('数据-取费表'!B22&lt;=1,C19*F22*('数据-取费表'!B19/2+'数据-取费表'!B21),C19*(POWER((1+F22),('数据-取费表'!B19/2+'数据-取费表'!B21))-1)),0)</f>
        <v>56</v>
      </c>
      <c r="D24" s="282"/>
      <c r="E24" s="282"/>
      <c r="F24" s="283"/>
      <c r="G24" s="284" t="s">
        <v>109</v>
      </c>
    </row>
    <row r="25" spans="1:7" s="258" customFormat="1" ht="24">
      <c r="A25" s="954" t="s">
        <v>793</v>
      </c>
      <c r="B25" s="259" t="s">
        <v>1058</v>
      </c>
      <c r="C25" s="1354">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3272</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3272</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9712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8550</v>
      </c>
      <c r="D34" s="261"/>
      <c r="E34" s="264"/>
      <c r="F34" s="301">
        <f>IF('数据-取费表'!B24=0,1,'数据-取费表'!N16)</f>
        <v>1</v>
      </c>
      <c r="G34" s="263" t="s">
        <v>116</v>
      </c>
    </row>
    <row r="35" spans="1:7" ht="13.5" customHeight="1">
      <c r="A35" s="954" t="s">
        <v>796</v>
      </c>
      <c r="B35" s="259" t="s">
        <v>60</v>
      </c>
      <c r="C35" s="264">
        <f>ROUND(C34*F35,0)</f>
        <v>257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777</v>
      </c>
      <c r="D37" s="261">
        <f>'数据-汇总表'!E3</f>
        <v>38865.599999999999</v>
      </c>
      <c r="E37" s="293">
        <f>'数据-取费表'!B35</f>
        <v>200</v>
      </c>
      <c r="F37" s="303"/>
      <c r="G37" s="305" t="s">
        <v>119</v>
      </c>
    </row>
    <row r="38" spans="1:7" ht="13.5" customHeight="1">
      <c r="A38" s="954" t="s">
        <v>799</v>
      </c>
      <c r="B38" s="259" t="s">
        <v>63</v>
      </c>
      <c r="C38" s="264">
        <f>ROUND(C34*F38,0)</f>
        <v>128</v>
      </c>
      <c r="D38" s="264"/>
      <c r="E38" s="264"/>
      <c r="F38" s="303">
        <f>'数据-取费表'!B36</f>
        <v>1.4999999999999999E-2</v>
      </c>
      <c r="G38" s="263" t="s">
        <v>117</v>
      </c>
    </row>
    <row r="39" spans="1:7" s="258" customFormat="1" ht="13.5" customHeight="1">
      <c r="A39" s="951" t="s">
        <v>783</v>
      </c>
      <c r="B39" s="254" t="s">
        <v>104</v>
      </c>
      <c r="C39" s="276">
        <f>ROUND(C33*F20,0)</f>
        <v>194</v>
      </c>
      <c r="D39" s="276"/>
      <c r="E39" s="276"/>
      <c r="F39" s="277"/>
      <c r="G39" s="1288"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351</v>
      </c>
      <c r="D41" s="279">
        <f ca="1">C44</f>
        <v>1.1000000000000001E-3</v>
      </c>
      <c r="E41" s="280" t="s">
        <v>129</v>
      </c>
      <c r="F41" s="281"/>
      <c r="G41" s="1288" t="str">
        <f>IF('数据-取费表'!B22&lt;=1,"单利计息","复利计息")</f>
        <v>复利计息</v>
      </c>
    </row>
    <row r="42" spans="1:7" ht="13.5" customHeight="1">
      <c r="A42" s="954" t="s">
        <v>794</v>
      </c>
      <c r="B42" s="259" t="s">
        <v>1061</v>
      </c>
      <c r="C42" s="282">
        <f ca="1">ROUND(IF('数据-取费表'!B22&lt;=1,C33*F22*'数据-取费表'!B21/2,C33*(POWER((1+F22),'数据-取费表'!B21/2)-1)),0)</f>
        <v>344</v>
      </c>
      <c r="D42" s="282"/>
      <c r="E42" s="282"/>
      <c r="F42" s="283"/>
      <c r="G42" s="3155" t="s">
        <v>121</v>
      </c>
    </row>
    <row r="43" spans="1:7" ht="13.5" customHeight="1">
      <c r="A43" s="954" t="s">
        <v>792</v>
      </c>
      <c r="B43" s="259" t="s">
        <v>1064</v>
      </c>
      <c r="C43" s="282">
        <f ca="1">ROUND(IF('数据-取费表'!B22&lt;=1,C39*F22*'数据-取费表'!B21/2,C39*(POWER((1+F22),'数据-取费表'!B21/2)-1)),0)</f>
        <v>7</v>
      </c>
      <c r="D43" s="282"/>
      <c r="E43" s="282"/>
      <c r="F43" s="283"/>
      <c r="G43" s="3156"/>
    </row>
    <row r="44" spans="1:7" ht="13.5" customHeight="1">
      <c r="A44" s="954" t="s">
        <v>793</v>
      </c>
      <c r="B44" s="259" t="s">
        <v>1066</v>
      </c>
      <c r="C44" s="282">
        <f ca="1">ROUND(IF('数据-取费表'!B22&lt;=1,C40*F22*'数据-取费表'!B21/2,C40*(POWER((1+F22),'数据-取费表'!B21/2)-1)),4)</f>
        <v>1.1000000000000001E-3</v>
      </c>
      <c r="D44" s="282"/>
      <c r="E44" s="282"/>
      <c r="F44" s="283"/>
      <c r="G44" s="3157"/>
    </row>
    <row r="45" spans="1:7" s="258" customFormat="1" ht="13.5" customHeight="1">
      <c r="A45" s="951" t="s">
        <v>786</v>
      </c>
      <c r="B45" s="288" t="s">
        <v>112</v>
      </c>
      <c r="C45" s="289">
        <f>C46</f>
        <v>1486</v>
      </c>
      <c r="D45" s="279">
        <f>C47</f>
        <v>4.4999999999999997E-3</v>
      </c>
      <c r="E45" s="280" t="s">
        <v>129</v>
      </c>
      <c r="F45" s="290"/>
      <c r="G45" s="291" t="s">
        <v>1072</v>
      </c>
    </row>
    <row r="46" spans="1:7" s="258" customFormat="1" ht="13.5" customHeight="1">
      <c r="A46" s="954" t="s">
        <v>794</v>
      </c>
      <c r="B46" s="292" t="s">
        <v>1065</v>
      </c>
      <c r="C46" s="293">
        <f>ROUND((C33+C39)*F27,0)</f>
        <v>1486</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12876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11331</v>
      </c>
      <c r="D51" s="276"/>
      <c r="E51" s="276"/>
      <c r="F51" s="308"/>
      <c r="G51" s="278" t="s">
        <v>64</v>
      </c>
    </row>
    <row r="52" spans="1:7" s="252" customFormat="1" ht="16.5" thickBot="1">
      <c r="A52" s="309" t="s">
        <v>65</v>
      </c>
      <c r="B52" s="310"/>
      <c r="C52" s="311">
        <f ca="1">C31+C51</f>
        <v>40545</v>
      </c>
      <c r="D52" s="310"/>
      <c r="E52" s="310"/>
      <c r="F52" s="310"/>
      <c r="G52" s="312"/>
    </row>
    <row r="55" spans="1:7" ht="15">
      <c r="B55" s="314" t="s">
        <v>66</v>
      </c>
      <c r="C55" s="315"/>
    </row>
    <row r="56" spans="1:7">
      <c r="B56" s="317" t="s">
        <v>67</v>
      </c>
      <c r="C56" s="318">
        <f ca="1">ROUND(C51/C52,3)</f>
        <v>0.27900000000000003</v>
      </c>
    </row>
    <row r="57" spans="1:7">
      <c r="B57" s="317" t="s">
        <v>68</v>
      </c>
      <c r="C57" s="319">
        <f ca="1">1-C56</f>
        <v>0.72099999999999997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43417</v>
      </c>
      <c r="D1" s="1699" t="s">
        <v>1301</v>
      </c>
      <c r="E1" s="1694">
        <f>'数据-取费表'!B22</f>
        <v>1.5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topLeftCell="A7" workbookViewId="0">
      <selection activeCell="B36" sqref="B36"/>
    </sheetView>
  </sheetViews>
  <sheetFormatPr defaultRowHeight="13.5"/>
  <cols>
    <col min="1" max="1" width="12.375" customWidth="1"/>
    <col min="2" max="2" width="11.625" bestFit="1" customWidth="1"/>
  </cols>
  <sheetData>
    <row r="1" spans="1:15">
      <c r="A1" s="2939" t="s">
        <v>3055</v>
      </c>
      <c r="B1" s="2939" t="s">
        <v>3056</v>
      </c>
      <c r="C1" s="2939" t="s">
        <v>3057</v>
      </c>
      <c r="D1" s="2939" t="s">
        <v>3058</v>
      </c>
      <c r="E1" s="2939" t="s">
        <v>3059</v>
      </c>
      <c r="F1" s="2939" t="s">
        <v>3060</v>
      </c>
      <c r="G1" s="2939" t="s">
        <v>3061</v>
      </c>
      <c r="H1" s="2939" t="s">
        <v>3062</v>
      </c>
      <c r="I1" s="2939" t="s">
        <v>3063</v>
      </c>
      <c r="J1" s="2939" t="s">
        <v>3064</v>
      </c>
      <c r="K1" s="2939" t="s">
        <v>3065</v>
      </c>
      <c r="L1" s="2939" t="s">
        <v>3066</v>
      </c>
      <c r="M1" s="2939" t="s">
        <v>3067</v>
      </c>
    </row>
    <row r="2" spans="1:15">
      <c r="A2" s="2939" t="s">
        <v>3068</v>
      </c>
      <c r="B2" s="2939" t="s">
        <v>3069</v>
      </c>
      <c r="C2" s="2939" t="s">
        <v>3070</v>
      </c>
      <c r="D2" s="2939">
        <v>4073</v>
      </c>
      <c r="E2" s="2939">
        <v>7331.4</v>
      </c>
      <c r="F2" s="2939" t="s">
        <v>3071</v>
      </c>
      <c r="G2" s="2939" t="s">
        <v>3072</v>
      </c>
      <c r="H2" s="2939" t="s">
        <v>3073</v>
      </c>
      <c r="I2" s="2939" t="s">
        <v>1331</v>
      </c>
      <c r="J2" s="2939">
        <v>319</v>
      </c>
      <c r="K2" s="2939">
        <v>435.11</v>
      </c>
      <c r="L2" s="2939" t="s">
        <v>1331</v>
      </c>
      <c r="M2" s="2939" t="s">
        <v>3074</v>
      </c>
    </row>
    <row r="3" spans="1:15">
      <c r="A3" s="2939" t="s">
        <v>3075</v>
      </c>
      <c r="B3" s="2939" t="s">
        <v>3069</v>
      </c>
      <c r="C3" s="2939" t="s">
        <v>3070</v>
      </c>
      <c r="D3" s="2939">
        <v>4386</v>
      </c>
      <c r="E3" s="2939">
        <v>10965</v>
      </c>
      <c r="F3" s="2939" t="s">
        <v>3076</v>
      </c>
      <c r="G3" s="2939" t="s">
        <v>3072</v>
      </c>
      <c r="H3" s="2939" t="s">
        <v>3077</v>
      </c>
      <c r="I3" s="2939" t="s">
        <v>1331</v>
      </c>
      <c r="J3" s="2939">
        <v>540</v>
      </c>
      <c r="K3" s="2939">
        <v>492.48</v>
      </c>
      <c r="L3" s="2939" t="s">
        <v>1331</v>
      </c>
      <c r="M3" s="2939" t="s">
        <v>3078</v>
      </c>
    </row>
    <row r="4" spans="1:15">
      <c r="A4" s="2939" t="s">
        <v>3079</v>
      </c>
      <c r="B4" s="2939" t="s">
        <v>3069</v>
      </c>
      <c r="C4" s="2939" t="s">
        <v>3070</v>
      </c>
      <c r="D4" s="2939">
        <v>9983</v>
      </c>
      <c r="E4" s="2939">
        <v>9983</v>
      </c>
      <c r="F4" s="2939" t="s">
        <v>3080</v>
      </c>
      <c r="G4" s="2939" t="s">
        <v>3072</v>
      </c>
      <c r="H4" s="2939" t="s">
        <v>3081</v>
      </c>
      <c r="I4" s="2939" t="s">
        <v>1331</v>
      </c>
      <c r="J4" s="2939">
        <v>1929</v>
      </c>
      <c r="K4" s="2939">
        <v>1932.27</v>
      </c>
      <c r="L4" s="2939" t="s">
        <v>1331</v>
      </c>
      <c r="M4" s="2939" t="s">
        <v>3082</v>
      </c>
    </row>
    <row r="5" spans="1:15">
      <c r="A5" s="2939" t="s">
        <v>3083</v>
      </c>
      <c r="B5" s="2939" t="s">
        <v>3069</v>
      </c>
      <c r="C5" s="2939" t="s">
        <v>3070</v>
      </c>
      <c r="D5" s="2939">
        <v>667</v>
      </c>
      <c r="E5" s="2939">
        <v>667</v>
      </c>
      <c r="F5" s="2939" t="s">
        <v>3080</v>
      </c>
      <c r="G5" s="2939" t="s">
        <v>3072</v>
      </c>
      <c r="H5" s="2939" t="s">
        <v>3084</v>
      </c>
      <c r="I5" s="2939" t="s">
        <v>1331</v>
      </c>
      <c r="J5" s="2939">
        <v>35</v>
      </c>
      <c r="K5" s="2939">
        <v>524.74</v>
      </c>
      <c r="L5" s="2939" t="s">
        <v>1331</v>
      </c>
      <c r="M5" s="2939" t="s">
        <v>3085</v>
      </c>
    </row>
    <row r="6" spans="1:15">
      <c r="A6" s="2940" t="s">
        <v>3086</v>
      </c>
      <c r="B6" s="2940" t="s">
        <v>3069</v>
      </c>
      <c r="C6" s="2940" t="s">
        <v>3070</v>
      </c>
      <c r="D6" s="2940">
        <v>13936</v>
      </c>
      <c r="E6" s="2940">
        <v>34840</v>
      </c>
      <c r="F6" s="2940" t="s">
        <v>3076</v>
      </c>
      <c r="G6" s="2940" t="s">
        <v>3072</v>
      </c>
      <c r="H6" s="2940" t="s">
        <v>3087</v>
      </c>
      <c r="I6" s="2940" t="s">
        <v>1331</v>
      </c>
      <c r="J6" s="2940">
        <v>6595</v>
      </c>
      <c r="K6" s="2940">
        <v>1892.94</v>
      </c>
      <c r="L6" s="2940" t="s">
        <v>1331</v>
      </c>
      <c r="M6" s="2940" t="s">
        <v>3088</v>
      </c>
      <c r="N6" s="2941"/>
      <c r="O6" s="2941"/>
    </row>
    <row r="7" spans="1:15">
      <c r="A7" s="2939" t="s">
        <v>3089</v>
      </c>
      <c r="B7" s="2939" t="s">
        <v>3069</v>
      </c>
      <c r="C7" s="2939" t="s">
        <v>3070</v>
      </c>
      <c r="D7" s="2939">
        <v>18904</v>
      </c>
      <c r="E7" s="2939">
        <v>20794.400000000001</v>
      </c>
      <c r="F7" s="2939" t="s">
        <v>3090</v>
      </c>
      <c r="G7" s="2939" t="s">
        <v>3072</v>
      </c>
      <c r="H7" s="2939" t="s">
        <v>3091</v>
      </c>
      <c r="I7" s="2939" t="s">
        <v>1331</v>
      </c>
      <c r="J7" s="2939">
        <v>2844</v>
      </c>
      <c r="K7" s="2939">
        <v>1367.68</v>
      </c>
      <c r="L7" s="2939" t="s">
        <v>1331</v>
      </c>
      <c r="M7" s="2939" t="s">
        <v>3092</v>
      </c>
    </row>
    <row r="8" spans="1:15">
      <c r="A8" s="2942" t="s">
        <v>3093</v>
      </c>
      <c r="B8" s="2942" t="s">
        <v>3069</v>
      </c>
      <c r="C8" s="2942" t="s">
        <v>3070</v>
      </c>
      <c r="D8" s="2942">
        <v>16178</v>
      </c>
      <c r="E8" s="2942">
        <v>16178</v>
      </c>
      <c r="F8" s="2942" t="s">
        <v>3080</v>
      </c>
      <c r="G8" s="2942" t="s">
        <v>3072</v>
      </c>
      <c r="H8" s="2942" t="s">
        <v>3094</v>
      </c>
      <c r="I8" s="2942" t="s">
        <v>1331</v>
      </c>
      <c r="J8" s="2942">
        <v>1584</v>
      </c>
      <c r="K8" s="2942">
        <v>979.11</v>
      </c>
      <c r="L8" s="2942" t="s">
        <v>1331</v>
      </c>
      <c r="M8" s="2942" t="s">
        <v>3095</v>
      </c>
      <c r="N8" s="2943"/>
      <c r="O8" s="2943"/>
    </row>
    <row r="9" spans="1:15">
      <c r="A9" s="2942" t="s">
        <v>3096</v>
      </c>
      <c r="B9" s="2942" t="s">
        <v>3069</v>
      </c>
      <c r="C9" s="2942" t="s">
        <v>3070</v>
      </c>
      <c r="D9" s="2942">
        <v>29174</v>
      </c>
      <c r="E9" s="2942">
        <v>102109</v>
      </c>
      <c r="F9" s="2942" t="s">
        <v>3097</v>
      </c>
      <c r="G9" s="2942" t="s">
        <v>3072</v>
      </c>
      <c r="H9" s="2942" t="s">
        <v>3098</v>
      </c>
      <c r="I9" s="2942" t="s">
        <v>1331</v>
      </c>
      <c r="J9" s="2942">
        <v>10426</v>
      </c>
      <c r="K9" s="2942">
        <v>1021.07</v>
      </c>
      <c r="L9" s="2942" t="s">
        <v>1331</v>
      </c>
      <c r="M9" s="2942" t="s">
        <v>3099</v>
      </c>
      <c r="N9" s="2943"/>
      <c r="O9" s="2943"/>
    </row>
    <row r="10" spans="1:15">
      <c r="A10" s="2939" t="s">
        <v>3100</v>
      </c>
      <c r="B10" s="2939" t="s">
        <v>3069</v>
      </c>
      <c r="C10" s="2939" t="s">
        <v>3070</v>
      </c>
      <c r="D10" s="2939">
        <v>1620</v>
      </c>
      <c r="E10" s="2939">
        <v>1620</v>
      </c>
      <c r="F10" s="2939" t="s">
        <v>3080</v>
      </c>
      <c r="G10" s="2939" t="s">
        <v>3072</v>
      </c>
      <c r="H10" s="2939" t="s">
        <v>3101</v>
      </c>
      <c r="I10" s="2939" t="s">
        <v>1331</v>
      </c>
      <c r="J10" s="2939">
        <v>83</v>
      </c>
      <c r="K10" s="2939">
        <v>512.35</v>
      </c>
      <c r="L10" s="2939" t="s">
        <v>1331</v>
      </c>
      <c r="M10" s="2939" t="s">
        <v>3102</v>
      </c>
    </row>
    <row r="11" spans="1:15">
      <c r="A11" s="2939" t="s">
        <v>3103</v>
      </c>
      <c r="B11" s="2939" t="s">
        <v>3069</v>
      </c>
      <c r="C11" s="2939" t="s">
        <v>3070</v>
      </c>
      <c r="D11" s="2939">
        <v>10656</v>
      </c>
      <c r="E11" s="2939">
        <v>26640</v>
      </c>
      <c r="F11" s="2939" t="s">
        <v>3076</v>
      </c>
      <c r="G11" s="2939" t="s">
        <v>3072</v>
      </c>
      <c r="H11" s="2939" t="s">
        <v>3104</v>
      </c>
      <c r="I11" s="2939" t="s">
        <v>1331</v>
      </c>
      <c r="J11" s="2939">
        <v>1044</v>
      </c>
      <c r="K11" s="2939">
        <v>391.88</v>
      </c>
      <c r="L11" s="2939" t="s">
        <v>1331</v>
      </c>
      <c r="M11" s="2939" t="s">
        <v>3105</v>
      </c>
    </row>
    <row r="12" spans="1:15">
      <c r="A12" s="2939" t="s">
        <v>3106</v>
      </c>
      <c r="B12" s="2939" t="s">
        <v>3069</v>
      </c>
      <c r="C12" s="2939" t="s">
        <v>3070</v>
      </c>
      <c r="D12" s="2939">
        <v>4398</v>
      </c>
      <c r="E12" s="2939">
        <v>4398</v>
      </c>
      <c r="F12" s="2939" t="s">
        <v>3080</v>
      </c>
      <c r="G12" s="2939" t="s">
        <v>3072</v>
      </c>
      <c r="H12" s="2939" t="s">
        <v>3104</v>
      </c>
      <c r="I12" s="2939" t="s">
        <v>1331</v>
      </c>
      <c r="J12" s="2939">
        <v>211</v>
      </c>
      <c r="K12" s="2939">
        <v>479.75</v>
      </c>
      <c r="L12" s="2939" t="s">
        <v>1331</v>
      </c>
      <c r="M12" s="2939" t="s">
        <v>3107</v>
      </c>
    </row>
    <row r="13" spans="1:15">
      <c r="A13" s="2942" t="s">
        <v>3108</v>
      </c>
      <c r="B13" s="2942" t="s">
        <v>3069</v>
      </c>
      <c r="C13" s="2942" t="s">
        <v>3070</v>
      </c>
      <c r="D13" s="2942">
        <v>4022</v>
      </c>
      <c r="E13" s="2942">
        <v>8044</v>
      </c>
      <c r="F13" s="2942" t="s">
        <v>3109</v>
      </c>
      <c r="G13" s="2942" t="s">
        <v>3072</v>
      </c>
      <c r="H13" s="2942" t="s">
        <v>3110</v>
      </c>
      <c r="I13" s="2942" t="s">
        <v>1331</v>
      </c>
      <c r="J13" s="2942">
        <v>950</v>
      </c>
      <c r="K13" s="2942">
        <v>1181</v>
      </c>
      <c r="L13" s="2942" t="s">
        <v>1331</v>
      </c>
      <c r="M13" s="2942" t="s">
        <v>3088</v>
      </c>
      <c r="N13" s="2943"/>
      <c r="O13" s="2943"/>
    </row>
    <row r="14" spans="1:15">
      <c r="A14" s="2939" t="s">
        <v>3111</v>
      </c>
      <c r="B14" s="2939" t="s">
        <v>3069</v>
      </c>
      <c r="C14" s="2939" t="s">
        <v>3070</v>
      </c>
      <c r="D14" s="2939">
        <v>2861</v>
      </c>
      <c r="E14" s="2939">
        <v>5722</v>
      </c>
      <c r="F14" s="2939" t="s">
        <v>3112</v>
      </c>
      <c r="G14" s="2939" t="s">
        <v>3072</v>
      </c>
      <c r="H14" s="2939" t="s">
        <v>3113</v>
      </c>
      <c r="I14" s="2939" t="s">
        <v>1331</v>
      </c>
      <c r="J14" s="2939">
        <v>102</v>
      </c>
      <c r="K14" s="2939">
        <v>178.25</v>
      </c>
      <c r="L14" s="2939" t="s">
        <v>1331</v>
      </c>
      <c r="M14" s="2939" t="s">
        <v>3114</v>
      </c>
    </row>
    <row r="15" spans="1:15">
      <c r="A15" s="2939" t="s">
        <v>3115</v>
      </c>
      <c r="B15" s="2939" t="s">
        <v>3069</v>
      </c>
      <c r="C15" s="2939" t="s">
        <v>3070</v>
      </c>
      <c r="D15" s="2939">
        <v>3144</v>
      </c>
      <c r="E15" s="2939">
        <v>3144</v>
      </c>
      <c r="F15" s="2939" t="s">
        <v>3080</v>
      </c>
      <c r="G15" s="2939" t="s">
        <v>3072</v>
      </c>
      <c r="H15" s="2939" t="s">
        <v>3113</v>
      </c>
      <c r="I15" s="2939" t="s">
        <v>1331</v>
      </c>
      <c r="J15" s="2939">
        <v>338</v>
      </c>
      <c r="K15" s="2939">
        <v>1075.05</v>
      </c>
      <c r="L15" s="2939" t="s">
        <v>1331</v>
      </c>
      <c r="M15" s="2939" t="s">
        <v>3116</v>
      </c>
    </row>
    <row r="16" spans="1:15">
      <c r="A16" s="2939" t="s">
        <v>3117</v>
      </c>
      <c r="B16" s="2939" t="s">
        <v>3069</v>
      </c>
      <c r="C16" s="2939" t="s">
        <v>3070</v>
      </c>
      <c r="D16" s="2939">
        <v>3150</v>
      </c>
      <c r="E16" s="2939">
        <v>6300</v>
      </c>
      <c r="F16" s="2939" t="s">
        <v>3112</v>
      </c>
      <c r="G16" s="2939" t="s">
        <v>3072</v>
      </c>
      <c r="H16" s="2939" t="s">
        <v>3118</v>
      </c>
      <c r="I16" s="2939" t="s">
        <v>1331</v>
      </c>
      <c r="J16" s="2939">
        <v>145</v>
      </c>
      <c r="K16" s="2939">
        <v>230.15</v>
      </c>
      <c r="L16" s="2939" t="s">
        <v>1331</v>
      </c>
      <c r="M16" s="2939" t="s">
        <v>3119</v>
      </c>
    </row>
    <row r="19" spans="1:2">
      <c r="A19" s="59">
        <v>4188</v>
      </c>
      <c r="B19" s="2961">
        <f>A19/(A19+A20+A21)*A23</f>
        <v>4342.3905289974518</v>
      </c>
    </row>
    <row r="20" spans="1:2">
      <c r="A20" s="59">
        <v>406.53</v>
      </c>
      <c r="B20" s="2961">
        <f>A20/(A19+A20+A21)*A23</f>
        <v>421.51671961636441</v>
      </c>
    </row>
    <row r="21" spans="1:2">
      <c r="A21" s="59">
        <v>2078.4699999999998</v>
      </c>
      <c r="B21" s="2961">
        <f>A21/(A19+A20+A21)*A23</f>
        <v>2155.092751386183</v>
      </c>
    </row>
    <row r="22" spans="1:2">
      <c r="B22" s="2961"/>
    </row>
    <row r="23" spans="1:2">
      <c r="A23" s="2956">
        <v>6919</v>
      </c>
      <c r="B23" s="2961"/>
    </row>
    <row r="24" spans="1:2">
      <c r="B24" s="2961"/>
    </row>
    <row r="25" spans="1:2">
      <c r="A25" s="59">
        <v>315</v>
      </c>
      <c r="B25" s="2961">
        <f>A25/(A25+A26)*A28</f>
        <v>378.72799408650002</v>
      </c>
    </row>
    <row r="26" spans="1:2">
      <c r="A26" s="59">
        <v>1673.67</v>
      </c>
      <c r="B26" s="2961">
        <f>A26/(A25+A26)*A28</f>
        <v>2012.2720059134999</v>
      </c>
    </row>
    <row r="27" spans="1:2">
      <c r="B27" s="2961"/>
    </row>
    <row r="28" spans="1:2">
      <c r="A28" s="2956">
        <v>2391</v>
      </c>
      <c r="B28" s="2961"/>
    </row>
    <row r="29" spans="1:2">
      <c r="B29" s="2961"/>
    </row>
    <row r="30" spans="1:2">
      <c r="A30" s="59">
        <v>820</v>
      </c>
      <c r="B30" s="2961">
        <f>A30/(A30+A31)*A33</f>
        <v>2551.1884550084892</v>
      </c>
    </row>
    <row r="31" spans="1:2">
      <c r="A31" s="59">
        <v>1536</v>
      </c>
      <c r="B31" s="2961">
        <f>A31/(A30+A31)*A33</f>
        <v>4778.8115449915113</v>
      </c>
    </row>
    <row r="32" spans="1:2">
      <c r="B32" s="2961"/>
    </row>
    <row r="33" spans="1:2">
      <c r="A33" s="2956">
        <v>7330</v>
      </c>
      <c r="B33" s="2961"/>
    </row>
    <row r="34" spans="1:2">
      <c r="B34" s="2961"/>
    </row>
    <row r="35" spans="1:2">
      <c r="A35" s="59">
        <v>5981.09</v>
      </c>
      <c r="B35" s="2961">
        <f>A35/(A35+A36)*A38</f>
        <v>1734.5932470415316</v>
      </c>
    </row>
    <row r="36" spans="1:2">
      <c r="A36" s="59">
        <v>2632.32</v>
      </c>
      <c r="B36" s="2961">
        <f>A38-B35</f>
        <v>763.40675295846836</v>
      </c>
    </row>
    <row r="38" spans="1:2">
      <c r="A38">
        <f>1838+372+288</f>
        <v>2498</v>
      </c>
    </row>
  </sheetData>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tabSelected="1" topLeftCell="A13" workbookViewId="0">
      <selection activeCell="H49" sqref="H49"/>
    </sheetView>
  </sheetViews>
  <sheetFormatPr defaultRowHeight="13.5"/>
  <cols>
    <col min="1" max="1" width="11.5" customWidth="1"/>
    <col min="6" max="6" width="10.5" customWidth="1"/>
  </cols>
  <sheetData>
    <row r="1" spans="1:12">
      <c r="A1" s="2937"/>
      <c r="B1" s="2937"/>
    </row>
    <row r="2" spans="1:12" ht="14.25" thickBot="1">
      <c r="A2" s="2955" t="s">
        <v>3158</v>
      </c>
      <c r="B2" s="2937" t="s">
        <v>3184</v>
      </c>
      <c r="C2">
        <v>0.81100000000000005</v>
      </c>
      <c r="D2">
        <f>ROUND(1/C2*100,0)</f>
        <v>123</v>
      </c>
    </row>
    <row r="3" spans="1:12" ht="14.25" thickTop="1">
      <c r="A3" s="2955" t="s">
        <v>3159</v>
      </c>
      <c r="B3" s="2937" t="s">
        <v>3185</v>
      </c>
      <c r="C3">
        <v>0.83099999999999996</v>
      </c>
      <c r="D3">
        <f t="shared" ref="D3:D20" si="0">ROUND(1/C3*100,0)</f>
        <v>120</v>
      </c>
      <c r="E3">
        <f t="shared" ref="E3:E20" si="1">C3/$C$2-1</f>
        <v>2.4660912453760675E-2</v>
      </c>
      <c r="J3" s="2962">
        <v>38865.599999999999</v>
      </c>
      <c r="K3" s="2963">
        <v>49727</v>
      </c>
      <c r="L3">
        <f>J3/K3</f>
        <v>0.78157942365314614</v>
      </c>
    </row>
    <row r="4" spans="1:12">
      <c r="A4" s="2955" t="s">
        <v>3160</v>
      </c>
      <c r="B4" s="2937" t="s">
        <v>3186</v>
      </c>
      <c r="C4">
        <v>0.91</v>
      </c>
      <c r="D4">
        <f t="shared" si="0"/>
        <v>110</v>
      </c>
      <c r="E4">
        <f t="shared" si="1"/>
        <v>0.12207151664611593</v>
      </c>
      <c r="J4" s="2964">
        <v>18227.03</v>
      </c>
      <c r="K4" s="2965">
        <v>13479</v>
      </c>
      <c r="L4">
        <f t="shared" ref="L4:L22" si="2">J4/K4</f>
        <v>1.3522538764003262</v>
      </c>
    </row>
    <row r="5" spans="1:12">
      <c r="A5" s="2955" t="s">
        <v>3161</v>
      </c>
      <c r="B5" s="2937" t="s">
        <v>3187</v>
      </c>
      <c r="C5">
        <v>0.91</v>
      </c>
      <c r="D5">
        <f t="shared" si="0"/>
        <v>110</v>
      </c>
      <c r="E5">
        <f t="shared" si="1"/>
        <v>0.12207151664611593</v>
      </c>
      <c r="J5" s="2964">
        <v>4188</v>
      </c>
      <c r="K5" s="2966">
        <v>4342.3900000000003</v>
      </c>
      <c r="L5">
        <f t="shared" si="2"/>
        <v>0.96444584664205646</v>
      </c>
    </row>
    <row r="6" spans="1:12">
      <c r="A6" s="2955" t="s">
        <v>3162</v>
      </c>
      <c r="B6" s="2937" t="s">
        <v>3188</v>
      </c>
      <c r="C6">
        <v>0.91</v>
      </c>
      <c r="D6">
        <f t="shared" si="0"/>
        <v>110</v>
      </c>
      <c r="E6">
        <f t="shared" si="1"/>
        <v>0.12207151664611593</v>
      </c>
      <c r="J6" s="2964">
        <v>406.53</v>
      </c>
      <c r="K6" s="2966">
        <v>421.52</v>
      </c>
      <c r="L6">
        <f t="shared" si="2"/>
        <v>0.96443822357183528</v>
      </c>
    </row>
    <row r="7" spans="1:12">
      <c r="A7" s="159" t="s">
        <v>3163</v>
      </c>
      <c r="B7" s="2937" t="s">
        <v>3189</v>
      </c>
      <c r="C7">
        <v>0.91</v>
      </c>
      <c r="D7">
        <f t="shared" si="0"/>
        <v>110</v>
      </c>
      <c r="E7">
        <f t="shared" si="1"/>
        <v>0.12207151664611593</v>
      </c>
      <c r="J7" s="2964">
        <v>2078.4699999999998</v>
      </c>
      <c r="K7" s="2966">
        <v>2155.09</v>
      </c>
      <c r="L7">
        <f t="shared" si="2"/>
        <v>0.96444696045176748</v>
      </c>
    </row>
    <row r="8" spans="1:12">
      <c r="A8" s="159" t="s">
        <v>3164</v>
      </c>
      <c r="B8" s="2937" t="s">
        <v>3190</v>
      </c>
      <c r="C8">
        <v>0.91</v>
      </c>
      <c r="D8">
        <f t="shared" si="0"/>
        <v>110</v>
      </c>
      <c r="E8">
        <f t="shared" si="1"/>
        <v>0.12207151664611593</v>
      </c>
      <c r="J8" s="2964">
        <v>2255</v>
      </c>
      <c r="K8" s="2965">
        <v>2255</v>
      </c>
      <c r="L8">
        <f t="shared" si="2"/>
        <v>1</v>
      </c>
    </row>
    <row r="9" spans="1:12">
      <c r="A9" s="159" t="s">
        <v>3165</v>
      </c>
      <c r="B9" s="2937" t="s">
        <v>3191</v>
      </c>
      <c r="C9">
        <v>0.91</v>
      </c>
      <c r="D9">
        <f t="shared" si="0"/>
        <v>110</v>
      </c>
      <c r="E9">
        <f t="shared" si="1"/>
        <v>0.12207151664611593</v>
      </c>
      <c r="J9" s="2964">
        <v>1662</v>
      </c>
      <c r="K9" s="2965">
        <v>1662</v>
      </c>
      <c r="L9">
        <f t="shared" si="2"/>
        <v>1</v>
      </c>
    </row>
    <row r="10" spans="1:12">
      <c r="A10" s="159" t="s">
        <v>3166</v>
      </c>
      <c r="B10" s="2937" t="s">
        <v>3192</v>
      </c>
      <c r="C10">
        <v>0.91</v>
      </c>
      <c r="D10">
        <f t="shared" si="0"/>
        <v>110</v>
      </c>
      <c r="E10">
        <f t="shared" si="1"/>
        <v>0.12207151664611593</v>
      </c>
      <c r="J10" s="2964">
        <v>2918</v>
      </c>
      <c r="K10" s="2965">
        <v>2918</v>
      </c>
      <c r="L10">
        <f t="shared" si="2"/>
        <v>1</v>
      </c>
    </row>
    <row r="11" spans="1:12">
      <c r="A11" s="159" t="s">
        <v>3167</v>
      </c>
      <c r="B11" s="2937" t="s">
        <v>3193</v>
      </c>
      <c r="C11">
        <v>0.91</v>
      </c>
      <c r="D11">
        <f t="shared" si="0"/>
        <v>110</v>
      </c>
      <c r="E11">
        <f t="shared" si="1"/>
        <v>0.12207151664611593</v>
      </c>
      <c r="J11" s="2964">
        <v>843</v>
      </c>
      <c r="K11" s="2965">
        <v>843</v>
      </c>
      <c r="L11">
        <f t="shared" si="2"/>
        <v>1</v>
      </c>
    </row>
    <row r="12" spans="1:12">
      <c r="A12" s="159" t="s">
        <v>3168</v>
      </c>
      <c r="B12" s="2937" t="s">
        <v>3194</v>
      </c>
      <c r="C12">
        <v>0.91</v>
      </c>
      <c r="D12">
        <f t="shared" si="0"/>
        <v>110</v>
      </c>
      <c r="E12">
        <f t="shared" si="1"/>
        <v>0.12207151664611593</v>
      </c>
      <c r="J12" s="2964">
        <v>1476</v>
      </c>
      <c r="K12" s="2965">
        <v>1476</v>
      </c>
      <c r="L12">
        <f t="shared" si="2"/>
        <v>1</v>
      </c>
    </row>
    <row r="13" spans="1:12">
      <c r="A13" s="159" t="s">
        <v>3169</v>
      </c>
      <c r="B13" s="2937" t="s">
        <v>3195</v>
      </c>
      <c r="C13">
        <v>0.91</v>
      </c>
      <c r="D13">
        <f t="shared" si="0"/>
        <v>110</v>
      </c>
      <c r="E13">
        <f t="shared" si="1"/>
        <v>0.12207151664611593</v>
      </c>
      <c r="J13" s="2964">
        <v>1240</v>
      </c>
      <c r="K13" s="2965">
        <v>1240</v>
      </c>
      <c r="L13">
        <f t="shared" si="2"/>
        <v>1</v>
      </c>
    </row>
    <row r="14" spans="1:12">
      <c r="A14" s="159" t="s">
        <v>3170</v>
      </c>
      <c r="B14" s="2937" t="s">
        <v>3196</v>
      </c>
      <c r="C14">
        <v>0.91</v>
      </c>
      <c r="D14">
        <f t="shared" si="0"/>
        <v>110</v>
      </c>
      <c r="E14">
        <f t="shared" si="1"/>
        <v>0.12207151664611593</v>
      </c>
      <c r="J14" s="2964">
        <v>4840</v>
      </c>
      <c r="K14" s="2965">
        <v>4840</v>
      </c>
      <c r="L14">
        <f t="shared" si="2"/>
        <v>1</v>
      </c>
    </row>
    <row r="15" spans="1:12">
      <c r="A15" s="159" t="s">
        <v>3171</v>
      </c>
      <c r="B15" s="2937" t="s">
        <v>3197</v>
      </c>
      <c r="C15">
        <v>0.91</v>
      </c>
      <c r="D15">
        <f t="shared" si="0"/>
        <v>110</v>
      </c>
      <c r="E15">
        <f t="shared" si="1"/>
        <v>0.12207151664611593</v>
      </c>
      <c r="J15" s="2964">
        <v>315</v>
      </c>
      <c r="K15" s="2966">
        <v>378.73</v>
      </c>
      <c r="L15">
        <f t="shared" si="2"/>
        <v>0.83172708789903094</v>
      </c>
    </row>
    <row r="16" spans="1:12">
      <c r="A16" s="159" t="s">
        <v>3172</v>
      </c>
      <c r="B16" s="2937" t="s">
        <v>3198</v>
      </c>
      <c r="C16">
        <v>0.91</v>
      </c>
      <c r="D16">
        <f t="shared" si="0"/>
        <v>110</v>
      </c>
      <c r="E16">
        <f t="shared" si="1"/>
        <v>0.12207151664611593</v>
      </c>
      <c r="J16" s="2964">
        <v>1673.67</v>
      </c>
      <c r="K16" s="2966">
        <v>2012.27</v>
      </c>
      <c r="L16">
        <f t="shared" si="2"/>
        <v>0.83173232220328286</v>
      </c>
    </row>
    <row r="17" spans="1:12">
      <c r="A17" s="159" t="s">
        <v>3173</v>
      </c>
      <c r="B17" s="2937" t="s">
        <v>3199</v>
      </c>
      <c r="C17">
        <v>0.91</v>
      </c>
      <c r="D17">
        <f t="shared" si="0"/>
        <v>110</v>
      </c>
      <c r="E17">
        <f t="shared" si="1"/>
        <v>0.12207151664611593</v>
      </c>
      <c r="J17" s="2964">
        <v>1809.36</v>
      </c>
      <c r="K17" s="2966">
        <v>424</v>
      </c>
      <c r="L17">
        <f t="shared" si="2"/>
        <v>4.2673584905660373</v>
      </c>
    </row>
    <row r="18" spans="1:12">
      <c r="A18" s="159" t="s">
        <v>3174</v>
      </c>
      <c r="B18" s="2937" t="s">
        <v>3200</v>
      </c>
      <c r="C18">
        <v>0.91</v>
      </c>
      <c r="D18">
        <f t="shared" si="0"/>
        <v>110</v>
      </c>
      <c r="E18">
        <f t="shared" si="1"/>
        <v>0.12207151664611593</v>
      </c>
      <c r="J18" s="2964">
        <v>820</v>
      </c>
      <c r="K18" s="2966">
        <v>2551.19</v>
      </c>
      <c r="L18">
        <f t="shared" si="2"/>
        <v>0.32141863208933869</v>
      </c>
    </row>
    <row r="19" spans="1:12">
      <c r="A19" s="159" t="s">
        <v>3175</v>
      </c>
      <c r="B19" s="2937" t="s">
        <v>3201</v>
      </c>
      <c r="C19">
        <v>0.91</v>
      </c>
      <c r="D19">
        <f t="shared" si="0"/>
        <v>110</v>
      </c>
      <c r="E19">
        <f t="shared" si="1"/>
        <v>0.12207151664611593</v>
      </c>
      <c r="J19" s="2964">
        <v>1536</v>
      </c>
      <c r="K19" s="2966">
        <v>4778.8100000000004</v>
      </c>
      <c r="L19">
        <f t="shared" si="2"/>
        <v>0.32141893065428417</v>
      </c>
    </row>
    <row r="20" spans="1:12">
      <c r="A20" s="159" t="s">
        <v>3176</v>
      </c>
      <c r="B20" s="2937" t="s">
        <v>3202</v>
      </c>
      <c r="C20">
        <v>0.91</v>
      </c>
      <c r="D20">
        <f t="shared" si="0"/>
        <v>110</v>
      </c>
      <c r="E20">
        <f t="shared" si="1"/>
        <v>0.12207151664611593</v>
      </c>
      <c r="J20" s="2964">
        <v>5981.09</v>
      </c>
      <c r="K20" s="2966">
        <v>1734.59</v>
      </c>
      <c r="L20">
        <f t="shared" si="2"/>
        <v>3.4481289526631658</v>
      </c>
    </row>
    <row r="21" spans="1:12">
      <c r="J21" s="2964">
        <v>2632.32</v>
      </c>
      <c r="K21" s="2966">
        <v>763.41</v>
      </c>
      <c r="L21">
        <f t="shared" si="2"/>
        <v>3.4481078319644753</v>
      </c>
    </row>
    <row r="22" spans="1:12" ht="14.25" thickBot="1">
      <c r="J22" s="2967">
        <v>385463.25</v>
      </c>
      <c r="K22" s="2968">
        <v>193684</v>
      </c>
      <c r="L22">
        <f t="shared" si="2"/>
        <v>1.9901656822453069</v>
      </c>
    </row>
    <row r="23" spans="1:12" ht="15" thickTop="1" thickBot="1">
      <c r="J23" s="2967"/>
      <c r="K23" s="2968"/>
    </row>
    <row r="24" spans="1:12" ht="14.25" thickTop="1"/>
    <row r="26" spans="1:12">
      <c r="B26" s="2937" t="s">
        <v>3238</v>
      </c>
      <c r="C26" s="2937" t="s">
        <v>3242</v>
      </c>
      <c r="D26" s="2937" t="s">
        <v>3239</v>
      </c>
      <c r="E26" s="2937" t="s">
        <v>3243</v>
      </c>
      <c r="F26" s="2937" t="s">
        <v>3240</v>
      </c>
      <c r="H26" s="2937" t="s">
        <v>3241</v>
      </c>
    </row>
    <row r="27" spans="1:12">
      <c r="A27" s="2937" t="s">
        <v>3237</v>
      </c>
      <c r="B27">
        <f ca="1">结果表!D34</f>
        <v>0.39400000000000002</v>
      </c>
      <c r="C27">
        <v>38865.599999999999</v>
      </c>
      <c r="D27">
        <v>18745</v>
      </c>
      <c r="E27">
        <f>ROUND(D27*10000/C27,0)</f>
        <v>4823</v>
      </c>
      <c r="F27">
        <f t="shared" ref="F27:F45" ca="1" si="3">ROUND(D27*$B$27,0)</f>
        <v>7386</v>
      </c>
      <c r="G27">
        <f ca="1">ROUND(F27*10000/C27,0)</f>
        <v>1900</v>
      </c>
      <c r="H27">
        <f ca="1">D27-F27</f>
        <v>11359</v>
      </c>
      <c r="I27">
        <f ca="1">E27-G27</f>
        <v>2923</v>
      </c>
    </row>
    <row r="28" spans="1:12">
      <c r="C28">
        <v>18227.03</v>
      </c>
      <c r="D28">
        <v>8944</v>
      </c>
      <c r="E28">
        <f t="shared" ref="E28:E45" si="4">ROUND(D28*10000/C28,0)</f>
        <v>4907</v>
      </c>
      <c r="F28">
        <f t="shared" ca="1" si="3"/>
        <v>3524</v>
      </c>
      <c r="G28">
        <f t="shared" ref="G28:G45" ca="1" si="5">ROUND(F28*10000/C28,0)</f>
        <v>1933</v>
      </c>
      <c r="H28">
        <f t="shared" ref="H28:H45" ca="1" si="6">D28-F28</f>
        <v>5420</v>
      </c>
      <c r="I28">
        <f t="shared" ref="I28:I45" ca="1" si="7">E28-G28</f>
        <v>2974</v>
      </c>
    </row>
    <row r="29" spans="1:12">
      <c r="C29">
        <v>4188</v>
      </c>
      <c r="D29">
        <v>2023</v>
      </c>
      <c r="E29">
        <f t="shared" si="4"/>
        <v>4830</v>
      </c>
      <c r="F29">
        <f t="shared" ca="1" si="3"/>
        <v>797</v>
      </c>
      <c r="G29">
        <f t="shared" ca="1" si="5"/>
        <v>1903</v>
      </c>
      <c r="H29">
        <f t="shared" ca="1" si="6"/>
        <v>1226</v>
      </c>
      <c r="I29">
        <f t="shared" ca="1" si="7"/>
        <v>2927</v>
      </c>
    </row>
    <row r="30" spans="1:12">
      <c r="C30">
        <v>406.53</v>
      </c>
      <c r="D30">
        <v>208</v>
      </c>
      <c r="E30">
        <f t="shared" si="4"/>
        <v>5116</v>
      </c>
      <c r="F30">
        <f t="shared" ca="1" si="3"/>
        <v>82</v>
      </c>
      <c r="G30">
        <f t="shared" ca="1" si="5"/>
        <v>2017</v>
      </c>
      <c r="H30">
        <f t="shared" ca="1" si="6"/>
        <v>126</v>
      </c>
      <c r="I30">
        <f t="shared" ca="1" si="7"/>
        <v>3099</v>
      </c>
    </row>
    <row r="31" spans="1:12">
      <c r="C31">
        <v>2078.4699999999998</v>
      </c>
      <c r="D31">
        <v>1023</v>
      </c>
      <c r="E31">
        <f t="shared" si="4"/>
        <v>4922</v>
      </c>
      <c r="F31">
        <f t="shared" ca="1" si="3"/>
        <v>403</v>
      </c>
      <c r="G31">
        <f t="shared" ca="1" si="5"/>
        <v>1939</v>
      </c>
      <c r="H31">
        <f t="shared" ca="1" si="6"/>
        <v>620</v>
      </c>
      <c r="I31">
        <f t="shared" ca="1" si="7"/>
        <v>2983</v>
      </c>
    </row>
    <row r="32" spans="1:12">
      <c r="C32">
        <v>4564.2700000000004</v>
      </c>
      <c r="D32">
        <v>2095</v>
      </c>
      <c r="E32">
        <f t="shared" si="4"/>
        <v>4590</v>
      </c>
      <c r="F32">
        <f t="shared" ca="1" si="3"/>
        <v>825</v>
      </c>
      <c r="G32">
        <f t="shared" ca="1" si="5"/>
        <v>1808</v>
      </c>
      <c r="H32">
        <f t="shared" ca="1" si="6"/>
        <v>1270</v>
      </c>
      <c r="I32">
        <f t="shared" ca="1" si="7"/>
        <v>2782</v>
      </c>
    </row>
    <row r="33" spans="3:9">
      <c r="C33">
        <v>2104.2399999999998</v>
      </c>
      <c r="D33">
        <v>984</v>
      </c>
      <c r="E33">
        <f t="shared" si="4"/>
        <v>4676</v>
      </c>
      <c r="F33">
        <f t="shared" ca="1" si="3"/>
        <v>388</v>
      </c>
      <c r="G33">
        <f t="shared" ca="1" si="5"/>
        <v>1844</v>
      </c>
      <c r="H33">
        <f t="shared" ca="1" si="6"/>
        <v>596</v>
      </c>
      <c r="I33">
        <f t="shared" ca="1" si="7"/>
        <v>2832</v>
      </c>
    </row>
    <row r="34" spans="3:9">
      <c r="C34">
        <v>4161.22</v>
      </c>
      <c r="D34">
        <v>1910</v>
      </c>
      <c r="E34">
        <f t="shared" si="4"/>
        <v>4590</v>
      </c>
      <c r="F34">
        <f t="shared" ca="1" si="3"/>
        <v>753</v>
      </c>
      <c r="G34">
        <f t="shared" ca="1" si="5"/>
        <v>1810</v>
      </c>
      <c r="H34">
        <f t="shared" ca="1" si="6"/>
        <v>1157</v>
      </c>
      <c r="I34">
        <f t="shared" ca="1" si="7"/>
        <v>2780</v>
      </c>
    </row>
    <row r="35" spans="3:9">
      <c r="C35">
        <v>1667.01</v>
      </c>
      <c r="D35">
        <v>779</v>
      </c>
      <c r="E35">
        <f t="shared" si="4"/>
        <v>4673</v>
      </c>
      <c r="F35">
        <f t="shared" ca="1" si="3"/>
        <v>307</v>
      </c>
      <c r="G35">
        <f t="shared" ca="1" si="5"/>
        <v>1842</v>
      </c>
      <c r="H35">
        <f t="shared" ca="1" si="6"/>
        <v>472</v>
      </c>
      <c r="I35">
        <f t="shared" ca="1" si="7"/>
        <v>2831</v>
      </c>
    </row>
    <row r="36" spans="3:9">
      <c r="C36">
        <v>1238.3399999999999</v>
      </c>
      <c r="D36">
        <v>579</v>
      </c>
      <c r="E36">
        <f t="shared" si="4"/>
        <v>4676</v>
      </c>
      <c r="F36">
        <f t="shared" ca="1" si="3"/>
        <v>228</v>
      </c>
      <c r="G36">
        <f t="shared" ca="1" si="5"/>
        <v>1841</v>
      </c>
      <c r="H36">
        <f t="shared" ca="1" si="6"/>
        <v>351</v>
      </c>
      <c r="I36">
        <f t="shared" ca="1" si="7"/>
        <v>2835</v>
      </c>
    </row>
    <row r="37" spans="3:9">
      <c r="C37">
        <v>1684.72</v>
      </c>
      <c r="D37">
        <v>788</v>
      </c>
      <c r="E37">
        <f t="shared" si="4"/>
        <v>4677</v>
      </c>
      <c r="F37">
        <f t="shared" ca="1" si="3"/>
        <v>310</v>
      </c>
      <c r="G37">
        <f t="shared" ca="1" si="5"/>
        <v>1840</v>
      </c>
      <c r="H37">
        <f t="shared" ca="1" si="6"/>
        <v>478</v>
      </c>
      <c r="I37">
        <f t="shared" ca="1" si="7"/>
        <v>2837</v>
      </c>
    </row>
    <row r="38" spans="3:9">
      <c r="C38">
        <v>4464.38</v>
      </c>
      <c r="D38">
        <v>2049</v>
      </c>
      <c r="E38">
        <f t="shared" si="4"/>
        <v>4590</v>
      </c>
      <c r="F38">
        <f t="shared" ca="1" si="3"/>
        <v>807</v>
      </c>
      <c r="G38">
        <f t="shared" ca="1" si="5"/>
        <v>1808</v>
      </c>
      <c r="H38">
        <f t="shared" ca="1" si="6"/>
        <v>1242</v>
      </c>
      <c r="I38">
        <f t="shared" ca="1" si="7"/>
        <v>2782</v>
      </c>
    </row>
    <row r="39" spans="3:9">
      <c r="C39">
        <v>315</v>
      </c>
      <c r="D39">
        <v>161</v>
      </c>
      <c r="E39">
        <f t="shared" si="4"/>
        <v>5111</v>
      </c>
      <c r="F39">
        <f t="shared" ca="1" si="3"/>
        <v>63</v>
      </c>
      <c r="G39">
        <f t="shared" ca="1" si="5"/>
        <v>2000</v>
      </c>
      <c r="H39">
        <f t="shared" ca="1" si="6"/>
        <v>98</v>
      </c>
      <c r="I39">
        <f t="shared" ca="1" si="7"/>
        <v>3111</v>
      </c>
    </row>
    <row r="40" spans="3:9">
      <c r="C40">
        <v>1673.67</v>
      </c>
      <c r="D40">
        <v>824</v>
      </c>
      <c r="E40">
        <f t="shared" si="4"/>
        <v>4923</v>
      </c>
      <c r="F40">
        <f t="shared" ca="1" si="3"/>
        <v>325</v>
      </c>
      <c r="G40">
        <f t="shared" ca="1" si="5"/>
        <v>1942</v>
      </c>
      <c r="H40">
        <f t="shared" ca="1" si="6"/>
        <v>499</v>
      </c>
      <c r="I40">
        <f t="shared" ca="1" si="7"/>
        <v>2981</v>
      </c>
    </row>
    <row r="41" spans="3:9">
      <c r="C41">
        <v>1809.36</v>
      </c>
      <c r="D41">
        <v>713</v>
      </c>
      <c r="E41">
        <f t="shared" si="4"/>
        <v>3941</v>
      </c>
      <c r="F41">
        <f t="shared" ca="1" si="3"/>
        <v>281</v>
      </c>
      <c r="G41">
        <f t="shared" ca="1" si="5"/>
        <v>1553</v>
      </c>
      <c r="H41">
        <f t="shared" ca="1" si="6"/>
        <v>432</v>
      </c>
      <c r="I41">
        <f t="shared" ca="1" si="7"/>
        <v>2388</v>
      </c>
    </row>
    <row r="42" spans="3:9">
      <c r="C42">
        <v>820</v>
      </c>
      <c r="D42">
        <v>411</v>
      </c>
      <c r="E42">
        <f t="shared" si="4"/>
        <v>5012</v>
      </c>
      <c r="F42">
        <f t="shared" ca="1" si="3"/>
        <v>162</v>
      </c>
      <c r="G42">
        <f t="shared" ca="1" si="5"/>
        <v>1976</v>
      </c>
      <c r="H42">
        <f t="shared" ca="1" si="6"/>
        <v>249</v>
      </c>
      <c r="I42">
        <f t="shared" ca="1" si="7"/>
        <v>3036</v>
      </c>
    </row>
    <row r="43" spans="3:9">
      <c r="C43">
        <v>1536</v>
      </c>
      <c r="D43">
        <v>756</v>
      </c>
      <c r="E43">
        <f t="shared" si="4"/>
        <v>4922</v>
      </c>
      <c r="F43">
        <f t="shared" ca="1" si="3"/>
        <v>298</v>
      </c>
      <c r="G43">
        <f t="shared" ca="1" si="5"/>
        <v>1940</v>
      </c>
      <c r="H43">
        <f t="shared" ca="1" si="6"/>
        <v>458</v>
      </c>
      <c r="I43">
        <f t="shared" ca="1" si="7"/>
        <v>2982</v>
      </c>
    </row>
    <row r="44" spans="3:9">
      <c r="C44">
        <v>5981.09</v>
      </c>
      <c r="D44">
        <v>2410</v>
      </c>
      <c r="E44">
        <f t="shared" si="4"/>
        <v>4029</v>
      </c>
      <c r="F44">
        <f t="shared" ca="1" si="3"/>
        <v>950</v>
      </c>
      <c r="G44">
        <f t="shared" ca="1" si="5"/>
        <v>1588</v>
      </c>
      <c r="H44">
        <f t="shared" ca="1" si="6"/>
        <v>1460</v>
      </c>
      <c r="I44">
        <f t="shared" ca="1" si="7"/>
        <v>2441</v>
      </c>
    </row>
    <row r="45" spans="3:9">
      <c r="C45">
        <v>2632.32</v>
      </c>
      <c r="D45">
        <v>1231</v>
      </c>
      <c r="E45">
        <f t="shared" si="4"/>
        <v>4676</v>
      </c>
      <c r="F45">
        <f t="shared" ca="1" si="3"/>
        <v>485</v>
      </c>
      <c r="G45">
        <f t="shared" ca="1" si="5"/>
        <v>1842</v>
      </c>
      <c r="H45">
        <f t="shared" ca="1" si="6"/>
        <v>746</v>
      </c>
      <c r="I45">
        <f t="shared" ca="1" si="7"/>
        <v>2834</v>
      </c>
    </row>
    <row r="46" spans="3:9">
      <c r="D46">
        <f>SUM(D27:D45)</f>
        <v>46633</v>
      </c>
      <c r="H46">
        <f ca="1">SUM(H27:H45)</f>
        <v>28259</v>
      </c>
    </row>
    <row r="47" spans="3:9">
      <c r="D47">
        <f ca="1">D46+[1]典型户型修正!$B$20</f>
        <v>70437</v>
      </c>
    </row>
    <row r="49" spans="8:8">
      <c r="H49">
        <f ca="1">D47-H46</f>
        <v>42178</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7" t="s">
        <v>1638</v>
      </c>
      <c r="E3" s="1047" t="s">
        <v>1644</v>
      </c>
      <c r="F3" s="1047" t="s">
        <v>1638</v>
      </c>
      <c r="G3" s="1047" t="s">
        <v>1639</v>
      </c>
      <c r="H3" s="1047" t="s">
        <v>1638</v>
      </c>
      <c r="I3" s="1047" t="s">
        <v>1639</v>
      </c>
    </row>
    <row r="4" spans="1:9" ht="135">
      <c r="A4" s="1969" t="str">
        <f>项目基本情况!S2</f>
        <v>山东省寿光市圣城街（益阳铁路改线后停用线路）370783001204GB11736W00000000号等7宗商业用地出让国有建设用地使用权及金海路西，农圣街南（文化中心）等28处办公用房房地产出让国有建设用地使用权及在建建筑物房地产</v>
      </c>
      <c r="B4" s="1047">
        <f>项目基本情况!C17</f>
        <v>38865.599999999999</v>
      </c>
      <c r="C4" s="1047">
        <f>项目基本情况!C18</f>
        <v>49727</v>
      </c>
      <c r="D4" s="1047">
        <f ca="1">结果表!D118</f>
        <v>7386</v>
      </c>
      <c r="E4" s="1047">
        <f ca="1">结果表!E118</f>
        <v>1900</v>
      </c>
      <c r="F4" s="1047">
        <f ca="1">结果表!F118</f>
        <v>11359</v>
      </c>
      <c r="G4" s="1047">
        <f ca="1">结果表!G118</f>
        <v>2923</v>
      </c>
      <c r="H4" s="1047">
        <f ca="1">结果表!H118</f>
        <v>18745</v>
      </c>
      <c r="I4" s="1047">
        <f ca="1">结果表!I118</f>
        <v>4823</v>
      </c>
    </row>
    <row r="5" spans="1:9" ht="30" customHeight="1">
      <c r="A5" s="2984" t="s">
        <v>1640</v>
      </c>
      <c r="B5" s="2984"/>
      <c r="C5" s="2984"/>
      <c r="D5" s="2985" t="str">
        <f ca="1">结果表!D119</f>
        <v>柒仟叁佰捌拾陆万元整</v>
      </c>
      <c r="E5" s="2985"/>
      <c r="F5" s="2985" t="str">
        <f ca="1">结果表!F119</f>
        <v>壹亿壹仟叁佰伍拾玖万元整</v>
      </c>
      <c r="G5" s="2985"/>
      <c r="H5" s="2985" t="str">
        <f ca="1">结果表!H119</f>
        <v>壹亿捌仟柒佰肆拾伍万元整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1640</v>
      </c>
      <c r="B7" s="2984"/>
      <c r="C7" s="2984"/>
      <c r="D7" s="2986" t="str">
        <f>结果表!D121</f>
        <v>零元整</v>
      </c>
      <c r="E7" s="2987"/>
      <c r="F7" s="2987"/>
      <c r="G7" s="2987"/>
      <c r="H7" s="2987"/>
      <c r="I7" s="2988"/>
    </row>
    <row r="8" spans="1:9" ht="15.75">
      <c r="A8" s="2983" t="str">
        <f>结果表!A122</f>
        <v>房地产抵押价值</v>
      </c>
      <c r="B8" s="2983"/>
      <c r="C8" s="2983"/>
      <c r="D8" s="2983">
        <f ca="1">结果表!D122</f>
        <v>18745</v>
      </c>
      <c r="E8" s="2983"/>
      <c r="F8" s="2983"/>
      <c r="G8" s="2983"/>
      <c r="H8" s="2983"/>
      <c r="I8" s="2983"/>
    </row>
    <row r="9" spans="1:9" ht="15">
      <c r="A9" s="2984" t="s">
        <v>1640</v>
      </c>
      <c r="B9" s="2984"/>
      <c r="C9" s="2984"/>
      <c r="D9" s="2985" t="str">
        <f ca="1">结果表!D123</f>
        <v>壹亿捌仟柒佰肆拾伍万元整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1640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7" t="s">
        <v>1662</v>
      </c>
      <c r="B1" s="2997"/>
      <c r="C1" s="2997"/>
      <c r="D1" s="2997"/>
    </row>
    <row r="2" spans="1:4" ht="18">
      <c r="A2" s="2998" t="s">
        <v>1646</v>
      </c>
      <c r="B2" s="2998"/>
      <c r="C2" s="2998"/>
      <c r="D2" s="2998"/>
    </row>
    <row r="3" spans="1:4" ht="18.75">
      <c r="A3" s="1973" t="s">
        <v>1647</v>
      </c>
      <c r="B3" s="1973" t="s">
        <v>1648</v>
      </c>
      <c r="C3" s="1973" t="s">
        <v>1649</v>
      </c>
      <c r="D3" s="1973" t="s">
        <v>1650</v>
      </c>
    </row>
    <row r="4" spans="1:4" ht="56.25" customHeight="1">
      <c r="A4" s="1974" t="str">
        <f>项目基本情况!B4</f>
        <v>吴薇</v>
      </c>
      <c r="B4" s="1975">
        <f ca="1">项目基本情况!C4</f>
        <v>1419970001</v>
      </c>
      <c r="C4" s="1976"/>
      <c r="D4" s="1977" t="s">
        <v>1651</v>
      </c>
    </row>
    <row r="5" spans="1:4" ht="56.25" customHeight="1">
      <c r="A5" s="1974" t="str">
        <f>项目基本情况!D4</f>
        <v>郑燚</v>
      </c>
      <c r="B5" s="1975">
        <f ca="1">项目基本情况!E4</f>
        <v>1120070131</v>
      </c>
      <c r="C5" s="1978"/>
      <c r="D5" s="1977" t="s">
        <v>1651</v>
      </c>
    </row>
    <row r="6" spans="1:4" ht="18">
      <c r="A6" s="2998" t="s">
        <v>1652</v>
      </c>
      <c r="B6" s="2998"/>
      <c r="C6" s="2998"/>
      <c r="D6" s="2998"/>
    </row>
    <row r="7" spans="1:4" ht="18.75">
      <c r="A7" s="1973" t="s">
        <v>1647</v>
      </c>
      <c r="B7" s="1975" t="s">
        <v>1653</v>
      </c>
      <c r="C7" s="1973" t="s">
        <v>1649</v>
      </c>
      <c r="D7" s="1973" t="s">
        <v>1650</v>
      </c>
    </row>
    <row r="8" spans="1:4" ht="56.25" customHeight="1">
      <c r="A8" s="1979" t="s">
        <v>869</v>
      </c>
      <c r="B8" s="1979" t="s">
        <v>1</v>
      </c>
      <c r="C8" s="1976"/>
      <c r="D8" s="1977" t="s">
        <v>1651</v>
      </c>
    </row>
    <row r="9" spans="1:4">
      <c r="A9" s="728"/>
      <c r="B9" s="728"/>
      <c r="C9" s="728"/>
      <c r="D9" s="728"/>
    </row>
    <row r="10" spans="1:4" ht="18.75">
      <c r="A10" s="1980" t="s">
        <v>1654</v>
      </c>
      <c r="B10" s="728"/>
      <c r="C10" s="728"/>
      <c r="D10" s="728"/>
    </row>
    <row r="11" spans="1:4" ht="30" customHeight="1">
      <c r="A11" s="2999"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1656</v>
      </c>
      <c r="B16" s="2993"/>
      <c r="C16" s="2993"/>
      <c r="D16" s="2993"/>
    </row>
    <row r="17" spans="1:4" ht="144" customHeight="1">
      <c r="A17" s="2993" t="s">
        <v>1657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1658</v>
      </c>
      <c r="B22" s="2995"/>
      <c r="C22" s="2995"/>
      <c r="D22" s="2995"/>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05" t="s">
        <v>1669</v>
      </c>
      <c r="B15" s="3000" t="s">
        <v>136</v>
      </c>
      <c r="C15" s="3001"/>
    </row>
    <row r="16" spans="1:7" ht="13.5">
      <c r="A16" s="3006"/>
      <c r="B16" s="3000" t="s">
        <v>69</v>
      </c>
      <c r="C16" s="3001"/>
    </row>
    <row r="17" spans="1:3" ht="13.5">
      <c r="A17" s="3006"/>
      <c r="B17" s="3003" t="s">
        <v>1670</v>
      </c>
      <c r="C17" s="1996" t="s">
        <v>1669</v>
      </c>
    </row>
    <row r="18" spans="1:3" ht="13.5">
      <c r="A18" s="3006"/>
      <c r="B18" s="3003"/>
      <c r="C18" s="1996" t="s">
        <v>1671</v>
      </c>
    </row>
    <row r="19" spans="1:3" ht="13.5">
      <c r="A19" s="3006"/>
      <c r="B19" s="3003"/>
      <c r="C19" s="1996" t="s">
        <v>1672</v>
      </c>
    </row>
    <row r="20" spans="1:3" ht="13.5">
      <c r="A20" s="3007"/>
      <c r="B20" s="3002" t="s">
        <v>1673</v>
      </c>
      <c r="C20" s="3001"/>
    </row>
    <row r="21" spans="1:3" ht="13.5">
      <c r="A21" s="1997" t="s">
        <v>1674</v>
      </c>
      <c r="B21" s="1998"/>
      <c r="C21" s="1999"/>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1996" t="s">
        <v>1680</v>
      </c>
    </row>
    <row r="26" spans="1:3" ht="13.5">
      <c r="A26" s="3004"/>
      <c r="B26" s="3003"/>
      <c r="C26" s="1996" t="s">
        <v>1681</v>
      </c>
    </row>
    <row r="27" spans="1:3" ht="13.5">
      <c r="A27" s="3004"/>
      <c r="B27" s="3003"/>
      <c r="C27" s="1996" t="s">
        <v>1682</v>
      </c>
    </row>
    <row r="28" spans="1:3" ht="13.5">
      <c r="A28" s="3004"/>
      <c r="B28" s="3003"/>
      <c r="C28" s="1996" t="s">
        <v>1683</v>
      </c>
    </row>
    <row r="29" spans="1:3" ht="13.5">
      <c r="A29" s="3004"/>
      <c r="B29" s="3003"/>
      <c r="C29" s="1996" t="s">
        <v>1684</v>
      </c>
    </row>
    <row r="30" spans="1:3" ht="13.5">
      <c r="A30" s="3004"/>
      <c r="B30" s="3003"/>
      <c r="C30" s="1996" t="s">
        <v>1685</v>
      </c>
    </row>
    <row r="31" spans="1:3" ht="13.5">
      <c r="A31" s="3004"/>
      <c r="B31" s="3003"/>
      <c r="C31" s="1996" t="s">
        <v>1686</v>
      </c>
    </row>
    <row r="32" spans="1:3" ht="13.5">
      <c r="A32" s="3004"/>
      <c r="B32" s="3003"/>
      <c r="C32" s="1996" t="s">
        <v>1687</v>
      </c>
    </row>
    <row r="33" spans="1:3" ht="13.5">
      <c r="A33" s="3004"/>
      <c r="B33" s="3003"/>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43420</v>
      </c>
      <c r="C2" s="1022" t="s">
        <v>826</v>
      </c>
      <c r="D2" s="1022"/>
    </row>
    <row r="3" spans="1:6" ht="24" customHeight="1">
      <c r="A3" s="1023" t="s">
        <v>827</v>
      </c>
      <c r="B3" s="1024" t="s">
        <v>828</v>
      </c>
      <c r="C3" s="2338" t="s">
        <v>829</v>
      </c>
      <c r="D3" s="2341" t="s">
        <v>830</v>
      </c>
      <c r="E3" s="1025" t="s">
        <v>831</v>
      </c>
      <c r="F3" s="1024" t="s">
        <v>829</v>
      </c>
    </row>
    <row r="4" spans="1:6" ht="24" customHeight="1">
      <c r="A4" s="1701" t="s">
        <v>832</v>
      </c>
      <c r="B4" s="1025">
        <f ca="1">IF(C4&lt;B2,"已过期",1119970066)</f>
        <v>1119970066</v>
      </c>
      <c r="C4" s="2339">
        <v>43849</v>
      </c>
      <c r="D4" s="2342" t="s">
        <v>832</v>
      </c>
      <c r="E4" s="1025">
        <f ca="1">IF(F4&lt;B2,"已过期",96010014)</f>
        <v>96010014</v>
      </c>
      <c r="F4" s="1033">
        <v>47118</v>
      </c>
    </row>
    <row r="5" spans="1:6" ht="24" customHeight="1">
      <c r="A5" s="1701" t="s">
        <v>833</v>
      </c>
      <c r="B5" s="1025">
        <f ca="1">IF(C5&lt;B2,"已过期",1119970074)</f>
        <v>1119970074</v>
      </c>
      <c r="C5" s="2339">
        <v>43849</v>
      </c>
      <c r="D5" s="2342" t="s">
        <v>833</v>
      </c>
      <c r="E5" s="1025">
        <f ca="1">IF(F5&lt;B2,"已过期",2002110027)</f>
        <v>2002110027</v>
      </c>
      <c r="F5" s="1033">
        <v>46752</v>
      </c>
    </row>
    <row r="6" spans="1:6" ht="24" customHeight="1">
      <c r="A6" s="1701" t="s">
        <v>834</v>
      </c>
      <c r="B6" s="1025">
        <f ca="1">IF(C6&lt;B2,"已过期",1119970111)</f>
        <v>1119970111</v>
      </c>
      <c r="C6" s="2339">
        <v>43849</v>
      </c>
      <c r="D6" s="2342" t="s">
        <v>834</v>
      </c>
      <c r="E6" s="1025">
        <f ca="1">IF(F6&lt;B2,"已过期",94010078)</f>
        <v>94010078</v>
      </c>
      <c r="F6" s="1033">
        <v>46387</v>
      </c>
    </row>
    <row r="7" spans="1:6" ht="24" customHeight="1">
      <c r="A7" s="1701" t="s">
        <v>835</v>
      </c>
      <c r="B7" s="1025">
        <f ca="1">IF(C7&lt;B2,"已过期",1120050019)</f>
        <v>1120050019</v>
      </c>
      <c r="C7" s="2339">
        <v>44395</v>
      </c>
      <c r="D7" s="2342" t="s">
        <v>835</v>
      </c>
      <c r="E7" s="1025">
        <f ca="1">IF(F7&lt;B2,"已过期",2002110030)</f>
        <v>2002110030</v>
      </c>
      <c r="F7" s="1033">
        <v>46387</v>
      </c>
    </row>
    <row r="8" spans="1:6" ht="24" customHeight="1">
      <c r="A8" s="1701" t="s">
        <v>836</v>
      </c>
      <c r="B8" s="1025">
        <f ca="1">IF(C8&lt;B2,"已过期",1120000080)</f>
        <v>1120000080</v>
      </c>
      <c r="C8" s="2339">
        <v>43849</v>
      </c>
      <c r="D8" s="2342" t="s">
        <v>836</v>
      </c>
      <c r="E8" s="1025">
        <f ca="1">IF(F8&lt;B2,"已过期",2000110082)</f>
        <v>2000110082</v>
      </c>
      <c r="F8" s="1033">
        <v>46387</v>
      </c>
    </row>
    <row r="9" spans="1:6" ht="24" customHeight="1">
      <c r="A9" s="1701" t="s">
        <v>837</v>
      </c>
      <c r="B9" s="1025">
        <f ca="1">IF(C9&lt;B2,"已过期",1419970001)</f>
        <v>1419970001</v>
      </c>
      <c r="C9" s="2339">
        <v>43867</v>
      </c>
      <c r="D9" s="2342" t="s">
        <v>837</v>
      </c>
      <c r="E9" s="1025">
        <f ca="1">IF(F9&lt;B2,"已过期",2002110125)</f>
        <v>2002110125</v>
      </c>
      <c r="F9" s="1033">
        <v>47118</v>
      </c>
    </row>
    <row r="10" spans="1:6" ht="24" customHeight="1">
      <c r="A10" s="1701" t="s">
        <v>838</v>
      </c>
      <c r="B10" s="1025">
        <f ca="1">IF(C10&lt;B2,"已过期",1120060040)</f>
        <v>1120060040</v>
      </c>
      <c r="C10" s="2339">
        <v>43483</v>
      </c>
      <c r="D10" s="2342" t="s">
        <v>838</v>
      </c>
      <c r="E10" s="1025">
        <f ca="1">IF(F10&lt;B2,"已过期",2004110096)</f>
        <v>2004110096</v>
      </c>
      <c r="F10" s="1033">
        <v>47118</v>
      </c>
    </row>
    <row r="11" spans="1:6" ht="24" customHeight="1">
      <c r="A11" s="1701" t="s">
        <v>839</v>
      </c>
      <c r="B11" s="1025">
        <f ca="1">IF(C11&lt;B2,"已过期",1120100036)</f>
        <v>1120100036</v>
      </c>
      <c r="C11" s="2339">
        <v>43622</v>
      </c>
      <c r="D11" s="2342" t="s">
        <v>839</v>
      </c>
      <c r="E11" s="1025">
        <f ca="1">IF(F11&lt;B2,"已过期",2010110070)</f>
        <v>2010110070</v>
      </c>
      <c r="F11" s="1033">
        <v>47907</v>
      </c>
    </row>
    <row r="12" spans="1:6" ht="24" customHeight="1">
      <c r="A12" s="1701" t="s">
        <v>3044</v>
      </c>
      <c r="B12" s="1025">
        <v>1120110054</v>
      </c>
      <c r="C12" s="2934">
        <v>43937</v>
      </c>
      <c r="D12" s="1701" t="s">
        <v>3044</v>
      </c>
      <c r="E12" s="1025">
        <v>2008110060</v>
      </c>
      <c r="F12" s="1033">
        <v>47177</v>
      </c>
    </row>
    <row r="13" spans="1:6" ht="24" customHeight="1">
      <c r="A13" s="1701" t="s">
        <v>840</v>
      </c>
      <c r="B13" s="1025">
        <f ca="1">IF(C13&lt;B2,"已过期",1120070131)</f>
        <v>1120070131</v>
      </c>
      <c r="C13" s="2339">
        <v>43814</v>
      </c>
      <c r="D13" s="2342" t="s">
        <v>840</v>
      </c>
      <c r="E13" s="1025">
        <v>2014110011</v>
      </c>
      <c r="F13" s="1033">
        <v>49302</v>
      </c>
    </row>
    <row r="14" spans="1:6" ht="24" customHeight="1">
      <c r="A14" s="1701" t="s">
        <v>841</v>
      </c>
      <c r="B14" s="1025">
        <f ca="1">IF(C14&lt;B2,"已过期",1120130020)</f>
        <v>1120130020</v>
      </c>
      <c r="C14" s="2339">
        <v>43622</v>
      </c>
      <c r="D14" s="2342"/>
      <c r="E14" s="1025"/>
      <c r="F14" s="1025"/>
    </row>
    <row r="15" spans="1:6" ht="24" customHeight="1">
      <c r="A15" s="1702" t="s">
        <v>1149</v>
      </c>
      <c r="B15" s="1025">
        <v>1120070085</v>
      </c>
      <c r="C15" s="2339">
        <v>43814</v>
      </c>
      <c r="D15" s="2343" t="s">
        <v>1149</v>
      </c>
      <c r="E15" s="1025">
        <v>2004110128</v>
      </c>
      <c r="F15" s="1026">
        <v>47118</v>
      </c>
    </row>
    <row r="16" spans="1:6" ht="24" customHeight="1">
      <c r="A16" s="1701" t="s">
        <v>842</v>
      </c>
      <c r="B16" s="1025">
        <f ca="1">IF(C16&lt;B2,"已过期",1120140022)</f>
        <v>1120140022</v>
      </c>
      <c r="C16" s="2339">
        <v>44029</v>
      </c>
      <c r="D16" s="2342" t="s">
        <v>842</v>
      </c>
      <c r="E16" s="1025">
        <f ca="1">IF(F16&lt;B2,"已过期",2008110059)</f>
        <v>2008110059</v>
      </c>
      <c r="F16" s="1033">
        <v>47177</v>
      </c>
    </row>
    <row r="17" spans="1:7" ht="24" customHeight="1">
      <c r="A17" s="1701"/>
      <c r="B17" s="1025"/>
      <c r="C17" s="2339"/>
      <c r="D17" s="2342"/>
      <c r="E17" s="1025"/>
      <c r="F17" s="1033"/>
    </row>
    <row r="18" spans="1:7" ht="24" customHeight="1">
      <c r="A18" s="1701"/>
      <c r="B18" s="1025"/>
      <c r="C18" s="2339"/>
      <c r="D18" s="2342"/>
      <c r="E18" s="1025"/>
      <c r="F18" s="1033"/>
    </row>
    <row r="19" spans="1:7" ht="24" customHeight="1">
      <c r="A19" s="1701"/>
      <c r="B19" s="1025"/>
      <c r="C19" s="2339"/>
      <c r="D19" s="2342"/>
      <c r="E19" s="1025"/>
      <c r="F19" s="1025"/>
    </row>
    <row r="20" spans="1:7" ht="24" customHeight="1">
      <c r="A20" s="1701"/>
      <c r="B20" s="1025"/>
      <c r="C20" s="2339"/>
      <c r="D20" s="2342"/>
      <c r="E20" s="1025"/>
      <c r="F20" s="1025"/>
    </row>
    <row r="21" spans="1:7" ht="24" customHeight="1">
      <c r="A21" s="1701"/>
      <c r="B21" s="1025"/>
      <c r="C21" s="2339"/>
      <c r="D21" s="2342" t="s">
        <v>843</v>
      </c>
      <c r="E21" s="1025">
        <f ca="1">IF(F21&lt;B2,"已过期",2011110090)</f>
        <v>2011110090</v>
      </c>
      <c r="F21" s="1033">
        <v>48302</v>
      </c>
    </row>
    <row r="22" spans="1:7" ht="24" customHeight="1">
      <c r="A22" s="1701" t="s">
        <v>844</v>
      </c>
      <c r="B22" s="1025">
        <f ca="1">IF(C22&lt;B2,"已过期",1120020033)</f>
        <v>1120020033</v>
      </c>
      <c r="C22" s="2934">
        <v>44339</v>
      </c>
      <c r="D22" s="2342" t="s">
        <v>844</v>
      </c>
      <c r="E22" s="1025">
        <f ca="1">IF(F22&lt;B2,"已过期",2000110137)</f>
        <v>2000110137</v>
      </c>
      <c r="F22" s="1033">
        <v>46387</v>
      </c>
    </row>
    <row r="23" spans="1:7" ht="24" customHeight="1">
      <c r="A23" s="1701" t="s">
        <v>845</v>
      </c>
      <c r="B23" s="1025">
        <f ca="1">IF(C23&lt;B2,"已过期",1120130048)</f>
        <v>1120130048</v>
      </c>
      <c r="C23" s="2339">
        <v>43686</v>
      </c>
      <c r="D23" s="2342"/>
      <c r="E23" s="1025"/>
      <c r="F23" s="1025"/>
    </row>
    <row r="24" spans="1:7" s="1027" customFormat="1" ht="24" customHeight="1">
      <c r="A24" s="1702" t="s">
        <v>1333</v>
      </c>
      <c r="B24" s="1702" t="s">
        <v>1333</v>
      </c>
      <c r="C24" s="2340" t="s">
        <v>1333</v>
      </c>
      <c r="D24" s="2343" t="s">
        <v>1333</v>
      </c>
      <c r="E24" s="1702" t="s">
        <v>1333</v>
      </c>
      <c r="F24" s="1702"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38" t="s">
        <v>851</v>
      </c>
      <c r="D27" s="2346" t="s">
        <v>849</v>
      </c>
      <c r="E27" s="1024" t="s">
        <v>850</v>
      </c>
      <c r="F27" s="1024" t="s">
        <v>851</v>
      </c>
    </row>
    <row r="28" spans="1:7" s="1030" customFormat="1" ht="24" customHeight="1">
      <c r="A28" s="1031" t="s">
        <v>852</v>
      </c>
      <c r="B28" s="1032" t="s">
        <v>853</v>
      </c>
      <c r="C28" s="2344">
        <v>43725</v>
      </c>
      <c r="D28" s="2347" t="s">
        <v>854</v>
      </c>
      <c r="E28" s="1031" t="s">
        <v>855</v>
      </c>
      <c r="F28" s="1061">
        <v>44377</v>
      </c>
    </row>
    <row r="29" spans="1:7" s="1030" customFormat="1" ht="24" customHeight="1">
      <c r="A29" s="1031"/>
      <c r="B29" s="1031"/>
      <c r="C29" s="2345"/>
      <c r="D29" s="2347" t="s">
        <v>856</v>
      </c>
      <c r="E29" s="1202" t="s">
        <v>1384</v>
      </c>
      <c r="F29" s="1203">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2018-11-16T08:22:11Z</dcterms:modified>
</cp:coreProperties>
</file>