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0" activeTab="32"/>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sheetId="15" r:id="rId41"/>
    <sheet name="Sheet1" sheetId="69"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G47" i="21"/>
  <c r="F20" i="6"/>
  <c r="K14" i="3"/>
  <c r="I13"/>
  <c r="I47" i="21"/>
  <c r="E47"/>
  <c r="K11"/>
  <c r="K23"/>
  <c r="K21"/>
  <c r="K19"/>
  <c r="K17"/>
  <c r="K15"/>
  <c r="C40" i="39" l="1"/>
  <c r="G73"/>
  <c r="F73"/>
  <c r="E73"/>
  <c r="D73"/>
  <c r="F9" i="69"/>
  <c r="E9"/>
  <c r="F19" i="6"/>
  <c r="D3" i="4" l="1"/>
  <c r="Q72" i="68"/>
  <c r="Q59"/>
  <c r="K59"/>
  <c r="P74" s="1"/>
  <c r="P61" l="1"/>
  <c r="Q58"/>
  <c r="Q51"/>
  <c r="J50"/>
  <c r="J51" s="1"/>
  <c r="M47" l="1"/>
  <c r="J53" l="1"/>
  <c r="Q52" s="1"/>
  <c r="D46"/>
  <c r="F34"/>
  <c r="F62" s="1"/>
  <c r="F33"/>
  <c r="F61" s="1"/>
  <c r="F32"/>
  <c r="F60" s="1"/>
  <c r="F28"/>
  <c r="C28"/>
  <c r="F23"/>
  <c r="D24" s="1"/>
  <c r="D23" l="1"/>
  <c r="D22"/>
  <c r="F21"/>
  <c r="M20"/>
  <c r="F20"/>
  <c r="M19"/>
  <c r="M18"/>
  <c r="F18"/>
  <c r="F17" l="1"/>
  <c r="F15"/>
  <c r="G1"/>
  <c r="F1"/>
  <c r="F8"/>
  <c r="F13"/>
  <c r="M22"/>
  <c r="M26"/>
  <c r="F6"/>
  <c r="M9"/>
  <c r="M23"/>
  <c r="M27"/>
  <c r="F40"/>
  <c r="F38"/>
  <c r="C76"/>
  <c r="M24"/>
  <c r="M28"/>
  <c r="M8"/>
  <c r="J15"/>
  <c r="F37"/>
  <c r="F42"/>
  <c r="M6"/>
  <c r="F9"/>
  <c r="F16"/>
  <c r="F26"/>
  <c r="F36"/>
  <c r="Q71" l="1"/>
  <c r="F70"/>
  <c r="F68"/>
  <c r="F66"/>
  <c r="F65"/>
  <c r="F64"/>
  <c r="C27"/>
  <c r="F51"/>
  <c r="M11" l="1"/>
  <c r="J10" s="1"/>
  <c r="F11"/>
  <c r="C53" l="1"/>
  <c r="C10"/>
  <c r="F24" l="1"/>
  <c r="C24" l="1"/>
  <c r="I3" i="59" l="1"/>
  <c r="L3"/>
  <c r="K3"/>
  <c r="J3"/>
  <c r="AE5" l="1"/>
  <c r="AF5" s="1"/>
  <c r="AG5"/>
  <c r="AH5"/>
  <c r="AD5"/>
  <c r="Q5" l="1"/>
  <c r="P5"/>
  <c r="O5"/>
  <c r="N5"/>
  <c r="N6" l="1"/>
  <c r="Q6"/>
  <c r="P6"/>
  <c r="O6"/>
  <c r="K59" i="15" l="1"/>
  <c r="P62" s="1"/>
  <c r="P75" l="1"/>
  <c r="Q74" i="44" l="1"/>
  <c r="Q61"/>
  <c r="Q60"/>
  <c r="Q53"/>
  <c r="J51"/>
  <c r="J52" s="1"/>
  <c r="M48"/>
  <c r="A16" i="55" l="1"/>
  <c r="A15"/>
  <c r="A14"/>
  <c r="A11"/>
  <c r="A10"/>
  <c r="A9"/>
  <c r="A8"/>
  <c r="A6" i="54"/>
  <c r="A8"/>
  <c r="A7"/>
  <c r="A28" i="51"/>
  <c r="A27"/>
  <c r="D5" i="46" l="1"/>
  <c r="Q7" i="59" l="1"/>
  <c r="AB5" s="1"/>
  <c r="O7"/>
  <c r="Y5" s="1"/>
  <c r="Z5" s="1"/>
  <c r="N8"/>
  <c r="O8"/>
  <c r="P8"/>
  <c r="Q8"/>
  <c r="N7"/>
  <c r="X5" s="1"/>
  <c r="P7"/>
  <c r="AA5" s="1"/>
  <c r="B9"/>
  <c r="C9"/>
  <c r="D9" s="1"/>
  <c r="E9"/>
  <c r="F9"/>
  <c r="B12" i="67"/>
  <c r="F8"/>
  <c r="E11"/>
  <c r="F10"/>
  <c r="E13"/>
  <c r="E10"/>
  <c r="E8"/>
  <c r="F9"/>
  <c r="E9"/>
  <c r="E14"/>
  <c r="B9"/>
  <c r="B11"/>
  <c r="F14"/>
  <c r="F12"/>
  <c r="B10"/>
  <c r="F13"/>
  <c r="B13"/>
  <c r="E12"/>
  <c r="B14"/>
  <c r="B8"/>
  <c r="F11"/>
  <c r="K75" i="9" l="1"/>
  <c r="K6" i="4"/>
  <c r="O76" i="9" s="1"/>
  <c r="L76" l="1"/>
  <c r="K76"/>
  <c r="K77" s="1"/>
  <c r="K79" s="1"/>
  <c r="K81" s="1"/>
  <c r="B22" i="31"/>
  <c r="E15" i="66" l="1"/>
  <c r="F15"/>
  <c r="E16"/>
  <c r="F16"/>
  <c r="E17"/>
  <c r="F17"/>
  <c r="E18"/>
  <c r="F18"/>
  <c r="E19"/>
  <c r="F19"/>
  <c r="E20"/>
  <c r="F20"/>
  <c r="E21"/>
  <c r="F21"/>
  <c r="E22"/>
  <c r="F22"/>
  <c r="E23"/>
  <c r="F23"/>
  <c r="B3"/>
  <c r="M19" i="46" l="1"/>
  <c r="V9" i="59" l="1"/>
  <c r="U9"/>
  <c r="T9"/>
  <c r="S9"/>
  <c r="B8" l="1"/>
  <c r="B7" s="1"/>
  <c r="B6" s="1"/>
  <c r="B5" s="1"/>
  <c r="E8"/>
  <c r="E7" s="1"/>
  <c r="E6" s="1"/>
  <c r="E5" s="1"/>
  <c r="C8"/>
  <c r="F8"/>
  <c r="F7" s="1"/>
  <c r="F6" s="1"/>
  <c r="F5" s="1"/>
  <c r="D8" l="1"/>
  <c r="C7"/>
  <c r="AD3"/>
  <c r="AE3"/>
  <c r="AF3" s="1"/>
  <c r="AG3"/>
  <c r="AH3"/>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H20"/>
  <c r="AG20"/>
  <c r="AE20"/>
  <c r="AF20" s="1"/>
  <c r="AD20"/>
  <c r="AD21"/>
  <c r="AE21"/>
  <c r="AF21"/>
  <c r="AG21"/>
  <c r="AH21"/>
  <c r="X10"/>
  <c r="Y10"/>
  <c r="Z10" s="1"/>
  <c r="AA10"/>
  <c r="AB10"/>
  <c r="X11"/>
  <c r="Y11"/>
  <c r="Z11"/>
  <c r="AA11"/>
  <c r="AB11"/>
  <c r="X12"/>
  <c r="Y12"/>
  <c r="Z12" s="1"/>
  <c r="AA12"/>
  <c r="AB12"/>
  <c r="X13"/>
  <c r="Y13"/>
  <c r="Z13"/>
  <c r="AA13"/>
  <c r="AB13"/>
  <c r="X14"/>
  <c r="Y14"/>
  <c r="Z14" s="1"/>
  <c r="AA14"/>
  <c r="AB14"/>
  <c r="X15"/>
  <c r="Y15"/>
  <c r="Z15"/>
  <c r="AA15"/>
  <c r="AB15"/>
  <c r="X16"/>
  <c r="Y16"/>
  <c r="Z16" s="1"/>
  <c r="AA16"/>
  <c r="AB16"/>
  <c r="X17"/>
  <c r="Y17"/>
  <c r="Z17"/>
  <c r="AA17"/>
  <c r="AB17"/>
  <c r="X18"/>
  <c r="Y18"/>
  <c r="Z18" s="1"/>
  <c r="AA18"/>
  <c r="AB18"/>
  <c r="AB19"/>
  <c r="AA19"/>
  <c r="Y19"/>
  <c r="X19"/>
  <c r="D7" l="1"/>
  <c r="C6"/>
  <c r="S2" i="31"/>
  <c r="M2"/>
  <c r="N2"/>
  <c r="O2"/>
  <c r="P2"/>
  <c r="Q2"/>
  <c r="R2"/>
  <c r="D6" i="59" l="1"/>
  <c r="C5"/>
  <c r="C3" i="65"/>
  <c r="C1"/>
  <c r="N1" s="1"/>
  <c r="N7"/>
  <c r="D5" i="59" l="1"/>
  <c r="H1" i="65"/>
  <c r="B76" i="63"/>
  <c r="I3" i="65"/>
  <c r="N5"/>
  <c r="J5"/>
  <c r="I6"/>
  <c r="N3"/>
  <c r="J3"/>
  <c r="J6"/>
  <c r="I4"/>
  <c r="N4"/>
  <c r="J7"/>
  <c r="J4"/>
  <c r="I5"/>
  <c r="N6"/>
  <c r="I7"/>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9" i="59" l="1"/>
  <c r="P9"/>
  <c r="O9"/>
  <c r="N9"/>
  <c r="D70"/>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E48" s="1"/>
  <c r="P48" s="1"/>
  <c r="C49"/>
  <c r="B49"/>
  <c r="N49" s="1"/>
  <c r="F48"/>
  <c r="F47" s="1"/>
  <c r="Q47" s="1"/>
  <c r="B48"/>
  <c r="Q46"/>
  <c r="D46"/>
  <c r="Q45"/>
  <c r="P45"/>
  <c r="O45"/>
  <c r="N45"/>
  <c r="Q44"/>
  <c r="P44"/>
  <c r="O44"/>
  <c r="N44"/>
  <c r="Q43"/>
  <c r="P43"/>
  <c r="O43"/>
  <c r="N43"/>
  <c r="Q42"/>
  <c r="F43" s="1"/>
  <c r="P42"/>
  <c r="E43" s="1"/>
  <c r="E44" s="1"/>
  <c r="E45" s="1"/>
  <c r="U45" s="1"/>
  <c r="O42"/>
  <c r="C43" s="1"/>
  <c r="N42"/>
  <c r="B43" s="1"/>
  <c r="B44" s="1"/>
  <c r="B45" s="1"/>
  <c r="S45" s="1"/>
  <c r="D42"/>
  <c r="Q41"/>
  <c r="P41"/>
  <c r="O41"/>
  <c r="N41"/>
  <c r="Q40"/>
  <c r="P40"/>
  <c r="O40"/>
  <c r="N40"/>
  <c r="Q39"/>
  <c r="P39"/>
  <c r="O39"/>
  <c r="N39"/>
  <c r="Q38"/>
  <c r="F39" s="1"/>
  <c r="P38"/>
  <c r="E39" s="1"/>
  <c r="E40" s="1"/>
  <c r="E41" s="1"/>
  <c r="U41" s="1"/>
  <c r="O38"/>
  <c r="C39" s="1"/>
  <c r="N38"/>
  <c r="B39" s="1"/>
  <c r="B40" s="1"/>
  <c r="B41" s="1"/>
  <c r="S41" s="1"/>
  <c r="D38"/>
  <c r="Q37"/>
  <c r="P37"/>
  <c r="O37"/>
  <c r="N37"/>
  <c r="Q36"/>
  <c r="P36"/>
  <c r="O36"/>
  <c r="N36"/>
  <c r="Q35"/>
  <c r="P35"/>
  <c r="O35"/>
  <c r="N35"/>
  <c r="Q34"/>
  <c r="F35" s="1"/>
  <c r="P34"/>
  <c r="E35" s="1"/>
  <c r="E36" s="1"/>
  <c r="E37" s="1"/>
  <c r="U37" s="1"/>
  <c r="O34"/>
  <c r="C35" s="1"/>
  <c r="N34"/>
  <c r="B35" s="1"/>
  <c r="B36" s="1"/>
  <c r="B37" s="1"/>
  <c r="S37" s="1"/>
  <c r="D34"/>
  <c r="Q33"/>
  <c r="P33"/>
  <c r="O33"/>
  <c r="N33"/>
  <c r="Q32"/>
  <c r="P32"/>
  <c r="O32"/>
  <c r="N32"/>
  <c r="Q31"/>
  <c r="P31"/>
  <c r="O31"/>
  <c r="N31"/>
  <c r="Q30"/>
  <c r="F31" s="1"/>
  <c r="F32" s="1"/>
  <c r="F33" s="1"/>
  <c r="V33" s="1"/>
  <c r="P30"/>
  <c r="E31" s="1"/>
  <c r="O30"/>
  <c r="C31" s="1"/>
  <c r="N30"/>
  <c r="B31" s="1"/>
  <c r="D30"/>
  <c r="T29"/>
  <c r="Q29"/>
  <c r="P29"/>
  <c r="O29"/>
  <c r="N29"/>
  <c r="D29"/>
  <c r="Q28"/>
  <c r="P28"/>
  <c r="O28"/>
  <c r="N28"/>
  <c r="Q27"/>
  <c r="P27"/>
  <c r="O27"/>
  <c r="N27"/>
  <c r="Q26"/>
  <c r="F27" s="1"/>
  <c r="P26"/>
  <c r="E27" s="1"/>
  <c r="E28" s="1"/>
  <c r="E29" s="1"/>
  <c r="U29" s="1"/>
  <c r="O26"/>
  <c r="C27" s="1"/>
  <c r="N26"/>
  <c r="B27" s="1"/>
  <c r="B28" s="1"/>
  <c r="B29" s="1"/>
  <c r="S29" s="1"/>
  <c r="D26"/>
  <c r="Q25"/>
  <c r="P25"/>
  <c r="O25"/>
  <c r="N25"/>
  <c r="Q24"/>
  <c r="P24"/>
  <c r="O24"/>
  <c r="N24"/>
  <c r="Q23"/>
  <c r="P23"/>
  <c r="O23"/>
  <c r="N23"/>
  <c r="Q22"/>
  <c r="F23" s="1"/>
  <c r="P22"/>
  <c r="E23" s="1"/>
  <c r="E24" s="1"/>
  <c r="E25" s="1"/>
  <c r="U25" s="1"/>
  <c r="O22"/>
  <c r="C23" s="1"/>
  <c r="N22"/>
  <c r="B23" s="1"/>
  <c r="B24" s="1"/>
  <c r="B25" s="1"/>
  <c r="S25" s="1"/>
  <c r="D22"/>
  <c r="Q21"/>
  <c r="P21"/>
  <c r="O21"/>
  <c r="N21"/>
  <c r="Q20"/>
  <c r="AB20" s="1"/>
  <c r="P20"/>
  <c r="O20"/>
  <c r="Y20" s="1"/>
  <c r="Z20" s="1"/>
  <c r="N20"/>
  <c r="X20" s="1"/>
  <c r="Q19"/>
  <c r="P19"/>
  <c r="O19"/>
  <c r="N19"/>
  <c r="Q18"/>
  <c r="F19" s="1"/>
  <c r="P18"/>
  <c r="E19" s="1"/>
  <c r="E20" s="1"/>
  <c r="E21" s="1"/>
  <c r="U21" s="1"/>
  <c r="O18"/>
  <c r="C19" s="1"/>
  <c r="N18"/>
  <c r="B19" s="1"/>
  <c r="B20" s="1"/>
  <c r="B21" s="1"/>
  <c r="S21" s="1"/>
  <c r="D18"/>
  <c r="Q17"/>
  <c r="P17"/>
  <c r="O17"/>
  <c r="N17"/>
  <c r="Q16"/>
  <c r="P16"/>
  <c r="O16"/>
  <c r="N16"/>
  <c r="Q15"/>
  <c r="P15"/>
  <c r="O15"/>
  <c r="N15"/>
  <c r="Q14"/>
  <c r="F15" s="1"/>
  <c r="P14"/>
  <c r="E15" s="1"/>
  <c r="E16" s="1"/>
  <c r="E17" s="1"/>
  <c r="U17" s="1"/>
  <c r="O14"/>
  <c r="C15" s="1"/>
  <c r="N14"/>
  <c r="B15" s="1"/>
  <c r="B16" s="1"/>
  <c r="B17" s="1"/>
  <c r="S17" s="1"/>
  <c r="D14"/>
  <c r="Q13"/>
  <c r="P13"/>
  <c r="O13"/>
  <c r="N13"/>
  <c r="Q12"/>
  <c r="P12"/>
  <c r="O12"/>
  <c r="N12"/>
  <c r="Q11"/>
  <c r="P11"/>
  <c r="O11"/>
  <c r="N11"/>
  <c r="Q10"/>
  <c r="F11" s="1"/>
  <c r="P10"/>
  <c r="O10"/>
  <c r="C11" s="1"/>
  <c r="N10"/>
  <c r="B11" s="1"/>
  <c r="D10"/>
  <c r="X3" l="1"/>
  <c r="X6"/>
  <c r="X7"/>
  <c r="X8"/>
  <c r="X9"/>
  <c r="AA3"/>
  <c r="AA6"/>
  <c r="AA7"/>
  <c r="AA8"/>
  <c r="AA9"/>
  <c r="Y6"/>
  <c r="Z6" s="1"/>
  <c r="Y7"/>
  <c r="Z7" s="1"/>
  <c r="Y8"/>
  <c r="Z8" s="1"/>
  <c r="Y9"/>
  <c r="Z9" s="1"/>
  <c r="Y3"/>
  <c r="Z3" s="1"/>
  <c r="AB9"/>
  <c r="AB3"/>
  <c r="AB6"/>
  <c r="AB7"/>
  <c r="AB8"/>
  <c r="B12"/>
  <c r="B13" s="1"/>
  <c r="S13" s="1"/>
  <c r="E11"/>
  <c r="E12" s="1"/>
  <c r="E13" s="1"/>
  <c r="U13" s="1"/>
  <c r="B32"/>
  <c r="B33" s="1"/>
  <c r="S33" s="1"/>
  <c r="E32"/>
  <c r="E33" s="1"/>
  <c r="U33" s="1"/>
  <c r="S49"/>
  <c r="Z19"/>
  <c r="AA20"/>
  <c r="F12"/>
  <c r="F13" s="1"/>
  <c r="V13" s="1"/>
  <c r="F16"/>
  <c r="F17" s="1"/>
  <c r="V17" s="1"/>
  <c r="F20"/>
  <c r="F21" s="1"/>
  <c r="V21" s="1"/>
  <c r="F24"/>
  <c r="F25" s="1"/>
  <c r="V25" s="1"/>
  <c r="F28"/>
  <c r="F29" s="1"/>
  <c r="V29" s="1"/>
  <c r="F36"/>
  <c r="F37" s="1"/>
  <c r="V37" s="1"/>
  <c r="F40"/>
  <c r="F41" s="1"/>
  <c r="V41" s="1"/>
  <c r="F44"/>
  <c r="F45" s="1"/>
  <c r="V45" s="1"/>
  <c r="C12"/>
  <c r="D11"/>
  <c r="C20"/>
  <c r="D19"/>
  <c r="C24"/>
  <c r="D23"/>
  <c r="C28"/>
  <c r="D28" s="1"/>
  <c r="D27"/>
  <c r="C32"/>
  <c r="D31"/>
  <c r="C36"/>
  <c r="D35"/>
  <c r="C40"/>
  <c r="D39"/>
  <c r="C44"/>
  <c r="D43"/>
  <c r="C16"/>
  <c r="D15"/>
  <c r="E47"/>
  <c r="N48"/>
  <c r="B47"/>
  <c r="Q48"/>
  <c r="T49"/>
  <c r="O49"/>
  <c r="D49"/>
  <c r="C48"/>
  <c r="P49"/>
  <c r="U49"/>
  <c r="Q49"/>
  <c r="C52"/>
  <c r="E52"/>
  <c r="E51" s="1"/>
  <c r="D53"/>
  <c r="C56"/>
  <c r="E56"/>
  <c r="E55" s="1"/>
  <c r="D57"/>
  <c r="C60"/>
  <c r="E60"/>
  <c r="E59" s="1"/>
  <c r="D61"/>
  <c r="C64"/>
  <c r="C68"/>
  <c r="U16" i="4"/>
  <c r="S16"/>
  <c r="Q16"/>
  <c r="O16"/>
  <c r="M16"/>
  <c r="K16"/>
  <c r="P46" i="59" l="1"/>
  <c r="P47"/>
  <c r="D68"/>
  <c r="C67"/>
  <c r="D67" s="1"/>
  <c r="D60"/>
  <c r="C59"/>
  <c r="D59" s="1"/>
  <c r="D52"/>
  <c r="C51"/>
  <c r="D51" s="1"/>
  <c r="C47"/>
  <c r="O48"/>
  <c r="D48"/>
  <c r="D64"/>
  <c r="C63"/>
  <c r="D63" s="1"/>
  <c r="D56"/>
  <c r="C55"/>
  <c r="D55" s="1"/>
  <c r="N46"/>
  <c r="N47"/>
  <c r="C17"/>
  <c r="D16"/>
  <c r="C45"/>
  <c r="D44"/>
  <c r="D40"/>
  <c r="C41"/>
  <c r="C37"/>
  <c r="D36"/>
  <c r="C33"/>
  <c r="D32"/>
  <c r="C25"/>
  <c r="D24"/>
  <c r="C21"/>
  <c r="D20"/>
  <c r="C13"/>
  <c r="D12"/>
  <c r="N16" i="4"/>
  <c r="L16"/>
  <c r="T41" i="59" l="1"/>
  <c r="D41"/>
  <c r="T13"/>
  <c r="D13"/>
  <c r="T21"/>
  <c r="D21"/>
  <c r="T25"/>
  <c r="D25"/>
  <c r="T33"/>
  <c r="D33"/>
  <c r="T37"/>
  <c r="D37"/>
  <c r="T45"/>
  <c r="D45"/>
  <c r="T17"/>
  <c r="D17"/>
  <c r="O47"/>
  <c r="D47"/>
  <c r="O46"/>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c r="I9"/>
  <c r="I8"/>
  <c r="I7"/>
  <c r="I6"/>
  <c r="I5"/>
  <c r="I4"/>
  <c r="I3"/>
  <c r="I10"/>
  <c r="M11" i="15"/>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Z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Z88" s="1"/>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Z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Z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Z68" s="1"/>
  <c r="AX68"/>
  <c r="AW68"/>
  <c r="AV68"/>
  <c r="AC68"/>
  <c r="H68"/>
  <c r="G68" s="1"/>
  <c r="BT67"/>
  <c r="BS67"/>
  <c r="BR67"/>
  <c r="BQ67"/>
  <c r="BP67"/>
  <c r="BO67"/>
  <c r="BN67"/>
  <c r="BM67"/>
  <c r="BL67"/>
  <c r="BK67"/>
  <c r="BJ67"/>
  <c r="BI67"/>
  <c r="BH67"/>
  <c r="BG67"/>
  <c r="BF67"/>
  <c r="BE67"/>
  <c r="BD67"/>
  <c r="BC67"/>
  <c r="BB67"/>
  <c r="BA67" s="1"/>
  <c r="AZ67" s="1"/>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Z41" s="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Z172" s="1"/>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c r="AZ159" s="1"/>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c r="AZ156" s="1"/>
  <c r="AX156"/>
  <c r="AW156"/>
  <c r="AV156"/>
  <c r="AC156"/>
  <c r="H156"/>
  <c r="G156" s="1"/>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G147" s="1"/>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c r="BK137"/>
  <c r="BJ137"/>
  <c r="BI137"/>
  <c r="BH137"/>
  <c r="BG137"/>
  <c r="BF137"/>
  <c r="BE137"/>
  <c r="BD137"/>
  <c r="BC137"/>
  <c r="BB137"/>
  <c r="BA137" s="1"/>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G131" s="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L121"/>
  <c r="BK121"/>
  <c r="BJ121"/>
  <c r="BI121"/>
  <c r="BH121"/>
  <c r="BG121"/>
  <c r="BF121"/>
  <c r="BE121"/>
  <c r="BD121"/>
  <c r="BC121"/>
  <c r="BB121"/>
  <c r="BA121" s="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G113" s="1"/>
  <c r="BT296"/>
  <c r="BS296"/>
  <c r="BR296"/>
  <c r="BQ296"/>
  <c r="BP296"/>
  <c r="BO296"/>
  <c r="BN296"/>
  <c r="BM296"/>
  <c r="BL296"/>
  <c r="BK296"/>
  <c r="BJ296"/>
  <c r="BI296"/>
  <c r="BH296"/>
  <c r="BG296"/>
  <c r="BF296"/>
  <c r="BE296"/>
  <c r="BD296"/>
  <c r="BC296"/>
  <c r="BB296"/>
  <c r="BA296" s="1"/>
  <c r="AZ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s="1"/>
  <c r="BT290"/>
  <c r="BS290"/>
  <c r="BR290"/>
  <c r="BQ290"/>
  <c r="BP290"/>
  <c r="BO290"/>
  <c r="BN290"/>
  <c r="BM290"/>
  <c r="BL290"/>
  <c r="BK290"/>
  <c r="BJ290"/>
  <c r="BI290"/>
  <c r="BH290"/>
  <c r="BG290"/>
  <c r="BF290"/>
  <c r="BE290"/>
  <c r="BD290"/>
  <c r="BC290"/>
  <c r="BB290"/>
  <c r="BA290" s="1"/>
  <c r="AX290"/>
  <c r="AW290"/>
  <c r="AV290"/>
  <c r="AC290"/>
  <c r="H290"/>
  <c r="G290" s="1"/>
  <c r="BT289"/>
  <c r="BS289"/>
  <c r="BR289"/>
  <c r="BQ289"/>
  <c r="BP289"/>
  <c r="BO289"/>
  <c r="BN289"/>
  <c r="BM289"/>
  <c r="BL289"/>
  <c r="BK289"/>
  <c r="BJ289"/>
  <c r="BI289"/>
  <c r="BH289"/>
  <c r="BG289"/>
  <c r="BF289"/>
  <c r="BE289"/>
  <c r="BD289"/>
  <c r="BC289"/>
  <c r="BB289"/>
  <c r="BA289" s="1"/>
  <c r="AX289"/>
  <c r="AW289"/>
  <c r="AV289"/>
  <c r="AC289"/>
  <c r="H289"/>
  <c r="G289" s="1"/>
  <c r="BT288"/>
  <c r="BS288"/>
  <c r="BR288"/>
  <c r="BQ288"/>
  <c r="BP288"/>
  <c r="BO288"/>
  <c r="BN288"/>
  <c r="BM288"/>
  <c r="BL288"/>
  <c r="BK288"/>
  <c r="BJ288"/>
  <c r="BI288"/>
  <c r="BH288"/>
  <c r="BG288"/>
  <c r="BF288"/>
  <c r="BE288"/>
  <c r="BD288"/>
  <c r="BC288"/>
  <c r="BB288"/>
  <c r="BA288" s="1"/>
  <c r="AZ288" s="1"/>
  <c r="AX288"/>
  <c r="AW288"/>
  <c r="AV288"/>
  <c r="AC288"/>
  <c r="H288"/>
  <c r="G288"/>
  <c r="BT287"/>
  <c r="BS287"/>
  <c r="BR287"/>
  <c r="BQ287"/>
  <c r="BP287"/>
  <c r="BO287"/>
  <c r="BN287"/>
  <c r="BM287"/>
  <c r="BL287" s="1"/>
  <c r="BK287"/>
  <c r="BJ287"/>
  <c r="BI287"/>
  <c r="BH287"/>
  <c r="BG287"/>
  <c r="BF287"/>
  <c r="BE287"/>
  <c r="BD287"/>
  <c r="BC287"/>
  <c r="BB287"/>
  <c r="BA287"/>
  <c r="AZ287" s="1"/>
  <c r="AX287"/>
  <c r="AW287"/>
  <c r="AV287"/>
  <c r="AC287"/>
  <c r="H287"/>
  <c r="G287" s="1"/>
  <c r="BT286"/>
  <c r="BS286"/>
  <c r="BR286"/>
  <c r="BQ286"/>
  <c r="BP286"/>
  <c r="BO286"/>
  <c r="BN286"/>
  <c r="BM286"/>
  <c r="BL286"/>
  <c r="BK286"/>
  <c r="BJ286"/>
  <c r="BI286"/>
  <c r="BH286"/>
  <c r="BG286"/>
  <c r="BF286"/>
  <c r="BE286"/>
  <c r="BD286"/>
  <c r="BC286"/>
  <c r="BB286"/>
  <c r="BA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c r="BT283"/>
  <c r="BS283"/>
  <c r="BR283"/>
  <c r="BQ283"/>
  <c r="BP283"/>
  <c r="BO283"/>
  <c r="BN283"/>
  <c r="BM283"/>
  <c r="BL283" s="1"/>
  <c r="BK283"/>
  <c r="BJ283"/>
  <c r="BI283"/>
  <c r="BH283"/>
  <c r="BG283"/>
  <c r="BF283"/>
  <c r="BE283"/>
  <c r="BD283"/>
  <c r="BC283"/>
  <c r="BB283"/>
  <c r="BA283"/>
  <c r="AZ283" s="1"/>
  <c r="AX283"/>
  <c r="AW283"/>
  <c r="AV283"/>
  <c r="AC283"/>
  <c r="H283"/>
  <c r="G283" s="1"/>
  <c r="BT282"/>
  <c r="BS282"/>
  <c r="BR282"/>
  <c r="BQ282"/>
  <c r="BP282"/>
  <c r="BO282"/>
  <c r="BN282"/>
  <c r="BM282"/>
  <c r="BL282"/>
  <c r="BK282"/>
  <c r="BJ282"/>
  <c r="BI282"/>
  <c r="BH282"/>
  <c r="BG282"/>
  <c r="BF282"/>
  <c r="BE282"/>
  <c r="BD282"/>
  <c r="BC282"/>
  <c r="BB282"/>
  <c r="BA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Z280" s="1"/>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s="1"/>
  <c r="BT278"/>
  <c r="BS278"/>
  <c r="BR278"/>
  <c r="BQ278"/>
  <c r="BP278"/>
  <c r="BO278"/>
  <c r="BN278"/>
  <c r="BM278"/>
  <c r="BL278"/>
  <c r="BK278"/>
  <c r="BJ278"/>
  <c r="BI278"/>
  <c r="BH278"/>
  <c r="BG278"/>
  <c r="BF278"/>
  <c r="BE278"/>
  <c r="BD278"/>
  <c r="BC278"/>
  <c r="BB278"/>
  <c r="BA278" s="1"/>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Z271" s="1"/>
  <c r="AX271"/>
  <c r="AW271"/>
  <c r="AV271"/>
  <c r="AC271"/>
  <c r="H271"/>
  <c r="G271" s="1"/>
  <c r="BT270"/>
  <c r="BS270"/>
  <c r="BR270"/>
  <c r="BQ270"/>
  <c r="BP270"/>
  <c r="BO270"/>
  <c r="BN270"/>
  <c r="BM270"/>
  <c r="BL270"/>
  <c r="BK270"/>
  <c r="BJ270"/>
  <c r="BI270"/>
  <c r="BH270"/>
  <c r="BG270"/>
  <c r="BF270"/>
  <c r="BE270"/>
  <c r="BD270"/>
  <c r="BC270"/>
  <c r="BB270"/>
  <c r="BA270" s="1"/>
  <c r="AX270"/>
  <c r="AW270"/>
  <c r="AV270"/>
  <c r="AC270"/>
  <c r="H270"/>
  <c r="G270" s="1"/>
  <c r="BT269"/>
  <c r="BS269"/>
  <c r="BR269"/>
  <c r="BQ269"/>
  <c r="BP269"/>
  <c r="BO269"/>
  <c r="BN269"/>
  <c r="BM269"/>
  <c r="BL269"/>
  <c r="BK269"/>
  <c r="BJ269"/>
  <c r="BI269"/>
  <c r="BH269"/>
  <c r="BG269"/>
  <c r="BF269"/>
  <c r="BE269"/>
  <c r="BD269"/>
  <c r="BC269"/>
  <c r="BB269"/>
  <c r="BA269" s="1"/>
  <c r="AZ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s="1"/>
  <c r="BT260"/>
  <c r="BS260"/>
  <c r="BR260"/>
  <c r="BQ260"/>
  <c r="BP260"/>
  <c r="BO260"/>
  <c r="BN260"/>
  <c r="BM260"/>
  <c r="BL260"/>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s="1"/>
  <c r="BT242"/>
  <c r="BS242"/>
  <c r="BR242"/>
  <c r="BQ242"/>
  <c r="BP242"/>
  <c r="BO242"/>
  <c r="BN242"/>
  <c r="BM242"/>
  <c r="BL242"/>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s="1"/>
  <c r="BT239"/>
  <c r="BS239"/>
  <c r="BR239"/>
  <c r="BQ239"/>
  <c r="BP239"/>
  <c r="BO239"/>
  <c r="BN239"/>
  <c r="BM239"/>
  <c r="BL239"/>
  <c r="BK239"/>
  <c r="BJ239"/>
  <c r="BI239"/>
  <c r="BH239"/>
  <c r="BG239"/>
  <c r="BF239"/>
  <c r="BE239"/>
  <c r="BD239"/>
  <c r="BC239"/>
  <c r="BB239"/>
  <c r="BA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Z386" s="1"/>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AZ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Z368" s="1"/>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Z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BA334"/>
  <c r="AZ334" s="1"/>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L318" s="1"/>
  <c r="BK318"/>
  <c r="BJ318"/>
  <c r="BI318"/>
  <c r="BH318"/>
  <c r="BG318"/>
  <c r="BF318"/>
  <c r="BE318"/>
  <c r="BD318"/>
  <c r="BC318"/>
  <c r="BB318"/>
  <c r="BA318"/>
  <c r="AZ318" s="1"/>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G309" s="1"/>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Z464" s="1"/>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c r="AZ451" s="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c r="AZ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X423"/>
  <c r="AW423"/>
  <c r="AV423"/>
  <c r="AC423"/>
  <c r="H423"/>
  <c r="G423" s="1"/>
  <c r="BT422"/>
  <c r="BS422"/>
  <c r="BR422"/>
  <c r="BQ422"/>
  <c r="BP422"/>
  <c r="BO422"/>
  <c r="BN422"/>
  <c r="BM422"/>
  <c r="BL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Z420" s="1"/>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s="1"/>
  <c r="BT414"/>
  <c r="BS414"/>
  <c r="BR414"/>
  <c r="BQ414"/>
  <c r="BP414"/>
  <c r="BO414"/>
  <c r="BN414"/>
  <c r="BM414"/>
  <c r="BL414"/>
  <c r="BK414"/>
  <c r="BJ414"/>
  <c r="BI414"/>
  <c r="BH414"/>
  <c r="BG414"/>
  <c r="BF414"/>
  <c r="BE414"/>
  <c r="BD414"/>
  <c r="BC414"/>
  <c r="BB414"/>
  <c r="BA414"/>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s="1"/>
  <c r="AX407"/>
  <c r="AW407"/>
  <c r="AV407"/>
  <c r="AC407"/>
  <c r="H407"/>
  <c r="G407"/>
  <c r="BT406"/>
  <c r="BS406"/>
  <c r="BR406"/>
  <c r="BQ406"/>
  <c r="BP406"/>
  <c r="BO406"/>
  <c r="BN406"/>
  <c r="BM406"/>
  <c r="BL406"/>
  <c r="BK406"/>
  <c r="BJ406"/>
  <c r="BI406"/>
  <c r="BH406"/>
  <c r="BG406"/>
  <c r="BF406"/>
  <c r="BE406"/>
  <c r="BD406"/>
  <c r="BC406"/>
  <c r="BB406"/>
  <c r="BA406" s="1"/>
  <c r="AZ406" s="1"/>
  <c r="AX406"/>
  <c r="AW406"/>
  <c r="AV406"/>
  <c r="AC406"/>
  <c r="H406"/>
  <c r="G406" s="1"/>
  <c r="BT405"/>
  <c r="BS405"/>
  <c r="BR405"/>
  <c r="BQ405"/>
  <c r="BP405"/>
  <c r="BO405"/>
  <c r="BN405"/>
  <c r="BM405"/>
  <c r="BL405"/>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s="1"/>
  <c r="AZ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s="1"/>
  <c r="BT395"/>
  <c r="BS395"/>
  <c r="BR395"/>
  <c r="BQ395"/>
  <c r="BP395"/>
  <c r="BO395"/>
  <c r="BN395"/>
  <c r="BM395"/>
  <c r="BL395"/>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Z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Z392" s="1"/>
  <c r="AX392"/>
  <c r="AW392"/>
  <c r="AV392"/>
  <c r="AC392"/>
  <c r="H392"/>
  <c r="G392" s="1"/>
  <c r="BT391"/>
  <c r="BS391"/>
  <c r="BR391"/>
  <c r="BQ391"/>
  <c r="BP391"/>
  <c r="BO391"/>
  <c r="BN391"/>
  <c r="BM391"/>
  <c r="BL391"/>
  <c r="BK391"/>
  <c r="BJ391"/>
  <c r="BI391"/>
  <c r="BH391"/>
  <c r="BG391"/>
  <c r="BF391"/>
  <c r="BE391"/>
  <c r="BD391"/>
  <c r="BC391"/>
  <c r="BB391"/>
  <c r="BA391" s="1"/>
  <c r="AZ391" s="1"/>
  <c r="AX391"/>
  <c r="AW391"/>
  <c r="AV391"/>
  <c r="AC391"/>
  <c r="H391"/>
  <c r="G391" s="1"/>
  <c r="BT390"/>
  <c r="BS390"/>
  <c r="BR390"/>
  <c r="BQ390"/>
  <c r="BP390"/>
  <c r="BO390"/>
  <c r="BN390"/>
  <c r="BM390"/>
  <c r="BL390"/>
  <c r="BK390"/>
  <c r="BJ390"/>
  <c r="BI390"/>
  <c r="BH390"/>
  <c r="BG390"/>
  <c r="BF390"/>
  <c r="BE390"/>
  <c r="BD390"/>
  <c r="BC390"/>
  <c r="BB390"/>
  <c r="BA390" s="1"/>
  <c r="AZ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s="1"/>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G13"/>
  <c r="BH13"/>
  <c r="BI13"/>
  <c r="BI5" s="1"/>
  <c r="BJ13"/>
  <c r="BK13"/>
  <c r="BM13"/>
  <c r="BN13"/>
  <c r="BO13"/>
  <c r="BP13"/>
  <c r="BS13"/>
  <c r="BT13"/>
  <c r="BB570"/>
  <c r="BC570"/>
  <c r="BA570" s="1"/>
  <c r="AZ570" s="1"/>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AA32" s="1"/>
  <c r="F38"/>
  <c r="S38" s="1"/>
  <c r="F36"/>
  <c r="S36" s="1"/>
  <c r="F39"/>
  <c r="AA39" s="1"/>
  <c r="J40"/>
  <c r="W40" s="1"/>
  <c r="H35"/>
  <c r="AB35" s="1"/>
  <c r="J8"/>
  <c r="AC8" s="1"/>
  <c r="J9"/>
  <c r="AC9" s="1"/>
  <c r="H8"/>
  <c r="H9"/>
  <c r="AB9" s="1"/>
  <c r="H10"/>
  <c r="U10" s="1"/>
  <c r="H39"/>
  <c r="AB39" s="1"/>
  <c r="J34"/>
  <c r="W34" s="1"/>
  <c r="H36"/>
  <c r="U36" s="1"/>
  <c r="F35"/>
  <c r="AA35" s="1"/>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F11" i="21"/>
  <c r="S11" s="1"/>
  <c r="AA38"/>
  <c r="C29" i="39"/>
  <c r="C23"/>
  <c r="U36"/>
  <c r="H32" i="33"/>
  <c r="AB32" s="1"/>
  <c r="H11" i="21"/>
  <c r="U11" s="1"/>
  <c r="J11"/>
  <c r="W11" s="1"/>
  <c r="F100" i="40"/>
  <c r="F86"/>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U46"/>
  <c r="AC30"/>
  <c r="W30"/>
  <c r="AB30"/>
  <c r="S28"/>
  <c r="AA28"/>
  <c r="AB14"/>
  <c r="W14"/>
  <c r="AC14"/>
  <c r="W31" i="34"/>
  <c r="S46" i="33"/>
  <c r="U36" i="37"/>
  <c r="AC13" i="36"/>
  <c r="AB45" i="33"/>
  <c r="AB31"/>
  <c r="AA27"/>
  <c r="AB27"/>
  <c r="S45" i="21"/>
  <c r="AC28" i="33"/>
  <c r="U28" i="21"/>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BA560"/>
  <c r="BA558"/>
  <c r="BA556"/>
  <c r="BA554"/>
  <c r="BA550"/>
  <c r="BA546"/>
  <c r="BA544"/>
  <c r="BA540"/>
  <c r="BA536"/>
  <c r="BA532"/>
  <c r="BA528"/>
  <c r="BA524"/>
  <c r="BA520"/>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AZ562" s="1"/>
  <c r="BQ560"/>
  <c r="BL560" s="1"/>
  <c r="AZ560" s="1"/>
  <c r="BQ558"/>
  <c r="BL558" s="1"/>
  <c r="AZ558" s="1"/>
  <c r="BQ556"/>
  <c r="BL556" s="1"/>
  <c r="AZ556" s="1"/>
  <c r="BQ554"/>
  <c r="BQ552"/>
  <c r="BL552" s="1"/>
  <c r="AZ552" s="1"/>
  <c r="BQ550"/>
  <c r="BL550" s="1"/>
  <c r="AZ550" s="1"/>
  <c r="BQ548"/>
  <c r="BQ546"/>
  <c r="BL546"/>
  <c r="BQ544"/>
  <c r="BL544"/>
  <c r="AZ544" s="1"/>
  <c r="G544"/>
  <c r="G538"/>
  <c r="G534"/>
  <c r="G530"/>
  <c r="G526"/>
  <c r="G522"/>
  <c r="BQ540"/>
  <c r="BL540" s="1"/>
  <c r="AZ540" s="1"/>
  <c r="BQ538"/>
  <c r="BL538" s="1"/>
  <c r="BQ536"/>
  <c r="BQ534"/>
  <c r="BL534"/>
  <c r="BQ532"/>
  <c r="BL532"/>
  <c r="BQ530"/>
  <c r="BQ528"/>
  <c r="BQ526"/>
  <c r="BL526"/>
  <c r="BQ524"/>
  <c r="BL524"/>
  <c r="BQ522"/>
  <c r="BQ520"/>
  <c r="BL520" s="1"/>
  <c r="BQ518"/>
  <c r="BQ516"/>
  <c r="BL516"/>
  <c r="BQ514"/>
  <c r="BL514"/>
  <c r="BQ512"/>
  <c r="BQ510"/>
  <c r="BL510" s="1"/>
  <c r="AZ510" s="1"/>
  <c r="BQ508"/>
  <c r="BL508" s="1"/>
  <c r="AZ508" s="1"/>
  <c r="AC506"/>
  <c r="G506" s="1"/>
  <c r="BQ506"/>
  <c r="G502"/>
  <c r="G498"/>
  <c r="BQ504"/>
  <c r="BQ502"/>
  <c r="BL502" s="1"/>
  <c r="AZ502" s="1"/>
  <c r="BQ500"/>
  <c r="BL500" s="1"/>
  <c r="AZ500" s="1"/>
  <c r="BQ498"/>
  <c r="BQ496"/>
  <c r="AC494"/>
  <c r="BQ494"/>
  <c r="BL493"/>
  <c r="G492"/>
  <c r="G488"/>
  <c r="G484"/>
  <c r="G20"/>
  <c r="BQ492"/>
  <c r="BL492"/>
  <c r="BQ490"/>
  <c r="BQ488"/>
  <c r="BL488" s="1"/>
  <c r="AZ488" s="1"/>
  <c r="BQ486"/>
  <c r="BQ484"/>
  <c r="BL484"/>
  <c r="AZ484" s="1"/>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U19" i="21"/>
  <c r="S39" i="33"/>
  <c r="F43"/>
  <c r="AA43" s="1"/>
  <c r="AA23" i="37"/>
  <c r="S10" i="35"/>
  <c r="AB44" i="33"/>
  <c r="G107" i="37"/>
  <c r="H107" s="1"/>
  <c r="I107" s="1"/>
  <c r="J107" s="1"/>
  <c r="K107" s="1"/>
  <c r="L107" s="1"/>
  <c r="M107" s="1"/>
  <c r="AA9" i="2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BL361"/>
  <c r="G362"/>
  <c r="BA363"/>
  <c r="G371"/>
  <c r="BL372"/>
  <c r="G373"/>
  <c r="BL374"/>
  <c r="BA376"/>
  <c r="AZ376" s="1"/>
  <c r="BA377"/>
  <c r="AZ377" s="1"/>
  <c r="BL377"/>
  <c r="G378"/>
  <c r="BA379"/>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AZ379" s="1"/>
  <c r="G380"/>
  <c r="BA382"/>
  <c r="AZ382"/>
  <c r="BL383"/>
  <c r="G384"/>
  <c r="AZ249"/>
  <c r="AZ253"/>
  <c r="AZ257"/>
  <c r="AZ261"/>
  <c r="AZ265"/>
  <c r="AZ375"/>
  <c r="AZ383"/>
  <c r="AZ270"/>
  <c r="AZ274"/>
  <c r="AZ278"/>
  <c r="AZ282"/>
  <c r="AZ286"/>
  <c r="AZ290"/>
  <c r="AZ295"/>
  <c r="AZ303"/>
  <c r="AZ311"/>
  <c r="AZ313"/>
  <c r="AZ315"/>
  <c r="AZ319"/>
  <c r="AZ331"/>
  <c r="AZ335"/>
  <c r="AZ339"/>
  <c r="AZ351"/>
  <c r="AZ361"/>
  <c r="AZ369"/>
  <c r="AZ385"/>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H13" i="39"/>
  <c r="AB13" s="1"/>
  <c r="F13"/>
  <c r="S13" s="1"/>
  <c r="J13"/>
  <c r="AC13" s="1"/>
  <c r="AA36" i="35"/>
  <c r="H11" i="37"/>
  <c r="AB11" s="1"/>
  <c r="W37"/>
  <c r="AA30" i="33"/>
  <c r="AA36" i="37"/>
  <c r="S42" i="33"/>
  <c r="U32"/>
  <c r="AB17" i="37"/>
  <c r="AZ516" i="3"/>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U39"/>
  <c r="W9"/>
  <c r="J32"/>
  <c r="AC32" s="1"/>
  <c r="G13" i="3"/>
  <c r="AC5"/>
  <c r="F17" i="21"/>
  <c r="S17" s="1"/>
  <c r="H17"/>
  <c r="AB17" s="1"/>
  <c r="J17"/>
  <c r="AC1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AA43" s="1"/>
  <c r="H43"/>
  <c r="U43" s="1"/>
  <c r="J43"/>
  <c r="W43" s="1"/>
  <c r="F99" i="37"/>
  <c r="AC27"/>
  <c r="U25" i="35"/>
  <c r="S45" i="34"/>
  <c r="U31"/>
  <c r="AC40" i="37"/>
  <c r="W40"/>
  <c r="W27" i="33"/>
  <c r="AC45" i="21"/>
  <c r="S28" i="33"/>
  <c r="S14" i="21"/>
  <c r="AA44" i="34"/>
  <c r="AB29" i="35"/>
  <c r="U29"/>
  <c r="AC19" i="33"/>
  <c r="W19"/>
  <c r="U43" i="34"/>
  <c r="AB43"/>
  <c r="AC34" i="37"/>
  <c r="S35"/>
  <c r="AA35"/>
  <c r="AB10" i="35"/>
  <c r="S32" i="21"/>
  <c r="U38"/>
  <c r="AB34"/>
  <c r="BL571" i="3"/>
  <c r="BA571"/>
  <c r="AZ571"/>
  <c r="BL570"/>
  <c r="BE5"/>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21"/>
  <c r="S21" s="1"/>
  <c r="H21"/>
  <c r="J21"/>
  <c r="W21" s="1"/>
  <c r="F33"/>
  <c r="S33" s="1"/>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s="1"/>
  <c r="BL567"/>
  <c r="BA567"/>
  <c r="AZ567"/>
  <c r="BL566"/>
  <c r="AZ566"/>
  <c r="BL565"/>
  <c r="AZ565"/>
  <c r="BA564"/>
  <c r="AZ564"/>
  <c r="BA563"/>
  <c r="AZ563"/>
  <c r="BL554"/>
  <c r="AZ554"/>
  <c r="BA553"/>
  <c r="AZ553"/>
  <c r="BA552"/>
  <c r="BL549"/>
  <c r="BA549"/>
  <c r="BL548"/>
  <c r="BA548"/>
  <c r="BL547"/>
  <c r="BA547"/>
  <c r="BL539"/>
  <c r="BA539"/>
  <c r="AZ539" s="1"/>
  <c r="BA538"/>
  <c r="AZ538" s="1"/>
  <c r="BL537"/>
  <c r="BA537"/>
  <c r="BL536"/>
  <c r="AZ536" s="1"/>
  <c r="BA535"/>
  <c r="AZ535" s="1"/>
  <c r="BA534"/>
  <c r="AZ534" s="1"/>
  <c r="BA533"/>
  <c r="AZ533" s="1"/>
  <c r="BL531"/>
  <c r="AZ531" s="1"/>
  <c r="BL530"/>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BA515"/>
  <c r="BA514"/>
  <c r="AZ514" s="1"/>
  <c r="BL513"/>
  <c r="BA513"/>
  <c r="AZ513"/>
  <c r="BL512"/>
  <c r="AZ512"/>
  <c r="BA511"/>
  <c r="AZ511"/>
  <c r="BA510"/>
  <c r="BL509"/>
  <c r="AZ509"/>
  <c r="BL507"/>
  <c r="BA507"/>
  <c r="AZ507" s="1"/>
  <c r="BL506"/>
  <c r="BA506"/>
  <c r="AZ506"/>
  <c r="BL505"/>
  <c r="AZ505"/>
  <c r="BL504"/>
  <c r="BA504"/>
  <c r="BA503"/>
  <c r="AZ503"/>
  <c r="BA500"/>
  <c r="BL499"/>
  <c r="BA499"/>
  <c r="AZ499" s="1"/>
  <c r="BL498"/>
  <c r="AZ498" s="1"/>
  <c r="BL497"/>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S35"/>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E97"/>
  <c r="F23" s="1"/>
  <c r="AA23" s="1"/>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9" i="3"/>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27" i="43"/>
  <c r="F66" i="9"/>
  <c r="P72" s="1"/>
  <c r="F71"/>
  <c r="F72"/>
  <c r="AC14" i="40"/>
  <c r="W35"/>
  <c r="S33"/>
  <c r="AB32"/>
  <c r="AC47" i="39"/>
  <c r="S47"/>
  <c r="U37" i="34"/>
  <c r="AB37"/>
  <c r="AC41" i="40"/>
  <c r="W41"/>
  <c r="U41"/>
  <c r="J23"/>
  <c r="AC23" s="1"/>
  <c r="G92"/>
  <c r="F23"/>
  <c r="S23" s="1"/>
  <c r="AC15"/>
  <c r="W15"/>
  <c r="W14" i="39"/>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AA13" i="39"/>
  <c r="U16" i="40"/>
  <c r="W34"/>
  <c r="AB34"/>
  <c r="AB42"/>
  <c r="U42"/>
  <c r="AC16"/>
  <c r="W32"/>
  <c r="H25"/>
  <c r="AB25" s="1"/>
  <c r="F94"/>
  <c r="G94" s="1"/>
  <c r="U47" i="39"/>
  <c r="J37" i="34"/>
  <c r="AC37" s="1"/>
  <c r="J36" i="33"/>
  <c r="W36" s="1"/>
  <c r="S41" i="40"/>
  <c r="AB23"/>
  <c r="H23" i="39"/>
  <c r="AB23" s="1"/>
  <c r="J23"/>
  <c r="AC23" s="1"/>
  <c r="F97"/>
  <c r="G97"/>
  <c r="S16"/>
  <c r="S15" i="34"/>
  <c r="AA15"/>
  <c r="AA41" i="33"/>
  <c r="AA34"/>
  <c r="F106"/>
  <c r="G106"/>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AA19" i="3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AC16" i="35"/>
  <c r="AC13" i="40"/>
  <c r="J11" i="34"/>
  <c r="W11" s="1"/>
  <c r="S17"/>
  <c r="AC36" i="33"/>
  <c r="F25" i="40"/>
  <c r="AA25" s="1"/>
  <c r="J11" i="33"/>
  <c r="W11" s="1"/>
  <c r="H33" i="37"/>
  <c r="AB33" s="1"/>
  <c r="W15" i="34"/>
  <c r="AC15"/>
  <c r="U20" i="35"/>
  <c r="AB20"/>
  <c r="W23" i="40"/>
  <c r="D73" i="9"/>
  <c r="N73" s="1"/>
  <c r="AP11" i="1"/>
  <c r="J51" i="15"/>
  <c r="B11" i="1"/>
  <c r="E11" s="1"/>
  <c r="K11"/>
  <c r="M11" s="1"/>
  <c r="B9"/>
  <c r="E9" s="1"/>
  <c r="K9"/>
  <c r="M9" s="1"/>
  <c r="B7"/>
  <c r="E7" s="1"/>
  <c r="K7"/>
  <c r="M7" s="1"/>
  <c r="O7" s="1"/>
  <c r="P7" s="1"/>
  <c r="C20" i="43"/>
  <c r="E2" i="65"/>
  <c r="L47" i="68"/>
  <c r="C58" i="21" l="1"/>
  <c r="D58" s="1"/>
  <c r="E58" s="1"/>
  <c r="F58" s="1"/>
  <c r="G58" s="1"/>
  <c r="H58" s="1"/>
  <c r="I58" s="1"/>
  <c r="J58" s="1"/>
  <c r="K58" s="1"/>
  <c r="L58" s="1"/>
  <c r="M58" s="1"/>
  <c r="N58" s="1"/>
  <c r="O58" s="1"/>
  <c r="G7"/>
  <c r="I7"/>
  <c r="E7"/>
  <c r="AZ520" i="3"/>
  <c r="H5"/>
  <c r="BF5"/>
  <c r="AZ437"/>
  <c r="AZ234"/>
  <c r="AZ264"/>
  <c r="AZ275"/>
  <c r="AZ279"/>
  <c r="AZ294"/>
  <c r="AZ113"/>
  <c r="AZ116"/>
  <c r="AZ129"/>
  <c r="AZ132"/>
  <c r="BG5"/>
  <c r="AZ412"/>
  <c r="AZ424"/>
  <c r="AZ447"/>
  <c r="AZ468"/>
  <c r="AZ472"/>
  <c r="AZ206"/>
  <c r="AZ210"/>
  <c r="AZ250"/>
  <c r="AZ258"/>
  <c r="AZ145"/>
  <c r="AZ148"/>
  <c r="AZ202"/>
  <c r="AZ28"/>
  <c r="AZ34"/>
  <c r="AZ37"/>
  <c r="AZ44"/>
  <c r="AZ50"/>
  <c r="AZ53"/>
  <c r="AZ60"/>
  <c r="AZ72"/>
  <c r="AZ77"/>
  <c r="AZ92"/>
  <c r="AZ97"/>
  <c r="AZ108"/>
  <c r="BA21"/>
  <c r="AZ21" s="1"/>
  <c r="G15"/>
  <c r="G14"/>
  <c r="U17" i="21"/>
  <c r="F123"/>
  <c r="G123" s="1"/>
  <c r="H123" s="1"/>
  <c r="I123" s="1"/>
  <c r="J123" s="1"/>
  <c r="K123" s="1"/>
  <c r="L123" s="1"/>
  <c r="M123" s="1"/>
  <c r="H42"/>
  <c r="J42"/>
  <c r="AC42" s="1"/>
  <c r="F42"/>
  <c r="AA42" s="1"/>
  <c r="H113"/>
  <c r="F37"/>
  <c r="S37" s="1"/>
  <c r="H37"/>
  <c r="U37" s="1"/>
  <c r="J37"/>
  <c r="W37" s="1"/>
  <c r="AB36"/>
  <c r="AA36"/>
  <c r="W42"/>
  <c r="AC40"/>
  <c r="AC35"/>
  <c r="U43"/>
  <c r="AB44"/>
  <c r="S46"/>
  <c r="AB10"/>
  <c r="S10"/>
  <c r="U9"/>
  <c r="C18" i="9"/>
  <c r="A30" i="51"/>
  <c r="A30" i="64"/>
  <c r="AB44" i="39"/>
  <c r="U34"/>
  <c r="U27"/>
  <c r="AB25"/>
  <c r="AB17"/>
  <c r="AA33"/>
  <c r="H42"/>
  <c r="AB42" s="1"/>
  <c r="J42"/>
  <c r="AC42" s="1"/>
  <c r="F42"/>
  <c r="AB29"/>
  <c r="S23"/>
  <c r="S17"/>
  <c r="W33"/>
  <c r="W27"/>
  <c r="AB16"/>
  <c r="AC43"/>
  <c r="S43"/>
  <c r="U13"/>
  <c r="W15"/>
  <c r="N59" i="68"/>
  <c r="M59"/>
  <c r="L59"/>
  <c r="F6" i="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9" i="68"/>
  <c r="L48"/>
  <c r="M30" i="44"/>
  <c r="J15" i="15"/>
  <c r="M24" i="44"/>
  <c r="J17"/>
  <c r="F16" i="15"/>
  <c r="F40" i="44"/>
  <c r="L48" i="15"/>
  <c r="J36"/>
  <c r="M26"/>
  <c r="F15" i="44"/>
  <c r="L47" i="15"/>
  <c r="F43" i="44"/>
  <c r="F7" i="15"/>
  <c r="F10" i="44"/>
  <c r="M11"/>
  <c r="M26"/>
  <c r="M22" i="15"/>
  <c r="M10" i="44"/>
  <c r="F42" i="15"/>
  <c r="F38" i="44"/>
  <c r="M24" i="15"/>
  <c r="M8" i="44"/>
  <c r="F9" i="15"/>
  <c r="M23"/>
  <c r="L49" i="44"/>
  <c r="M31"/>
  <c r="F31" i="68"/>
  <c r="F43"/>
  <c r="F7"/>
  <c r="F37" i="15"/>
  <c r="M25" i="44"/>
  <c r="F39"/>
  <c r="F38" i="15"/>
  <c r="M28"/>
  <c r="L48" i="44"/>
  <c r="M27" i="15"/>
  <c r="M28" i="44"/>
  <c r="F11"/>
  <c r="F6" i="15"/>
  <c r="F36"/>
  <c r="M29"/>
  <c r="F9" i="44"/>
  <c r="F8" i="15"/>
  <c r="F26"/>
  <c r="F8" i="44"/>
  <c r="F18"/>
  <c r="M29"/>
  <c r="M8" i="15"/>
  <c r="M9"/>
  <c r="F40"/>
  <c r="F43"/>
  <c r="F13"/>
  <c r="M6"/>
  <c r="F45" i="44"/>
  <c r="F28"/>
  <c r="E413" i="3" l="1"/>
  <c r="C33" i="21"/>
  <c r="AB42"/>
  <c r="U42"/>
  <c r="AA15"/>
  <c r="AC23"/>
  <c r="AA42" i="39"/>
  <c r="S42"/>
  <c r="M7" i="68"/>
  <c r="C6"/>
  <c r="C5" s="1"/>
  <c r="F50"/>
  <c r="F71"/>
  <c r="M6" i="1"/>
  <c r="C15" i="43" s="1"/>
  <c r="Q74" i="68"/>
  <c r="Q61"/>
  <c r="L56"/>
  <c r="I54"/>
  <c r="L58"/>
  <c r="J57"/>
  <c r="J55" s="1"/>
  <c r="J58" s="1"/>
  <c r="Q50" s="1"/>
  <c r="AP6" i="1"/>
  <c r="G6"/>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J10" s="1"/>
  <c r="F49"/>
  <c r="F70"/>
  <c r="C6"/>
  <c r="L56"/>
  <c r="J57"/>
  <c r="J55" s="1"/>
  <c r="J58" s="1"/>
  <c r="Q51" s="1"/>
  <c r="F65"/>
  <c r="G66" i="36"/>
  <c r="J18"/>
  <c r="AE8" i="1"/>
  <c r="AE6"/>
  <c r="M17" i="15"/>
  <c r="F31"/>
  <c r="F33" i="44"/>
  <c r="M19"/>
  <c r="F58" i="15"/>
  <c r="AE7" i="1"/>
  <c r="M17" i="68"/>
  <c r="F41"/>
  <c r="C16" i="15"/>
  <c r="F46" i="44"/>
  <c r="F59" i="68"/>
  <c r="F41" i="15"/>
  <c r="C16" i="68"/>
  <c r="C18" i="44"/>
  <c r="J33" i="21" l="1"/>
  <c r="F33"/>
  <c r="H33"/>
  <c r="C49" i="68"/>
  <c r="C48" s="1"/>
  <c r="J6"/>
  <c r="J5" s="1"/>
  <c r="C38"/>
  <c r="C32"/>
  <c r="Q60"/>
  <c r="Q73"/>
  <c r="F69"/>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AB12" i="39"/>
  <c r="C20" i="11"/>
  <c r="C21" s="1"/>
  <c r="C22" s="1"/>
  <c r="C23" s="1"/>
  <c r="B2" s="1"/>
  <c r="AC12" i="40"/>
  <c r="W12"/>
  <c r="E46" i="37"/>
  <c r="F46" s="1"/>
  <c r="C48" i="33"/>
  <c r="C49"/>
  <c r="B3" s="1"/>
  <c r="B2" s="1"/>
  <c r="F7" i="67"/>
  <c r="L52" i="44"/>
  <c r="U33" i="21" l="1"/>
  <c r="AB33"/>
  <c r="W33"/>
  <c r="AC33"/>
  <c r="AA33"/>
  <c r="S33"/>
  <c r="S6" i="46"/>
  <c r="T6" s="1"/>
  <c r="V6" s="1"/>
  <c r="S7"/>
  <c r="T7" s="1"/>
  <c r="V7" s="1"/>
  <c r="S4"/>
  <c r="T4" s="1"/>
  <c r="V4" s="1"/>
  <c r="S5"/>
  <c r="T5" s="1"/>
  <c r="V5" s="1"/>
  <c r="S2"/>
  <c r="T2" s="1"/>
  <c r="V2" s="1"/>
  <c r="S3"/>
  <c r="T3" s="1"/>
  <c r="V3" s="1"/>
  <c r="C60" i="68"/>
  <c r="C66"/>
  <c r="J26"/>
  <c r="J29" s="1"/>
  <c r="J18"/>
  <c r="J24"/>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C14" i="68"/>
  <c r="C17" i="15"/>
  <c r="C19" i="44"/>
  <c r="E7" i="67"/>
  <c r="C17" i="68"/>
  <c r="C15" l="1"/>
  <c r="C18"/>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B7" i="67"/>
  <c r="C19" i="68" l="1"/>
  <c r="C20" s="1"/>
  <c r="C26" s="1"/>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C14" i="15"/>
  <c r="C16" i="44"/>
  <c r="B2" i="21" l="1"/>
  <c r="C10" i="12" s="1"/>
  <c r="C8"/>
  <c r="C23" i="68"/>
  <c r="C29"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i="68"/>
  <c r="M23" i="44"/>
  <c r="M21" i="15"/>
  <c r="F37" i="44"/>
  <c r="F35" i="15"/>
  <c r="M21" i="68"/>
  <c r="J20" l="1"/>
  <c r="F63"/>
  <c r="C62" s="1"/>
  <c r="C34"/>
  <c r="C57"/>
  <c r="J14"/>
  <c r="C13"/>
  <c r="C36"/>
  <c r="C33"/>
  <c r="Q49"/>
  <c r="J19"/>
  <c r="J59"/>
  <c r="J60" s="1"/>
  <c r="C21" i="44"/>
  <c r="C22" s="1"/>
  <c r="C25" s="1"/>
  <c r="C19" i="15"/>
  <c r="J20"/>
  <c r="C36" i="44"/>
  <c r="C34" i="15"/>
  <c r="F62"/>
  <c r="C61" s="1"/>
  <c r="J22" i="44"/>
  <c r="C20" i="15"/>
  <c r="C23" s="1"/>
  <c r="C18" i="12"/>
  <c r="R16" i="1"/>
  <c r="D31" i="6"/>
  <c r="I6" s="1"/>
  <c r="R27"/>
  <c r="C18" i="43"/>
  <c r="K70" i="39"/>
  <c r="J72"/>
  <c r="K65" i="40"/>
  <c r="J67"/>
  <c r="C65" i="15"/>
  <c r="C59"/>
  <c r="J17" i="68" l="1"/>
  <c r="C31"/>
  <c r="Q48"/>
  <c r="J22"/>
  <c r="J13"/>
  <c r="J23" s="1"/>
  <c r="C75"/>
  <c r="C37"/>
  <c r="C56"/>
  <c r="C65" s="1"/>
  <c r="Q70"/>
  <c r="C61"/>
  <c r="C59" s="1"/>
  <c r="C64"/>
  <c r="C28" i="44"/>
  <c r="C31" s="1"/>
  <c r="C35" s="1"/>
  <c r="I5" i="6"/>
  <c r="C26" i="15"/>
  <c r="C29" s="1"/>
  <c r="J59" s="1"/>
  <c r="J60" s="1"/>
  <c r="Q49" s="1"/>
  <c r="C23" i="12"/>
  <c r="C19" i="43"/>
  <c r="C22" s="1"/>
  <c r="C21" s="1"/>
  <c r="K67" i="40"/>
  <c r="L65"/>
  <c r="K72" i="39"/>
  <c r="L70"/>
  <c r="C30" i="68" l="1"/>
  <c r="C39" s="1"/>
  <c r="C40" s="1"/>
  <c r="J16"/>
  <c r="J25" s="1"/>
  <c r="Q69"/>
  <c r="Q68" s="1"/>
  <c r="C58"/>
  <c r="C67" s="1"/>
  <c r="C68" s="1"/>
  <c r="C33" i="44"/>
  <c r="J21"/>
  <c r="J19" s="1"/>
  <c r="Q51"/>
  <c r="C15"/>
  <c r="C38"/>
  <c r="J16"/>
  <c r="J15" s="1"/>
  <c r="J25" s="1"/>
  <c r="J19" i="15"/>
  <c r="J17" s="1"/>
  <c r="J14"/>
  <c r="J22" s="1"/>
  <c r="C56"/>
  <c r="C63" s="1"/>
  <c r="Q50"/>
  <c r="C13"/>
  <c r="J35" s="1"/>
  <c r="C36"/>
  <c r="C25" i="43"/>
  <c r="C24" s="1"/>
  <c r="C28" s="1"/>
  <c r="C30" s="1"/>
  <c r="L72" i="39"/>
  <c r="M70"/>
  <c r="M65" i="40"/>
  <c r="L67"/>
  <c r="C33" i="15"/>
  <c r="L51" i="68"/>
  <c r="C80" l="1"/>
  <c r="C79" s="1"/>
  <c r="L57"/>
  <c r="L60" s="1"/>
  <c r="L46" s="1"/>
  <c r="D2" s="1"/>
  <c r="B2" s="1"/>
  <c r="Q67"/>
  <c r="C71"/>
  <c r="C45"/>
  <c r="C46" s="1"/>
  <c r="Q56"/>
  <c r="C43"/>
  <c r="Q65"/>
  <c r="Q47"/>
  <c r="Q53" s="1"/>
  <c r="C83"/>
  <c r="C82"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Q57" i="68" l="1"/>
  <c r="B3"/>
  <c r="Q66"/>
  <c r="Q75" s="1"/>
  <c r="Q62"/>
  <c r="C44" i="44"/>
  <c r="C45" s="1"/>
  <c r="B2" s="1"/>
  <c r="B4" s="1"/>
  <c r="C30" i="15"/>
  <c r="C39" s="1"/>
  <c r="C58"/>
  <c r="Q70" i="44"/>
  <c r="Q49"/>
  <c r="Q55" s="1"/>
  <c r="Q58"/>
  <c r="Q64" s="1"/>
  <c r="C57" i="15"/>
  <c r="C66" s="1"/>
  <c r="C67" s="1"/>
  <c r="C70" s="1"/>
  <c r="Q70"/>
  <c r="Q69"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8" i="12" s="1"/>
  <c r="D10"/>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4" i="12" l="1"/>
  <c r="C29"/>
  <c r="F68" i="39"/>
  <c r="B2" s="1"/>
  <c r="F63" i="40"/>
  <c r="B2" s="1"/>
  <c r="C19" i="9"/>
  <c r="C28" i="12" l="1"/>
  <c r="C26" s="1"/>
  <c r="C31" s="1"/>
  <c r="C30" s="1"/>
  <c r="C35"/>
  <c r="C33" s="1"/>
  <c r="L43" i="9"/>
  <c r="B3" i="40"/>
  <c r="B4"/>
  <c r="B5"/>
  <c r="B3" i="39"/>
  <c r="B4"/>
  <c r="B5"/>
  <c r="C21" i="9"/>
  <c r="C20"/>
  <c r="C36" i="12" l="1"/>
  <c r="B2" s="1"/>
  <c r="B3" s="1"/>
  <c r="C45" i="9"/>
  <c r="H14" i="66" s="1"/>
  <c r="B7" s="1"/>
  <c r="D19" i="9"/>
  <c r="D20"/>
  <c r="B5" i="12" l="1"/>
  <c r="L44" i="9"/>
  <c r="D22"/>
  <c r="G19"/>
  <c r="B4" i="12"/>
  <c r="G20" i="9"/>
  <c r="D7" i="66"/>
  <c r="C7"/>
  <c r="D21" i="9"/>
  <c r="G21" l="1"/>
  <c r="C32"/>
  <c r="N43"/>
  <c r="G22"/>
  <c r="D45"/>
  <c r="E45"/>
  <c r="O40"/>
  <c r="F45"/>
  <c r="O38" l="1"/>
  <c r="C33"/>
  <c r="C35"/>
  <c r="F42" s="1"/>
  <c r="C42"/>
  <c r="C34"/>
  <c r="O43"/>
  <c r="K31"/>
  <c r="K32" s="1"/>
  <c r="R7" i="54"/>
  <c r="B52" i="63" s="1"/>
  <c r="M38" i="9" l="1"/>
  <c r="K27" s="1"/>
  <c r="E42"/>
  <c r="P5" i="54" s="1"/>
  <c r="B46" i="63" s="1"/>
  <c r="K25" i="9"/>
  <c r="K26"/>
  <c r="D14" i="66"/>
  <c r="N68" i="9"/>
  <c r="R5" i="54"/>
  <c r="B48" i="63" s="1"/>
  <c r="D63" i="9"/>
  <c r="C44"/>
  <c r="N38"/>
  <c r="K28" s="1"/>
  <c r="D42"/>
  <c r="Q5" i="54" s="1"/>
  <c r="B47" i="63" s="1"/>
  <c r="C111" i="9" l="1"/>
  <c r="C104" s="1"/>
  <c r="C103"/>
  <c r="C90"/>
  <c r="D70"/>
  <c r="C82"/>
  <c r="C81" s="1"/>
  <c r="C85" s="1"/>
  <c r="C86" s="1"/>
  <c r="D72" s="1"/>
  <c r="C96"/>
  <c r="C91" s="1"/>
  <c r="D71"/>
  <c r="D66" s="1"/>
  <c r="N72" s="1"/>
  <c r="D77"/>
  <c r="N75" s="1"/>
  <c r="G14" i="66"/>
  <c r="B6" s="1"/>
  <c r="O39" i="9"/>
  <c r="E44"/>
  <c r="N69"/>
  <c r="D44"/>
  <c r="F44"/>
  <c r="F14" i="66"/>
  <c r="B5"/>
  <c r="E14"/>
  <c r="C6" l="1"/>
  <c r="D6"/>
  <c r="C97" i="9"/>
  <c r="C5" i="66"/>
  <c r="D5"/>
  <c r="M86" i="9"/>
  <c r="N86" s="1"/>
  <c r="M88"/>
  <c r="N88" s="1"/>
  <c r="M85"/>
  <c r="N85" s="1"/>
  <c r="M84"/>
  <c r="N84" s="1"/>
  <c r="M87"/>
  <c r="N87" s="1"/>
  <c r="M83"/>
  <c r="N83" s="1"/>
  <c r="N89" s="1"/>
  <c r="K29"/>
  <c r="K30" s="1"/>
  <c r="R6" i="54"/>
  <c r="B50" i="63" s="1"/>
  <c r="C113" i="9"/>
  <c r="O89"/>
  <c r="N76"/>
  <c r="C114" l="1"/>
  <c r="E114" s="1"/>
  <c r="E115" s="1"/>
  <c r="C98"/>
  <c r="E98" s="1"/>
  <c r="E99" s="1"/>
  <c r="C115" l="1"/>
  <c r="D76" s="1"/>
  <c r="D74" s="1"/>
  <c r="N74" s="1"/>
  <c r="O77" s="1"/>
  <c r="O78" s="1"/>
  <c r="C99"/>
  <c r="Q77" l="1"/>
  <c r="O79"/>
  <c r="C46" l="1"/>
  <c r="O80"/>
  <c r="O81"/>
  <c r="K33" l="1"/>
  <c r="K34" s="1"/>
  <c r="O41"/>
  <c r="R8" i="54" s="1"/>
  <c r="B54" i="63" s="1"/>
  <c r="E46" i="9"/>
  <c r="F46"/>
  <c r="I14" i="66"/>
  <c r="B8" s="1"/>
  <c r="D46" i="9"/>
  <c r="D8" i="66" l="1"/>
  <c r="C8"/>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<sst xmlns="http://schemas.openxmlformats.org/spreadsheetml/2006/main" count="7435" uniqueCount="3316">
  <si>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</si>
  <si>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</si>
  <si>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</si>
  <si>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</si>
  <si>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</si>
  <si>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</si>
  <si>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</si>
  <si>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</si>
  <si>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</si>
  <si>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</si>
  <si>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</si>
  <si>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</si>
  <si>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</si>
  <si>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</si>
  <si>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</si>
  <si>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</si>
  <si>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</si>
  <si>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</si>
  <si>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</si>
  <si>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</si>
  <si>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</si>
  <si>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</si>
  <si>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</si>
  <si>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</si>
  <si>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</si>
  <si>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</si>
  <si>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</si>
  <si>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</si>
  <si>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</si>
  <si>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</si>
  <si>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</si>
  <si>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</si>
  <si>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</si>
  <si>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</si>
  <si>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</si>
  <si>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</si>
  <si>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</si>
  <si>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</si>
  <si>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</si>
  <si>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</si>
  <si>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</si>
  <si>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</si>
  <si>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</si>
  <si>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</si>
  <si>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</si>
  <si>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</si>
  <si>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</si>
  <si>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</si>
  <si>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</si>
  <si>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</si>
  <si>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</si>
  <si>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</si>
  <si>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</si>
  <si>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</si>
  <si>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</si>
  <si>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</si>
  <si>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</si>
  <si>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</si>
  <si>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</si>
  <si>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</si>
  <si>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</si>
  <si>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</si>
  <si>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</si>
  <si>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</si>
  <si>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</si>
  <si>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</si>
  <si>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</si>
  <si>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</si>
  <si>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</si>
  <si>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</si>
  <si>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</si>
  <si>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</si>
  <si>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</si>
  <si>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</si>
  <si>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</si>
  <si>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</si>
  <si>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</si>
  <si>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</si>
  <si>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</si>
  <si>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</si>
  <si>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</si>
  <si>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</si>
  <si>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</si>
  <si>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</si>
  <si>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</si>
  <si>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</si>
  <si>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</si>
  <si>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</si>
  <si>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</si>
  <si>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</si>
  <si>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</si>
  <si>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</si>
  <si>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</si>
  <si>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</si>
  <si>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</si>
  <si>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</si>
  <si>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</si>
  <si>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</si>
  <si>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</si>
  <si>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</si>
  <si>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</si>
  <si>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</si>
  <si>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</si>
  <si>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</si>
  <si>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</si>
  <si>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</si>
  <si>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</si>
  <si>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</si>
  <si>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</si>
  <si>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</si>
  <si>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</si>
  <si>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</si>
  <si>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</si>
  <si>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</si>
  <si>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</si>
  <si>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</si>
  <si>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</si>
  <si>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</si>
  <si>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</si>
  <si>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</si>
  <si>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</si>
  <si>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</si>
  <si>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</si>
  <si>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</si>
  <si>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</si>
  <si>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</si>
  <si>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</si>
  <si>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</si>
  <si>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</si>
  <si>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</si>
  <si>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</si>
  <si>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</si>
  <si>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</si>
  <si>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</si>
  <si>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</si>
  <si>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</si>
  <si>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</si>
  <si>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</si>
  <si>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</si>
  <si>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</si>
  <si>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</si>
  <si>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</si>
  <si>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</si>
  <si>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</si>
  <si>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</si>
  <si>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</si>
  <si>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</si>
  <si>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</si>
  <si>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</si>
  <si>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</si>
  <si>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</si>
  <si>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</si>
  <si>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</si>
  <si>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</si>
  <si>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</si>
  <si>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</si>
  <si>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</si>
  <si>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</si>
  <si>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</si>
  <si>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</si>
  <si>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</si>
  <si>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</si>
  <si>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</si>
  <si>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</si>
  <si>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</si>
  <si>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</si>
  <si>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</si>
  <si>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</si>
  <si>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</si>
  <si>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</si>
  <si>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</si>
  <si>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</si>
  <si>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</si>
  <si>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</si>
  <si>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</si>
  <si>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</si>
  <si>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</si>
  <si>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</si>
  <si>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</si>
  <si>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</si>
  <si>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</si>
  <si>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</si>
  <si>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</si>
  <si>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</si>
  <si>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</si>
  <si>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</si>
  <si>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</si>
  <si>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</si>
  <si>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</si>
  <si>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</si>
  <si>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</si>
  <si>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</si>
  <si>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</si>
  <si>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</si>
  <si>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</si>
  <si>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</si>
  <si>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</si>
  <si>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</si>
  <si>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</si>
  <si>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</si>
  <si>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</si>
  <si>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</si>
  <si>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</si>
  <si>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</si>
  <si>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</si>
  <si>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</si>
  <si>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</si>
  <si>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</si>
  <si>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</si>
  <si>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</si>
  <si>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</si>
  <si>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</si>
  <si>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</si>
  <si>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</si>
  <si>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</si>
  <si>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</si>
  <si>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</si>
  <si>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</si>
  <si>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</si>
  <si>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</si>
  <si>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</si>
  <si>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</si>
  <si>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</si>
  <si>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</si>
  <si>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</si>
  <si>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</si>
  <si>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</si>
  <si>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</si>
  <si>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</si>
  <si>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</si>
  <si>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</si>
  <si>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</si>
  <si>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</si>
  <si>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</si>
  <si>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</si>
  <si>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</si>
  <si>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</si>
  <si>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</si>
  <si>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</si>
  <si>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</si>
  <si>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</si>
  <si>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</si>
  <si>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</si>
  <si>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</si>
  <si>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</si>
  <si>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</si>
  <si>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</si>
  <si>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</si>
  <si>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</si>
  <si>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</si>
  <si>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</si>
  <si>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</si>
  <si>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</si>
  <si>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</si>
  <si>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</si>
  <si>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</si>
  <si>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</si>
  <si>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</si>
  <si>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</si>
  <si>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</si>
  <si>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</si>
  <si>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</si>
  <si>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</si>
  <si>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</si>
  <si>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</si>
  <si>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</si>
  <si>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</si>
  <si>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</si>
  <si>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</si>
  <si>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</si>
  <si>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</si>
  <si>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</si>
  <si>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</si>
  <si>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</si>
  <si>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</si>
  <si>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</si>
  <si>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</si>
  <si>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</si>
  <si>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</si>
  <si>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</si>
  <si>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</si>
  <si>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</si>
  <si>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</si>
  <si>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</si>
  <si>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</si>
  <si>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</si>
  <si>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</si>
  <si>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</si>
  <si>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</si>
  <si>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</si>
  <si>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</si>
  <si>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</si>
  <si>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</si>
  <si>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</si>
  <si>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</si>
  <si>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</si>
  <si>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</si>
  <si>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</si>
  <si>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</si>
  <si>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</si>
  <si>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</si>
  <si>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</si>
  <si>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</si>
  <si>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</si>
  <si>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</si>
  <si>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</si>
  <si>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</si>
  <si>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</si>
  <si>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</si>
  <si>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</si>
  <si>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</si>
  <si>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</si>
  <si>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</si>
  <si>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</si>
  <si>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</si>
  <si>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</si>
  <si>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</si>
  <si>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</si>
  <si>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</si>
  <si>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</si>
  <si>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</si>
  <si>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</si>
  <si>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</si>
  <si>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</si>
  <si>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</si>
  <si>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</si>
  <si>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</si>
  <si>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</si>
  <si>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</si>
  <si>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</si>
  <si>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</si>
  <si>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</si>
  <si>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</si>
  <si>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</si>
  <si>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</si>
  <si>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</si>
  <si>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</si>
  <si>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</si>
  <si>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</si>
  <si>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</si>
  <si>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</si>
  <si>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</si>
  <si>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</si>
  <si>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</si>
  <si>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</si>
  <si>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</si>
  <si>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</si>
  <si>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</si>
  <si>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</si>
  <si>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</si>
  <si>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</si>
  <si>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</si>
  <si>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</si>
  <si>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</si>
  <si>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</si>
  <si>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</si>
  <si>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</si>
  <si>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</si>
  <si>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</si>
  <si>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</si>
  <si>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</si>
  <si>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</si>
  <si>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</si>
  <si>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</si>
  <si>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</si>
  <si>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</si>
  <si>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</si>
  <si>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</si>
  <si>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</si>
  <si>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</si>
  <si>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</si>
  <si>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</si>
  <si>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</si>
  <si>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</si>
  <si>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</si>
  <si>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</si>
  <si>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</si>
  <si>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</si>
  <si>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</si>
  <si>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</si>
  <si>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</si>
  <si>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</si>
  <si>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</si>
  <si>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</si>
  <si>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</si>
  <si>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</si>
  <si>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</si>
  <si>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</si>
  <si>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</si>
  <si>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</si>
  <si>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</si>
  <si>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</si>
  <si>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</si>
  <si>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</si>
  <si>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</si>
  <si>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</si>
  <si>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</si>
  <si>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</si>
  <si>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</si>
  <si>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</si>
  <si>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</si>
  <si>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</si>
  <si>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</si>
  <si>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</si>
  <si>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</si>
  <si>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</si>
  <si>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</si>
  <si>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</si>
  <si>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</si>
  <si>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</si>
  <si>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</si>
  <si>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</si>
  <si>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</si>
  <si>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</si>
  <si>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</si>
  <si>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</si>
  <si>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</si>
  <si>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</si>
  <si>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</si>
  <si>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</si>
  <si>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</si>
  <si>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</si>
  <si>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</si>
  <si>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</si>
  <si>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</si>
  <si>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</si>
  <si>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</si>
  <si>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</si>
  <si>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</si>
  <si>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</si>
  <si>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</si>
  <si>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</si>
  <si>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</si>
  <si>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</si>
  <si>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</si>
  <si>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</si>
  <si>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</si>
  <si>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</si>
  <si>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</si>
  <si>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</si>
  <si>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</si>
  <si>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</si>
  <si>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</si>
  <si>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</si>
  <si>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</si>
  <si>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</si>
  <si>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</si>
  <si>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</si>
  <si>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</si>
  <si>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</si>
  <si>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</si>
  <si>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</si>
  <si>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</si>
  <si>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</si>
  <si>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</si>
  <si>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</si>
  <si>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</si>
  <si>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</si>
  <si>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</si>
  <si>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</si>
  <si>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</si>
  <si>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</si>
  <si>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</si>
  <si>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</si>
  <si>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</si>
  <si>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</si>
  <si>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</si>
  <si>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</si>
  <si>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</si>
  <si>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</si>
  <si>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</si>
  <si>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</si>
  <si>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</si>
  <si>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</si>
  <si>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</si>
  <si>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</si>
  <si>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</si>
  <si>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</si>
  <si>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</si>
  <si>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</si>
  <si>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</si>
  <si>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</si>
  <si>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</si>
  <si>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</si>
  <si>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</si>
  <si>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</si>
  <si>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</si>
  <si>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</si>
  <si>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</si>
  <si>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</si>
  <si>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</si>
  <si>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</si>
  <si>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</si>
  <si>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</si>
  <si>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</si>
  <si>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</si>
  <si>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</si>
  <si>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</si>
  <si>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</si>
  <si>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</si>
  <si>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</si>
  <si>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</si>
  <si>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</si>
  <si>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</si>
  <si>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</si>
  <si>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</si>
  <si>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</si>
  <si>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</si>
  <si>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</si>
  <si>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</si>
  <si>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</si>
  <si>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</si>
  <si>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</si>
  <si>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</si>
  <si>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</si>
  <si>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</si>
  <si>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</si>
  <si>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</si>
  <si>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</si>
  <si>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</si>
  <si>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</si>
  <si>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</si>
  <si>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</si>
  <si>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</si>
  <si>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</si>
  <si>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</si>
  <si>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</si>
  <si>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</si>
  <si>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</si>
  <si>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</si>
  <si>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</si>
  <si>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</si>
  <si>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</si>
  <si>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</si>
  <si>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</si>
  <si>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</si>
  <si>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</si>
  <si>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</si>
  <si>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</si>
  <si>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</si>
  <si>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</si>
  <si>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</si>
  <si>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</si>
  <si>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</si>
  <si>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</si>
  <si>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</si>
  <si>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</si>
  <si>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</si>
  <si>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</si>
  <si>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</si>
  <si>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</si>
  <si>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</si>
  <si>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</si>
  <si>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</si>
  <si>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</si>
  <si>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</si>
  <si>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</si>
  <si>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</si>
  <si>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</si>
  <si>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</si>
  <si>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</si>
  <si>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</si>
  <si>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</si>
  <si>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</si>
  <si>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</si>
  <si>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</si>
  <si>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</si>
  <si>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</si>
  <si>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</si>
  <si>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</si>
  <si>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</si>
  <si>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</si>
  <si>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</si>
  <si>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</si>
  <si>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</si>
  <si>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</si>
  <si>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</si>
  <si>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</si>
  <si>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</si>
  <si>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</si>
  <si>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</si>
  <si>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</si>
  <si>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</si>
  <si>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</si>
  <si>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</si>
  <si>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</si>
  <si>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</si>
  <si>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</si>
  <si>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</si>
  <si>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</si>
  <si>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</si>
  <si>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</si>
  <si>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</si>
  <si>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</si>
  <si>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</si>
  <si>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</si>
  <si>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</si>
  <si>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</si>
  <si>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</si>
  <si>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</si>
  <si>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</si>
  <si>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</si>
  <si>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</si>
  <si>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</si>
  <si>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</si>
  <si>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</si>
  <si>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</si>
  <si>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</si>
  <si>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</si>
  <si>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</si>
  <si>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</si>
  <si>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</si>
  <si>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</si>
  <si>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</si>
  <si>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</si>
  <si>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</si>
  <si>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</si>
  <si>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</si>
  <si>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</si>
  <si>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</si>
  <si>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</si>
  <si>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</si>
  <si>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</si>
  <si>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</si>
  <si>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</si>
  <si>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</si>
  <si>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</si>
  <si>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</si>
  <si>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</si>
  <si>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</si>
  <si>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</si>
  <si>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</si>
  <si>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</si>
  <si>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</si>
  <si>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</si>
  <si>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</si>
  <si>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</si>
  <si>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</si>
  <si>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</si>
  <si>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</si>
  <si>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</si>
  <si>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</si>
  <si>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</si>
  <si>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</si>
  <si>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</si>
  <si>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</si>
  <si>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</si>
  <si>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</si>
  <si>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</si>
  <si>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</si>
  <si>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</si>
  <si>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</si>
  <si>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</si>
  <si>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</si>
  <si>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</si>
  <si>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</si>
  <si>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</si>
  <si>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</si>
  <si>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</si>
  <si>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</si>
  <si>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</si>
  <si>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</si>
  <si>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</si>
  <si>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</si>
  <si>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</si>
  <si>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</si>
  <si>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</si>
  <si>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</si>
  <si>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</si>
  <si>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</si>
  <si>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</si>
  <si>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</si>
  <si>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</si>
  <si>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</si>
  <si>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</si>
  <si>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</si>
  <si>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</si>
  <si>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</si>
  <si>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</si>
  <si>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</si>
  <si>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</si>
  <si>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</si>
  <si>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</si>
  <si>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</si>
  <si>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</si>
  <si>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</si>
  <si>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</si>
  <si>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</si>
  <si>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</si>
  <si>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</si>
  <si>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</si>
  <si>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</si>
  <si>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</si>
  <si>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</si>
  <si>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</si>
  <si>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</si>
  <si>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</si>
  <si>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</si>
  <si>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</si>
  <si>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</si>
  <si>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</si>
  <si>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</si>
  <si>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</si>
  <si>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</si>
  <si>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</si>
  <si>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</si>
  <si>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</si>
  <si>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</si>
  <si>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</si>
  <si>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</si>
  <si>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</si>
  <si>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</si>
  <si>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</si>
  <si>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</si>
  <si>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</si>
  <si>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</si>
  <si>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</si>
  <si>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</si>
  <si>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</si>
  <si>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</si>
  <si>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</si>
  <si>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</si>
  <si>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</si>
  <si>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</si>
  <si>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</si>
  <si>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</si>
  <si>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</si>
  <si>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</si>
  <si>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</si>
  <si>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</si>
  <si>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</si>
  <si>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</si>
  <si>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</si>
  <si>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</si>
  <si>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</si>
  <si>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</si>
  <si>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</si>
  <si>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</si>
  <si>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</si>
  <si>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</si>
  <si>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</si>
  <si>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</si>
  <si>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</si>
  <si>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</si>
  <si>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</si>
  <si>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</si>
  <si>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</si>
  <si>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</si>
  <si>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</si>
  <si>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</si>
  <si>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</si>
  <si>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</si>
  <si>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</si>
  <si>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</si>
  <si>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</si>
  <si>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</si>
  <si>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</si>
  <si>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</si>
  <si>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</si>
  <si>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</si>
  <si>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</si>
  <si>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</si>
  <si>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</si>
  <si>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</si>
  <si>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</si>
  <si>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</si>
  <si>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</si>
  <si>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</si>
  <si>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</si>
  <si>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</si>
  <si>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</si>
  <si>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</si>
  <si>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</si>
  <si>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</si>
  <si>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</si>
  <si>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</si>
  <si>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</si>
  <si>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</si>
  <si>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</si>
  <si>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</si>
  <si>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</si>
  <si>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</si>
  <si>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</si>
  <si>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</si>
  <si>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</si>
  <si>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</si>
  <si>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</si>
  <si>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</si>
  <si>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</si>
  <si>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</si>
  <si>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</si>
  <si>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</si>
  <si>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</si>
  <si>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</si>
  <si>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</si>
  <si>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</si>
  <si>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</si>
  <si>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</si>
  <si>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</si>
  <si>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</si>
  <si>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</si>
  <si>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</si>
  <si>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</si>
  <si>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</si>
  <si>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</si>
  <si>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</si>
  <si>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</si>
  <si>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</si>
  <si>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</si>
  <si>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</si>
  <si>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</si>
  <si>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</si>
  <si>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</si>
  <si>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</si>
  <si>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</si>
  <si>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</si>
  <si>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</si>
  <si>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</si>
  <si>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</si>
  <si>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</si>
  <si>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</si>
  <si>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</si>
  <si>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</si>
  <si>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</si>
  <si>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</si>
  <si>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</si>
  <si>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</si>
  <si>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</si>
  <si>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</si>
  <si>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</si>
  <si>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</si>
  <si>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</si>
  <si>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</si>
  <si>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</si>
  <si>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</si>
  <si>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</si>
  <si>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</si>
  <si>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</si>
  <si>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</si>
  <si>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</si>
  <si>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</si>
  <si>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</si>
  <si>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</si>
  <si>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</si>
  <si>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</si>
  <si>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</si>
  <si>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</si>
  <si>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</si>
  <si>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</si>
  <si>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</si>
  <si>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</si>
  <si>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</si>
  <si>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</si>
  <si>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</si>
  <si>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</si>
  <si>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</si>
  <si>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</si>
  <si>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</si>
  <si>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</si>
  <si>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</si>
  <si>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</si>
  <si>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</si>
  <si>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</si>
  <si>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</si>
  <si>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</si>
  <si>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</si>
  <si>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</si>
  <si>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</si>
  <si>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</si>
  <si>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</si>
  <si>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</si>
  <si>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</si>
  <si>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</si>
  <si>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</si>
  <si>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</si>
  <si>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</si>
  <si>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</si>
  <si>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</si>
  <si>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</si>
  <si>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</si>
  <si>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</si>
  <si>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</si>
  <si>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</si>
  <si>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</si>
  <si>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</si>
  <si>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</si>
  <si>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</si>
  <si>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</si>
  <si>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</si>
  <si>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</si>
  <si>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</si>
  <si>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</si>
  <si>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</si>
  <si>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</si>
  <si>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</si>
  <si>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</si>
  <si>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</si>
  <si>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</si>
  <si>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</si>
  <si>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</si>
  <si>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</si>
  <si>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</si>
  <si>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</si>
  <si>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</si>
  <si>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</si>
  <si>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</si>
  <si>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</si>
  <si>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</si>
  <si>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</si>
  <si>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</si>
  <si>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</si>
  <si>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</si>
  <si>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</si>
  <si>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</si>
  <si>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</si>
  <si>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</si>
  <si>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</si>
  <si>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</si>
  <si>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</si>
  <si>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</si>
  <si>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</si>
  <si>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</si>
  <si>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</si>
  <si>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</si>
  <si>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</si>
  <si>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</si>
  <si>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</si>
  <si>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</si>
  <si>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</si>
  <si>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</si>
  <si>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</si>
  <si>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</si>
  <si>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</si>
  <si>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</si>
  <si>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</si>
  <si>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</si>
  <si>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</si>
  <si>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</si>
  <si>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</si>
  <si>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</si>
  <si>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</si>
  <si>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</si>
  <si>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</si>
  <si>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</si>
  <si>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</si>
  <si>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</si>
  <si>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</si>
  <si>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</si>
  <si>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</si>
  <si>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</si>
  <si>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</si>
  <si>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</si>
  <si>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</si>
  <si>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</si>
  <si>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</si>
  <si>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</si>
  <si>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</si>
  <si>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</si>
  <si>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</si>
  <si>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</si>
  <si>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</si>
  <si>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</si>
  <si>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</si>
  <si>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</si>
  <si>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</si>
  <si>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</si>
  <si>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</si>
  <si>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</si>
  <si>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</si>
  <si>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</si>
  <si>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</si>
  <si>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</si>
  <si>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</si>
  <si>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</si>
  <si>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</si>
  <si>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</si>
  <si>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</si>
  <si>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</si>
  <si>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</si>
  <si>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</si>
  <si>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</si>
  <si>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</si>
  <si>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</si>
  <si>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</si>
  <si>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</si>
  <si>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</si>
  <si>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</si>
  <si>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</si>
  <si>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</si>
  <si>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</si>
  <si>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</si>
  <si>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</si>
  <si>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</si>
  <si>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</si>
  <si>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</si>
  <si>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</si>
  <si>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</si>
  <si>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</si>
  <si>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</si>
  <si>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</si>
  <si>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</si>
  <si>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</si>
  <si>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</si>
  <si>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</si>
  <si>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</si>
  <si>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</si>
  <si>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</si>
  <si>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</si>
  <si>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</si>
  <si>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</si>
  <si>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</si>
  <si>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</si>
  <si>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</si>
  <si>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</si>
  <si>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</si>
  <si>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</si>
  <si>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</si>
  <si>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</si>
  <si>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</si>
  <si>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</si>
  <si>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</si>
  <si>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</si>
  <si>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</si>
  <si>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</si>
  <si>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</si>
  <si>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</si>
  <si>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</si>
  <si>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</si>
  <si>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</si>
  <si>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</si>
  <si>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</si>
  <si>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</si>
  <si>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</si>
  <si>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</si>
  <si>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</si>
  <si>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</si>
  <si>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</si>
  <si>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</si>
  <si>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</si>
  <si>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</si>
  <si>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</si>
  <si>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</si>
  <si>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</si>
  <si>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</si>
  <si>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</si>
  <si>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</si>
  <si>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</si>
  <si>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</si>
  <si>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</si>
  <si>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</si>
  <si>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</si>
  <si>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</si>
  <si>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</si>
  <si>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</si>
  <si>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</si>
  <si>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</si>
  <si>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</si>
  <si>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</si>
  <si>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</si>
  <si>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</si>
  <si>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</si>
  <si>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</si>
  <si>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</si>
  <si>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</si>
  <si>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</si>
  <si>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</si>
  <si>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</si>
  <si>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</si>
  <si>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</si>
  <si>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</si>
  <si>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</si>
  <si>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</si>
  <si>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</si>
  <si>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</si>
  <si>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</si>
  <si>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</si>
  <si>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</si>
  <si>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</si>
  <si>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</si>
  <si>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</si>
  <si>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</si>
  <si>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</si>
  <si>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</si>
  <si>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</si>
  <si>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</si>
  <si>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</si>
  <si>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</si>
  <si>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</si>
  <si>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</si>
  <si>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</si>
  <si>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</si>
  <si>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</si>
  <si>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</si>
  <si>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</si>
  <si>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</si>
  <si>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</si>
  <si>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</si>
  <si>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</si>
  <si>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</si>
  <si>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</si>
  <si>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</si>
  <si>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</si>
  <si>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</si>
  <si>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</si>
  <si>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</si>
  <si>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</si>
  <si>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</si>
  <si>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</si>
  <si>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</si>
  <si>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</si>
  <si>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</si>
  <si>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</si>
  <si>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</si>
  <si>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</si>
  <si>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</si>
  <si>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</si>
  <si>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</si>
  <si>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</si>
  <si>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</si>
  <si>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</si>
  <si>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</si>
  <si>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</si>
  <si>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</si>
  <si>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</si>
  <si>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</si>
  <si>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</si>
  <si>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</si>
  <si>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</si>
  <si>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</si>
  <si>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</si>
  <si>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</si>
  <si>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</si>
  <si>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</si>
  <si>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</si>
  <si>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</si>
  <si>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</si>
  <si>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</si>
  <si>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</si>
  <si>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</si>
  <si>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</si>
  <si>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</si>
  <si>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</si>
  <si>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</si>
  <si>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</si>
  <si>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</si>
  <si>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</si>
  <si>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</si>
  <si>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</si>
  <si>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</si>
  <si>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</si>
  <si>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</si>
  <si>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</si>
  <si>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</si>
  <si>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</si>
  <si>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</si>
  <si>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</si>
  <si>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</si>
  <si>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</si>
  <si>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</si>
  <si>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</si>
  <si>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</si>
  <si>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</si>
  <si>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</si>
  <si>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</si>
  <si>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</si>
  <si>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</si>
  <si>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</si>
  <si>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</si>
  <si>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</si>
  <si>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</si>
  <si>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</si>
  <si>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</si>
  <si>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</si>
  <si>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</si>
  <si>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</si>
  <si>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</si>
  <si>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</si>
  <si>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</si>
  <si>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</si>
  <si>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</si>
  <si>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</si>
  <si>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</si>
  <si>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</si>
  <si>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</si>
  <si>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</si>
  <si>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</si>
  <si>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</si>
  <si>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</si>
  <si>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</si>
  <si>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</si>
  <si>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</si>
  <si>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</si>
  <si>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</si>
  <si>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</si>
  <si>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</si>
  <si>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</si>
  <si>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</si>
  <si>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</si>
  <si>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</si>
  <si>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</si>
  <si>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</si>
  <si>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</si>
  <si>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</si>
  <si>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</si>
  <si>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</si>
  <si>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</si>
  <si>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</si>
  <si>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</si>
  <si>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</si>
  <si>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</si>
  <si>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</si>
  <si>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</si>
  <si>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</si>
  <si>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</si>
  <si>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</si>
  <si>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</si>
  <si>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</si>
  <si>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</si>
  <si>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</si>
  <si>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</si>
  <si>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</si>
  <si>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</si>
  <si>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</si>
  <si>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</si>
  <si>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</si>
  <si>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</si>
  <si>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</si>
  <si>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</si>
  <si>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</si>
  <si>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</si>
  <si>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</si>
  <si>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</si>
  <si>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</si>
  <si>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</si>
  <si>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</si>
  <si>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</si>
  <si>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</si>
  <si>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</si>
  <si>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</si>
  <si>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</si>
  <si>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</si>
  <si>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</si>
  <si>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</si>
  <si>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</si>
  <si>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</si>
  <si>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</si>
  <si>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</si>
  <si>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</si>
  <si>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</si>
  <si>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</si>
  <si>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</si>
  <si>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</si>
  <si>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</si>
  <si>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</si>
  <si>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</si>
  <si>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</si>
  <si>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</si>
  <si>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</si>
  <si>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</si>
  <si>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</si>
  <si>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</si>
  <si>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</si>
  <si>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</si>
  <si>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</si>
  <si>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</si>
  <si>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</si>
  <si>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</si>
  <si>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</si>
  <si>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</si>
  <si>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</si>
  <si>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</si>
  <si>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</si>
  <si>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</si>
  <si>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</si>
  <si>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</si>
  <si>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</si>
  <si>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</si>
  <si>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</si>
  <si>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</si>
  <si>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</si>
  <si>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</si>
  <si>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</si>
  <si>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</si>
  <si>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</si>
  <si>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</si>
  <si>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</si>
  <si>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</si>
  <si>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</si>
  <si>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</si>
  <si>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</si>
  <si>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</si>
  <si>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</si>
  <si>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</si>
  <si>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</si>
  <si>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</si>
  <si>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</si>
  <si>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</si>
  <si>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</si>
  <si>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</si>
  <si>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</si>
  <si>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</si>
  <si>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</si>
  <si>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</si>
  <si>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</si>
  <si>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</si>
  <si>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</si>
  <si>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</si>
  <si>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</si>
  <si>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</si>
  <si>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</si>
  <si>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</si>
  <si>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</si>
  <si>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</si>
  <si>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</si>
  <si>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</si>
  <si>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</si>
  <si>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</si>
  <si>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</si>
  <si>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</si>
  <si>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</si>
  <si>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</si>
  <si>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</si>
  <si>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</si>
  <si>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</si>
  <si>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</si>
  <si>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</si>
  <si>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</si>
  <si>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</si>
  <si>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</si>
  <si>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</si>
  <si>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</si>
  <si>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</si>
  <si>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</si>
  <si>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</si>
  <si>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</si>
  <si>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</si>
  <si>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</si>
  <si>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</si>
  <si>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</si>
  <si>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</si>
  <si>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</si>
  <si>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</si>
  <si>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</si>
  <si>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</si>
  <si>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</si>
  <si>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</si>
  <si>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</si>
  <si>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</si>
  <si>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</si>
  <si>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</si>
  <si>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</si>
  <si>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</si>
  <si>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</si>
  <si>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</si>
  <si>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</si>
  <si>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</si>
  <si>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</si>
  <si>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</si>
  <si>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</si>
  <si>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</si>
  <si>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</si>
  <si>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</si>
  <si>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</si>
  <si>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</si>
  <si>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</si>
  <si>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</si>
  <si>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</si>
  <si>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</si>
  <si>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</si>
  <si>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</si>
  <si>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</si>
  <si>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</si>
  <si>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</si>
  <si>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</si>
  <si>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</si>
  <si>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</si>
  <si>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</si>
  <si>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</si>
  <si>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</si>
  <si>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</si>
  <si>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</si>
  <si>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</si>
  <si>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</si>
  <si>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</si>
  <si>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</si>
  <si>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</si>
  <si>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</si>
  <si>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</si>
  <si>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</si>
  <si>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</si>
  <si>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</si>
  <si>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</si>
  <si>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</si>
  <si>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</si>
  <si>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</si>
  <si>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</si>
  <si>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</si>
  <si>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</si>
  <si>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</si>
  <si>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</si>
  <si>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</si>
  <si>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</si>
  <si>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</si>
  <si>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</si>
  <si>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</si>
  <si>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</si>
  <si>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</si>
  <si>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</si>
  <si>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</si>
  <si>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</si>
  <si>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</si>
  <si>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</si>
  <si>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</si>
  <si>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</si>
  <si>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</si>
  <si>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</si>
  <si>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</si>
  <si>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</si>
  <si>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</si>
  <si>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</si>
  <si>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</si>
  <si>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</si>
  <si>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</si>
  <si>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</si>
  <si>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</si>
  <si>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</si>
  <si>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</si>
  <si>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</si>
  <si>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</si>
  <si>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</si>
  <si>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</si>
  <si>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</si>
  <si>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</si>
  <si>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</si>
  <si>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</si>
  <si>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</si>
  <si>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</si>
  <si>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</si>
  <si>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</si>
  <si>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</si>
  <si>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</si>
  <si>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</si>
  <si>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</si>
  <si>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</si>
  <si>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</si>
  <si>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</si>
  <si>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</si>
  <si>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</si>
  <si>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</si>
  <si>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</si>
  <si>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</si>
  <si>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</si>
  <si>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</si>
  <si>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</si>
  <si>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</si>
  <si>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</si>
  <si>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</si>
  <si>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</si>
  <si>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</si>
  <si>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</si>
  <si>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</si>
  <si>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</si>
  <si>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</si>
  <si>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</si>
  <si>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</si>
  <si>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</si>
  <si>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</si>
  <si>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</si>
  <si>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</si>
  <si>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</si>
  <si>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</si>
  <si>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</si>
  <si>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</si>
  <si>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</si>
  <si>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</si>
  <si>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</si>
  <si>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</si>
  <si>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</si>
  <si>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</si>
  <si>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</si>
  <si>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</si>
  <si>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</si>
  <si>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</si>
  <si>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</si>
  <si>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</si>
  <si>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</si>
  <si>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</si>
  <si>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</si>
  <si>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</si>
  <si>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</si>
  <si>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</si>
  <si>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</si>
  <si>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</si>
  <si>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</si>
  <si>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</si>
  <si>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</si>
  <si>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</si>
  <si>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</si>
  <si>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</si>
  <si>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</si>
  <si>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</si>
  <si>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</si>
  <si>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</si>
  <si>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</si>
  <si>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</si>
  <si>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</si>
  <si>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</si>
  <si>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</si>
  <si>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</si>
  <si>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</si>
  <si>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</si>
  <si>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</si>
  <si>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</si>
  <si>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</si>
  <si>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</si>
  <si>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</si>
  <si>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</si>
  <si>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</si>
  <si>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</si>
  <si>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</si>
  <si>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</si>
  <si>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</si>
  <si>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</si>
  <si>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</si>
  <si>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</si>
  <si>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</si>
  <si>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</si>
  <si>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</si>
  <si>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</si>
  <si>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</si>
  <si>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</si>
  <si>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</si>
  <si>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</si>
  <si>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</si>
  <si>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</si>
  <si>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</si>
  <si>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</si>
  <si>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</si>
  <si>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</si>
  <si>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</si>
  <si>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</si>
  <si>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</si>
  <si>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</si>
  <si>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</si>
  <si>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</si>
  <si>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</si>
  <si>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</si>
  <si>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</si>
  <si>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</si>
  <si>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</si>
  <si>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</si>
  <si>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</si>
  <si>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</si>
  <si>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</si>
  <si>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</si>
  <si>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</si>
  <si>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</si>
  <si>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</si>
  <si>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</si>
  <si>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</si>
  <si>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</si>
  <si>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</si>
  <si>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</si>
  <si>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</si>
  <si>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</si>
  <si>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</si>
  <si>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</si>
  <si>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</si>
  <si>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</si>
  <si>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</si>
  <si>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</si>
  <si>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</si>
  <si>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</si>
  <si>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</si>
  <si>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</si>
  <si>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</si>
  <si>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</si>
  <si>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</si>
  <si>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</si>
  <si>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</si>
  <si>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</si>
  <si>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</si>
  <si>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</si>
  <si>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</si>
  <si>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</si>
  <si>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</si>
  <si>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</si>
  <si>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</si>
  <si>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</si>
  <si>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</si>
  <si>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</si>
  <si>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</si>
  <si>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</si>
  <si>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</si>
  <si>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</si>
  <si>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</si>
  <si>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</si>
  <si>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</si>
  <si>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</si>
  <si>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</si>
  <si>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</si>
  <si>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</si>
  <si>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</si>
  <si>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</si>
  <si>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</si>
  <si>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</si>
  <si>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</si>
  <si>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</si>
  <si>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</si>
  <si>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</si>
  <si>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</si>
  <si>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</si>
  <si>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</si>
  <si>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</si>
  <si>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</si>
  <si>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</si>
  <si>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</si>
  <si>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</si>
  <si>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</si>
  <si>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</si>
  <si>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</si>
  <si>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</si>
  <si>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</si>
  <si>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</si>
  <si>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</si>
  <si>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</si>
  <si>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</si>
  <si>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</si>
  <si>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</si>
  <si>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</si>
  <si>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</si>
  <si>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</si>
  <si>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</si>
  <si>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</si>
  <si>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</si>
  <si>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</si>
  <si>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</si>
  <si>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</si>
  <si>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</si>
  <si>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</si>
  <si>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</si>
  <si>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</si>
  <si>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</si>
  <si>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</si>
  <si>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</si>
  <si>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</si>
  <si>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</si>
  <si>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</si>
  <si>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</si>
  <si>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</si>
  <si>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</si>
  <si>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</si>
  <si>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</si>
  <si>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</si>
  <si>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</si>
  <si>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</si>
  <si>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</si>
  <si>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</si>
  <si>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</si>
  <si>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</si>
  <si>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</si>
  <si>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</si>
  <si>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</si>
  <si>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</si>
  <si>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</si>
  <si>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</si>
  <si>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</si>
  <si>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</si>
  <si>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</si>
  <si>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</si>
  <si>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</si>
  <si>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</si>
  <si>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</si>
  <si>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</si>
  <si>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</si>
  <si>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</si>
  <si>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</si>
  <si>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</si>
  <si>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</si>
  <si>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</si>
  <si>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</si>
  <si>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</si>
  <si>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</si>
  <si>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</si>
  <si>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</si>
  <si>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</si>
  <si>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</si>
  <si>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</si>
  <si>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</si>
  <si>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</si>
  <si>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</si>
  <si>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</si>
  <si>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</si>
  <si>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</si>
  <si>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</si>
  <si>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</si>
  <si>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</si>
  <si>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</si>
  <si>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</si>
  <si>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</si>
  <si>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</si>
  <si>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</si>
  <si>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</si>
  <si>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</si>
  <si>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</si>
  <si>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</si>
  <si>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</si>
  <si>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</si>
  <si>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</si>
  <si>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</si>
  <si>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</si>
  <si>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</si>
  <si>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</si>
  <si>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</si>
  <si>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</si>
  <si>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</si>
  <si>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</si>
  <si>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</si>
  <si>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</si>
  <si>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</si>
  <si>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</si>
  <si>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</si>
  <si>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</si>
  <si>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</si>
  <si>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</si>
  <si>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</si>
  <si>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</si>
  <si>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</si>
  <si>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</si>
  <si>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</si>
  <si>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</si>
  <si>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</si>
  <si>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</si>
  <si>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</si>
  <si>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</si>
  <si>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</si>
  <si>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</si>
  <si>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</si>
  <si>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</si>
  <si>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</si>
  <si>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</si>
  <si>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</si>
  <si>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</si>
  <si>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</si>
  <si>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</si>
  <si>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</si>
  <si>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</si>
  <si>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</si>
  <si>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</si>
  <si>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</si>
  <si>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</si>
  <si>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</si>
  <si>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</si>
  <si>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</si>
  <si>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</si>
  <si>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</si>
  <si>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</si>
  <si>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</si>
  <si>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</si>
  <si>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</si>
  <si>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</si>
  <si>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</si>
  <si>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</si>
  <si>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</si>
  <si>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</si>
  <si>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</si>
  <si>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</si>
  <si>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</si>
  <si>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</si>
  <si>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</si>
  <si>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</si>
  <si>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</si>
  <si>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</si>
  <si>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</si>
  <si>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</si>
  <si>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</si>
  <si>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</si>
  <si>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</si>
  <si>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</si>
  <si>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</si>
  <si>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</si>
  <si>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</si>
  <si>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</si>
  <si>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</si>
  <si>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</si>
  <si>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</si>
  <si>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</si>
  <si>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</si>
  <si>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</si>
  <si>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</si>
  <si>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</si>
  <si>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</si>
  <si>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</si>
  <si>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</si>
  <si>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</si>
  <si>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</si>
  <si>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</si>
  <si>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</si>
  <si>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</si>
  <si>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</si>
  <si>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</si>
  <si>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</si>
  <si>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</si>
  <si>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</si>
  <si>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</si>
  <si>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</si>
  <si>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</si>
  <si>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</si>
  <si>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</si>
  <si>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</si>
  <si>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</si>
  <si>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</si>
  <si>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</si>
  <si>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</si>
  <si>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</si>
  <si>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</si>
  <si>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</si>
  <si>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</si>
  <si>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</si>
  <si>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</si>
  <si>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</si>
  <si>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</si>
  <si>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</si>
  <si>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</si>
  <si>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</si>
  <si>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</si>
  <si>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</si>
  <si>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</si>
  <si>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</si>
  <si>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</si>
  <si>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</si>
  <si>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</si>
  <si>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</si>
  <si>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</si>
  <si>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</si>
  <si>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</si>
  <si>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</si>
  <si>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</si>
  <si>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</si>
  <si>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</si>
  <si>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</si>
  <si>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</si>
  <si>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</si>
  <si>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</si>
  <si>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</si>
  <si>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</si>
  <si>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</si>
  <si>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</si>
  <si>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</si>
  <si>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</si>
  <si>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</si>
  <si>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</si>
  <si>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</si>
  <si>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</si>
  <si>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</si>
  <si>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</si>
  <si>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</si>
  <si>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</si>
  <si>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</si>
  <si>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</si>
  <si>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</si>
  <si>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</si>
  <si>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</si>
  <si>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</si>
  <si>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</si>
  <si>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</si>
  <si>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</si>
  <si>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</si>
  <si>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</si>
  <si>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</si>
  <si>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</si>
  <si>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</si>
  <si>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</si>
  <si>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</si>
  <si>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</si>
  <si>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</si>
  <si>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</si>
  <si>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</si>
  <si>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</si>
  <si>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</si>
  <si>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</si>
  <si>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</si>
  <si>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</si>
  <si>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</si>
  <si>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</si>
  <si>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</si>
  <si>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</si>
  <si>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</si>
  <si>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</si>
  <si>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</si>
  <si>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</si>
  <si>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</si>
  <si>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</si>
  <si>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</si>
  <si>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</si>
  <si>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</si>
  <si>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</si>
  <si>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</si>
  <si>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</si>
  <si>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</si>
  <si>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</si>
  <si>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</si>
  <si>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</si>
  <si>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</si>
  <si>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</si>
  <si>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</si>
  <si>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</si>
  <si>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</si>
  <si>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</si>
  <si>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</si>
  <si>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</si>
  <si>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</si>
  <si>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</si>
  <si>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</si>
  <si>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</si>
  <si>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</si>
  <si>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</si>
  <si>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</si>
  <si>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</si>
  <si>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</si>
  <si>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</si>
  <si>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</si>
  <si>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</si>
  <si>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</si>
  <si>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</si>
  <si>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</si>
  <si>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</si>
  <si>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</si>
  <si>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</si>
  <si>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</si>
  <si>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</si>
  <si>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</si>
  <si>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</si>
  <si>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</si>
  <si>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</si>
  <si>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</si>
  <si>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</si>
  <si>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</si>
  <si>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</si>
  <si>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</si>
  <si>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</si>
  <si>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</si>
  <si>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</si>
  <si>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</si>
  <si>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</si>
  <si>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</si>
  <si>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</si>
  <si>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</si>
  <si>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</si>
  <si>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</si>
  <si>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</si>
  <si>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</si>
  <si>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</si>
  <si>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</si>
  <si>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</si>
  <si>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</si>
  <si>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</si>
  <si>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</si>
  <si>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</si>
  <si>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</si>
  <si>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</si>
  <si>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</si>
  <si>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</si>
  <si>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</si>
  <si>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</si>
  <si>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</si>
  <si>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</si>
  <si>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</si>
  <si>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</si>
  <si>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</si>
  <si>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</si>
  <si>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</si>
  <si>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</si>
  <si>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</si>
  <si>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</si>
  <si>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</si>
  <si>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</si>
  <si>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</si>
  <si>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</si>
  <si>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</si>
  <si>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</si>
  <si>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</si>
  <si>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</si>
  <si>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</si>
  <si>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</si>
  <si>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</si>
  <si>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</si>
  <si>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</si>
  <si>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</si>
  <si>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</si>
  <si>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</si>
  <si>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</si>
  <si>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</si>
  <si>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</si>
  <si>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</si>
  <si>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</si>
  <si>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</si>
  <si>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</si>
  <si>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</si>
  <si>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</si>
  <si>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</si>
  <si>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</si>
  <si>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</si>
  <si>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</si>
  <si>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</si>
  <si>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</si>
  <si>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</si>
  <si>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</si>
  <si>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</si>
  <si>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</si>
  <si>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</si>
  <si>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</si>
  <si>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</si>
  <si>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</si>
  <si>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</si>
  <si>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</si>
  <si>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</si>
  <si>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</si>
  <si>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</si>
  <si>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</si>
  <si>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</si>
  <si>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</si>
  <si>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</si>
  <si>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</si>
  <si>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</si>
  <si>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</si>
  <si>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</si>
  <si>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</si>
  <si>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</si>
  <si>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</si>
  <si>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</si>
  <si>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</si>
  <si>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</si>
  <si>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</si>
  <si>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</si>
  <si>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</si>
  <si>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</si>
  <si>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</si>
  <si>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</si>
  <si>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</si>
  <si>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</si>
  <si>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</si>
  <si>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</si>
  <si>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</si>
  <si>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</si>
  <si>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</si>
  <si>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</si>
  <si>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</si>
  <si>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</si>
  <si>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</si>
  <si>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</si>
  <si>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</si>
  <si>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</si>
  <si>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</si>
  <si>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</si>
  <si>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</si>
  <si>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</si>
  <si>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</si>
  <si>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</si>
  <si>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</si>
  <si>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</si>
  <si>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</si>
  <si>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</si>
  <si>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</si>
  <si>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</si>
  <si>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</si>
  <si>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</si>
  <si>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</si>
  <si>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</si>
  <si>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</si>
  <si>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</si>
  <si>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</si>
  <si>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</si>
  <si>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</si>
  <si>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</si>
  <si>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</si>
  <si>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</si>
  <si>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</si>
  <si>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</si>
  <si>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</si>
  <si>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</si>
  <si>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</si>
  <si>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</si>
  <si>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</si>
  <si>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</si>
  <si>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</si>
  <si>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</si>
  <si>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</si>
  <si>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</si>
  <si>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</si>
  <si>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</si>
  <si>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</si>
  <si>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</si>
  <si>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</si>
  <si>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</si>
  <si>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</si>
  <si>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</si>
  <si>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</si>
  <si>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</si>
  <si>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</si>
  <si>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</si>
  <si>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</si>
  <si>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</si>
  <si>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</si>
  <si>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</si>
  <si>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</si>
  <si>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</si>
  <si>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</si>
  <si>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</si>
  <si>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</si>
  <si>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</si>
  <si>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</si>
  <si>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</si>
  <si>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</si>
  <si>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</si>
  <si>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</si>
  <si>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</si>
  <si>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</si>
  <si>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</si>
  <si>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</si>
  <si>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</si>
  <si>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</si>
  <si>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</si>
  <si>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</si>
  <si>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</si>
  <si>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</si>
  <si>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</si>
  <si>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</si>
  <si>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</si>
  <si>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</si>
  <si>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</si>
  <si>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</si>
  <si>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</si>
  <si>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</si>
  <si>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</si>
  <si>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</si>
  <si>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</si>
  <si>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</si>
  <si>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</si>
  <si>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</si>
  <si>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</si>
  <si>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</si>
  <si>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</si>
  <si>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</si>
  <si>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</si>
  <si>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</si>
  <si>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</si>
  <si>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</si>
  <si>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</si>
  <si>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</si>
  <si>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</si>
  <si>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</si>
  <si>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</si>
  <si>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</si>
  <si>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</si>
  <si>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</si>
  <si>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</si>
  <si>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</si>
  <si>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</si>
  <si>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</si>
  <si>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</si>
  <si>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</si>
  <si>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</si>
  <si>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</si>
  <si>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</si>
  <si>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</si>
  <si>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</si>
  <si>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</si>
  <si>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</si>
  <si>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</si>
  <si>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</si>
  <si>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</si>
  <si>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</si>
  <si>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</si>
  <si>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</si>
  <si>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</si>
  <si>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</si>
  <si>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</si>
  <si>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</si>
  <si>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</si>
  <si>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</si>
  <si>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</si>
  <si>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</si>
  <si>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</si>
  <si>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</si>
  <si>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</si>
  <si>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</si>
  <si>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</si>
  <si>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</si>
  <si>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</si>
  <si>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</si>
  <si>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</si>
  <si>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</si>
  <si>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</si>
  <si>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</si>
  <si>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</si>
  <si>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</si>
  <si>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</si>
  <si>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</si>
  <si>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</si>
  <si>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</si>
  <si>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</si>
  <si>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</si>
  <si>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</si>
  <si>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</si>
  <si>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</si>
  <si>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</si>
  <si>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</si>
  <si>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</si>
  <si>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</si>
  <si>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</si>
  <si>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</si>
  <si>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</si>
  <si>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</si>
  <si>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</si>
  <si>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</si>
  <si>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</si>
  <si>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</si>
  <si>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</si>
  <si>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</si>
  <si>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</si>
  <si>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</si>
  <si>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</si>
  <si>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</si>
  <si>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</si>
  <si>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</si>
  <si>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</si>
  <si>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</si>
  <si>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</si>
  <si>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</si>
  <si>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</si>
  <si>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</si>
  <si>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</si>
  <si>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</si>
  <si>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</si>
  <si>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</si>
  <si>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</si>
  <si>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</si>
  <si>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</si>
  <si>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</si>
  <si>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</si>
  <si>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</si>
  <si>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</si>
  <si>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</si>
  <si>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</si>
  <si>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</si>
  <si>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</si>
  <si>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</si>
  <si>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</si>
  <si>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</si>
  <si>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</si>
  <si>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</si>
  <si>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</si>
  <si>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</si>
  <si>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</si>
  <si>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</si>
  <si>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</si>
  <si>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</si>
  <si>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</si>
  <si>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</si>
  <si>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</si>
  <si>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</si>
  <si>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</si>
  <si>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</si>
  <si>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</si>
  <si>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</si>
  <si>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</si>
  <si>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</si>
  <si>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</si>
  <si>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</si>
  <si>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</si>
  <si>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</si>
  <si>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</si>
  <si>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</si>
  <si>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</si>
  <si>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</si>
  <si>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</si>
  <si>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</si>
  <si>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</si>
  <si>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</si>
  <si>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</si>
  <si>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</si>
  <si>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</si>
  <si>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</si>
  <si>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</si>
  <si>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</si>
  <si>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</si>
  <si>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</si>
  <si>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</si>
  <si>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</si>
  <si>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</si>
  <si>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</si>
  <si>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</si>
  <si>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</si>
  <si>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</si>
  <si>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</si>
  <si>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</si>
  <si>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</si>
  <si>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</si>
  <si>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</si>
  <si>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</si>
  <si>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</si>
  <si>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</si>
  <si>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</si>
  <si>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</si>
  <si>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</si>
  <si>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</si>
  <si>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</si>
  <si>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</si>
  <si>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</si>
  <si>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</si>
  <si>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</si>
  <si>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</si>
  <si>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</si>
  <si>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</si>
  <si>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</si>
  <si>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</si>
  <si>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</si>
  <si>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</si>
  <si>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</si>
  <si>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</si>
  <si>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</si>
  <si>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</si>
  <si>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</si>
  <si>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</si>
  <si>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</si>
  <si>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</si>
  <si>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</si>
  <si>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</si>
  <si>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</si>
  <si>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</si>
  <si>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</si>
  <si>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</si>
  <si>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</si>
  <si>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</si>
  <si>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</si>
  <si>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</si>
  <si>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</si>
  <si>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</si>
  <si>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</si>
  <si>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</si>
  <si>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</si>
  <si>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</si>
  <si>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</si>
  <si>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</si>
  <si>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</si>
  <si>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</si>
  <si>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</si>
  <si>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</si>
  <si>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</si>
  <si>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</si>
  <si>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</si>
  <si>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</si>
  <si>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</si>
  <si>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</si>
  <si>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</si>
  <si>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</si>
  <si>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</si>
  <si>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</si>
  <si>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</si>
  <si>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</si>
  <si>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</si>
  <si>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</si>
  <si>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</si>
  <si>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</si>
  <si>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</si>
  <si>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</si>
  <si>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</si>
  <si>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</si>
  <si>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</si>
  <si>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</si>
  <si>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</si>
  <si>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</si>
  <si>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</si>
  <si>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</si>
  <si>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</si>
  <si>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</si>
  <si>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</si>
  <si>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</si>
  <si>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</si>
  <si>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</si>
  <si>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</si>
  <si>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</si>
  <si>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</si>
  <si>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</si>
  <si>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</si>
  <si>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</si>
  <si>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</si>
  <si>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</si>
  <si>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</si>
  <si>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</si>
  <si>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</si>
  <si>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</si>
  <si>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</si>
  <si>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</si>
  <si>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</si>
  <si>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</si>
  <si>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</si>
  <si>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</si>
  <si>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</si>
  <si>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</si>
  <si>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</si>
  <si>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</si>
  <si>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</si>
  <si>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</si>
  <si>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</si>
  <si>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</si>
  <si>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</si>
  <si>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</si>
  <si>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</si>
  <si>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</si>
  <si>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</si>
  <si>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</si>
  <si>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</si>
  <si>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</si>
  <si>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</si>
  <si>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</si>
  <si>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</si>
  <si>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</si>
  <si>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</si>
  <si>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</si>
  <si>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</si>
  <si>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</si>
  <si>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</si>
  <si>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</si>
  <si>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</si>
  <si>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</si>
  <si>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</si>
  <si>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</si>
  <si>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</si>
  <si>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</si>
  <si>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</si>
  <si>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</si>
  <si>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</si>
  <si>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</si>
  <si>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</si>
  <si>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</si>
  <si>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</si>
  <si>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</si>
  <si>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</si>
  <si>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</si>
  <si>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</si>
  <si>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</si>
  <si>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</si>
  <si>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</si>
  <si>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</si>
  <si>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</si>
  <si>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</si>
  <si>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</si>
  <si>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</si>
  <si>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</si>
  <si>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</si>
  <si>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</si>
  <si>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</si>
  <si>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</si>
  <si>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</si>
  <si>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</si>
  <si>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</si>
  <si>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</si>
  <si>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</si>
  <si>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</si>
  <si>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</si>
  <si>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</si>
  <si>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</si>
  <si>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</si>
  <si>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</si>
  <si>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</si>
  <si>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</si>
  <si>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</si>
  <si>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</si>
  <si>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</si>
  <si>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</si>
  <si>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</si>
  <si>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</si>
  <si>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</si>
  <si>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</si>
  <si>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</si>
  <si>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</si>
  <si>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</si>
  <si>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</si>
  <si>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</si>
  <si>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</si>
  <si>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</si>
  <si>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</si>
  <si>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</si>
  <si>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</si>
  <si>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</si>
  <si>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</si>
  <si>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</si>
  <si>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</si>
  <si>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</si>
  <si>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</si>
  <si>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</si>
  <si>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</si>
  <si>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</si>
  <si>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</si>
  <si>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</si>
  <si>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</si>
  <si>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</si>
  <si>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</si>
  <si>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</si>
  <si>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</si>
  <si>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</si>
  <si>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</si>
  <si>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</si>
  <si>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</si>
  <si>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</si>
  <si>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</si>
  <si>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</si>
  <si>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</si>
  <si>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</si>
  <si>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</si>
  <si>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</si>
  <si>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</si>
  <si>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</si>
  <si>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</si>
  <si>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</si>
  <si>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</si>
  <si>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</si>
  <si>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</si>
  <si>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</si>
  <si>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</si>
  <si>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</si>
  <si>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</si>
  <si>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</si>
  <si>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</si>
  <si>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</si>
  <si>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</si>
  <si>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</si>
  <si>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</si>
  <si>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</si>
  <si>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</si>
  <si>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</si>
  <si>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</si>
  <si>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</si>
  <si>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</si>
  <si>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</si>
  <si>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</si>
  <si>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</si>
  <si>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</si>
  <si>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</si>
  <si>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</si>
  <si>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</si>
  <si>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</si>
  <si>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</si>
  <si>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</si>
  <si>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</si>
  <si>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</si>
  <si>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</si>
  <si>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</si>
  <si>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</si>
  <si>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</si>
  <si>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</si>
  <si>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</si>
  <si>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</si>
  <si>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</si>
  <si>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</si>
  <si>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</si>
  <si>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</si>
  <si>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</si>
  <si>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</si>
  <si>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</si>
  <si>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</si>
  <si>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</si>
  <si>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</si>
  <si>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</si>
  <si>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</si>
  <si>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</si>
  <si>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</si>
  <si>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</si>
  <si>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</si>
  <si>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</si>
  <si>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</si>
  <si>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</si>
  <si>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</si>
  <si>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</si>
  <si>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</si>
  <si>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</si>
  <si>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</si>
  <si>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</si>
  <si>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</si>
  <si>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</si>
  <si>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</si>
  <si>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</si>
  <si>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</si>
  <si>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</si>
  <si>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</si>
  <si>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</si>
  <si>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</si>
  <si>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</si>
  <si>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</si>
  <si>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</si>
  <si>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</si>
  <si>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</si>
  <si>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</si>
  <si>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</si>
  <si>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</si>
  <si>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</si>
  <si>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</si>
  <si>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</si>
  <si>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</si>
  <si>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</si>
  <si>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</si>
  <si>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</si>
  <si>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</si>
  <si>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</si>
  <si>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</si>
  <si>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</si>
  <si>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</si>
  <si>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</si>
  <si>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</si>
  <si>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</si>
  <si>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</si>
  <si>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</si>
  <si>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</si>
  <si>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</si>
  <si>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</si>
  <si>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</si>
  <si>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</si>
  <si>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</si>
  <si>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</si>
  <si>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</si>
  <si>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</si>
  <si>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</si>
  <si>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</si>
  <si>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</si>
  <si>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</si>
  <si>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</si>
  <si>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</si>
  <si>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</si>
  <si>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</si>
  <si>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</si>
  <si>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</si>
  <si>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</si>
  <si>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</si>
  <si>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</si>
  <si>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</si>
  <si>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</si>
  <si>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</si>
  <si>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</si>
  <si>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</si>
  <si>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</si>
  <si>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</si>
  <si>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</si>
  <si>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</si>
  <si>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</si>
  <si>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</si>
  <si>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</si>
  <si>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</si>
  <si>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</si>
  <si>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</si>
  <si>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</si>
  <si>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</si>
  <si>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</si>
  <si>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</si>
  <si>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</si>
  <si>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</si>
  <si>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</si>
  <si>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</si>
  <si>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</si>
  <si>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</si>
  <si>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</si>
  <si>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</si>
  <si>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</si>
  <si>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</si>
  <si>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</si>
  <si>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</si>
  <si>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</si>
  <si>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</si>
  <si>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</si>
  <si>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</si>
  <si>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</si>
  <si>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</si>
  <si>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</si>
  <si>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</si>
  <si>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</si>
  <si>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</si>
  <si>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</si>
  <si>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</si>
  <si>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</si>
  <si>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</si>
  <si>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</si>
  <si>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</si>
  <si>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</si>
  <si>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</si>
  <si>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</si>
  <si>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</si>
  <si>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</si>
  <si>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</si>
  <si>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</si>
  <si>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</si>
  <si>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</si>
  <si>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</si>
  <si>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</si>
  <si>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</si>
  <si>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</si>
  <si>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</si>
  <si>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</si>
  <si>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</si>
  <si>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</si>
  <si>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</si>
  <si>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</si>
  <si>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</si>
  <si>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</si>
  <si>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</si>
  <si>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</si>
  <si>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</si>
  <si>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</si>
  <si>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</si>
  <si>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</si>
  <si>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</si>
  <si>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</si>
  <si>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</si>
  <si>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</si>
  <si>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</si>
  <si>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</si>
  <si>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</si>
  <si>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</si>
  <si>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</si>
  <si>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</si>
  <si>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</si>
  <si>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</si>
  <si>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</si>
  <si>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</si>
  <si>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</si>
  <si>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</si>
  <si>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</si>
  <si>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</si>
  <si>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</si>
  <si>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</si>
  <si>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</si>
  <si>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</si>
  <si>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</si>
  <si>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</si>
  <si>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</si>
  <si>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</si>
  <si>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</si>
  <si>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</si>
  <si>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</si>
  <si>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</si>
  <si>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</si>
  <si>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</si>
  <si>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</si>
  <si>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</si>
  <si>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</si>
  <si>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</si>
  <si>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</si>
  <si>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</si>
  <si>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</si>
  <si>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</si>
  <si>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</si>
  <si>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</si>
  <si>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</si>
  <si>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</si>
  <si>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</si>
  <si>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</si>
  <si>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</si>
  <si>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</si>
  <si>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</si>
  <si>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</si>
  <si>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</si>
  <si>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</si>
  <si>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</si>
  <si>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</si>
  <si>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</si>
  <si>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</si>
  <si>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</si>
  <si>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</si>
  <si>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</si>
  <si>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</si>
  <si>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</si>
  <si>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</si>
  <si>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</si>
  <si>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</si>
  <si>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</si>
  <si>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</si>
  <si>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</si>
  <si>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</si>
  <si>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</si>
  <si>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</si>
  <si>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</si>
  <si>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</si>
  <si>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</si>
  <si>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</si>
  <si>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</si>
  <si>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</si>
  <si>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</si>
  <si>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</si>
  <si>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</si>
  <si>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</si>
  <si>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</si>
  <si>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</si>
  <si>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</si>
  <si>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</si>
  <si>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</si>
  <si>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</si>
  <si>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</si>
  <si>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</si>
  <si>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</si>
  <si>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</si>
  <si>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</si>
  <si>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</si>
  <si>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</si>
  <si>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</si>
  <si>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</si>
  <si>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</si>
  <si>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</si>
  <si>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</si>
  <si>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</si>
  <si>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</si>
  <si>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</si>
  <si>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</si>
  <si>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</si>
  <si>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</si>
  <si>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</si>
  <si>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</si>
  <si>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</si>
  <si>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</si>
  <si>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</si>
  <si>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</si>
  <si>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</si>
  <si>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</si>
  <si>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</si>
  <si>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</si>
  <si>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</si>
  <si>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</si>
  <si>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</si>
  <si>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</si>
  <si>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</si>
  <si>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</si>
  <si>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</si>
  <si>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</si>
  <si>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</si>
  <si>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</si>
  <si>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</si>
  <si>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</si>
  <si>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</si>
  <si>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</si>
  <si>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</si>
  <si>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</si>
  <si>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</si>
  <si>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</si>
  <si>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</si>
  <si>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</si>
  <si>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</si>
  <si>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</si>
  <si>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</si>
  <si>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</si>
  <si>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</si>
  <si>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</si>
  <si>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</si>
  <si>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</si>
  <si>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</si>
  <si>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</si>
  <si>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</si>
  <si>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</si>
  <si>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</si>
  <si>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</si>
  <si>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</si>
  <si>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</si>
  <si>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</si>
  <si>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</si>
  <si>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</si>
  <si>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</si>
  <si>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</si>
  <si>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</si>
  <si>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</si>
  <si>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</si>
  <si>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</si>
  <si>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</si>
  <si>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</si>
  <si>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</si>
  <si>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</si>
  <si>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</si>
  <si>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</si>
  <si>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</si>
  <si>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</si>
  <si>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</si>
  <si>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</si>
  <si>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</si>
  <si>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</si>
  <si>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</si>
  <si>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</si>
  <si>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</si>
  <si>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</si>
  <si>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</si>
  <si>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</si>
  <si>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</si>
  <si>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</si>
  <si>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</si>
  <si>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</si>
  <si>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</si>
  <si>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</si>
  <si>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</si>
  <si>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</si>
  <si>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</si>
  <si>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</si>
  <si>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</si>
  <si>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</si>
  <si>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</si>
  <si>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</si>
  <si>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</si>
  <si>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</si>
  <si>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</si>
  <si>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</si>
  <si>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</si>
  <si>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</si>
  <si>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</si>
  <si>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</si>
  <si>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</si>
  <si>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</si>
  <si>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</si>
  <si>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</si>
  <si>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</si>
  <si>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</si>
  <si>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</si>
  <si>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</si>
  <si>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</si>
  <si>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</si>
  <si>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</si>
  <si>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</si>
  <si>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</si>
  <si>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</si>
  <si>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</si>
  <si>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</si>
  <si>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</si>
  <si>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</si>
  <si>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</si>
  <si>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</si>
  <si>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</si>
  <si>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</si>
  <si>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</si>
  <si>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</si>
  <si>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</si>
  <si>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</si>
  <si>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</si>
  <si>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</si>
  <si>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</si>
  <si>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</si>
  <si>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</si>
  <si>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</si>
  <si>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</si>
  <si>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</si>
  <si>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</si>
  <si>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</si>
  <si>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</si>
  <si>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</si>
  <si>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</si>
  <si>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</si>
  <si>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</si>
  <si>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</si>
  <si>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</si>
  <si>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</si>
  <si>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</si>
  <si>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</si>
  <si>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</si>
  <si>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</si>
  <si>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</si>
  <si>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</si>
  <si>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</si>
  <si>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</si>
  <si>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</si>
  <si>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</si>
  <si>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</si>
  <si>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</si>
  <si>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</si>
  <si>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</si>
  <si>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</si>
  <si>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</si>
  <si>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</si>
  <si>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</si>
  <si>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</si>
  <si>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</si>
  <si>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</si>
  <si>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</si>
  <si>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</si>
  <si>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</si>
  <si>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</si>
  <si>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</si>
  <si>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</si>
  <si>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</si>
  <si>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</si>
  <si>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</si>
  <si>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</si>
  <si>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</si>
  <si>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</si>
  <si>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</si>
  <si>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</si>
  <si>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</si>
  <si>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</si>
  <si>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</si>
  <si>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</si>
  <si>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</si>
  <si>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</si>
  <si>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</si>
  <si>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</si>
  <si>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</si>
  <si>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</si>
  <si>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</si>
  <si>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</si>
  <si>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</si>
  <si>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</si>
  <si>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</si>
  <si>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</si>
  <si>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</si>
  <si>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</si>
  <si>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</si>
  <si>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</si>
  <si>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</si>
  <si>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</si>
  <si>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</si>
  <si>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</si>
  <si>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</si>
  <si>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</si>
  <si>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</si>
  <si>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</si>
  <si>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</si>
  <si>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</si>
  <si>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</si>
  <si>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</si>
  <si>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</si>
  <si>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</si>
  <si>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</si>
  <si>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</si>
  <si>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</si>
  <si>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</si>
  <si>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</si>
  <si>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</si>
  <si>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</si>
  <si>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</si>
  <si>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</si>
  <si>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</si>
  <si>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</si>
  <si>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</si>
  <si>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</si>
  <si>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</si>
  <si>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</si>
  <si>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</si>
  <si>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</si>
  <si>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</si>
  <si>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</si>
  <si>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</si>
  <si>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</si>
  <si>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</si>
  <si>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</si>
  <si>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</si>
  <si>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</si>
  <si>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</si>
  <si>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</si>
  <si>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</si>
  <si>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</si>
  <si>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</si>
  <si>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</si>
  <si>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</si>
  <si>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</si>
  <si>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</si>
  <si>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</si>
  <si>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</si>
  <si>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</si>
  <si>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</si>
  <si>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</si>
  <si>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</si>
  <si>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</si>
  <si>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</si>
  <si>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</si>
  <si>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</si>
  <si>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</si>
  <si>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</si>
  <si>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</si>
  <si>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</si>
  <si>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</si>
  <si>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</si>
  <si>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</si>
  <si>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</si>
  <si>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</si>
  <si>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</si>
  <si>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</si>
  <si>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</si>
  <si>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</si>
  <si>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</si>
  <si>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</si>
  <si>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</si>
  <si>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</si>
  <si>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</si>
  <si>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</si>
  <si>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</si>
  <si>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</si>
  <si>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</si>
  <si>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</si>
  <si>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</si>
  <si>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</si>
  <si>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</si>
  <si>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</si>
  <si>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</si>
  <si>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</si>
  <si>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</si>
  <si>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</si>
  <si>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</si>
  <si>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</si>
  <si>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</si>
  <si>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</si>
  <si>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</si>
  <si>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</si>
  <si>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</si>
  <si>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</si>
  <si>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</si>
  <si>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</si>
  <si>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</si>
  <si>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</si>
  <si>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</si>
  <si>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</si>
  <si>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</si>
  <si>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</si>
  <si>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</si>
  <si>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</si>
  <si>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</si>
  <si>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</si>
  <si>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</si>
  <si>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</si>
  <si>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</si>
  <si>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</si>
  <si>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</si>
  <si>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</si>
  <si>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</si>
  <si>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</si>
  <si>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</si>
  <si>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</si>
  <si>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</si>
  <si>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</si>
  <si>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</si>
  <si>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</si>
  <si>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</si>
  <si>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</si>
  <si>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</si>
  <si>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</si>
  <si>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</si>
  <si>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</si>
  <si>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</si>
  <si>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</si>
  <si>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</si>
  <si>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</si>
  <si>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</si>
  <si>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</si>
  <si>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</si>
  <si>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</si>
  <si>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</si>
  <si>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</si>
  <si>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</si>
  <si>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</si>
  <si>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</si>
  <si>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</si>
  <si>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</si>
  <si>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</si>
  <si>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</si>
  <si>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</si>
  <si>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</si>
  <si>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</si>
  <si>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</si>
  <si>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</si>
  <si>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</si>
  <si>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</si>
  <si>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</si>
  <si>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</si>
  <si>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</si>
  <si>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</si>
  <si>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</si>
  <si>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</si>
  <si>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</si>
  <si>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</si>
  <si>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</si>
  <si>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</si>
  <si>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</si>
  <si>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</si>
  <si>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</si>
  <si>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</si>
  <si>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</si>
  <si>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</si>
  <si>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</si>
  <si>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</si>
  <si>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</si>
  <si>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</si>
  <si>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</si>
  <si>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</si>
  <si>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</si>
  <si>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</si>
  <si>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</si>
  <si>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</si>
  <si>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</si>
  <si>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</si>
  <si>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</si>
  <si>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</si>
  <si>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2018-1-0131</t>
    <phoneticPr fontId="6" type="noConversion"/>
  </si>
  <si>
    <t>梁津</t>
  </si>
  <si>
    <t>王鹏</t>
  </si>
  <si>
    <t>苏州金俊房地产开发有限公司</t>
    <phoneticPr fontId="6" type="noConversion"/>
  </si>
  <si>
    <t>中信信托有限责任公司</t>
    <phoneticPr fontId="6" type="noConversion"/>
  </si>
  <si>
    <t>核定资产</t>
  </si>
  <si>
    <t>抵押价格</t>
  </si>
  <si>
    <t>市场价格</t>
  </si>
  <si>
    <t>其他：</t>
  </si>
  <si>
    <t>苏州市</t>
    <phoneticPr fontId="6" type="noConversion"/>
  </si>
  <si>
    <t>姑苏区永方路以东、合兴路以南1宗住宅用途</t>
    <phoneticPr fontId="6" type="noConversion"/>
  </si>
  <si>
    <t>企业</t>
  </si>
  <si>
    <t>住宅</t>
    <phoneticPr fontId="6" type="noConversion"/>
  </si>
  <si>
    <t>《国有建设用地使用权网上挂牌出让成交确认书》[编号：苏地2017-WG-48号]</t>
    <phoneticPr fontId="6" type="noConversion"/>
  </si>
  <si>
    <t>一致</t>
  </si>
  <si>
    <t>符合</t>
  </si>
  <si>
    <t>出让</t>
  </si>
  <si>
    <t>住宅70年</t>
    <phoneticPr fontId="6" type="noConversion"/>
  </si>
  <si>
    <t>《国有建设用地使用权网上挂牌出让成交确认书》[编号：苏地2017-WG-48号]、《估价对象清单》</t>
    <phoneticPr fontId="6" type="noConversion"/>
  </si>
  <si>
    <t>否</t>
  </si>
  <si>
    <t>居住项目</t>
  </si>
  <si>
    <t>无</t>
  </si>
  <si>
    <t>场地平整</t>
  </si>
  <si>
    <t>平整</t>
  </si>
  <si>
    <t>通路</t>
  </si>
  <si>
    <t>通电</t>
  </si>
  <si>
    <t>通讯</t>
  </si>
  <si>
    <t>通上水</t>
  </si>
  <si>
    <t>通下水</t>
  </si>
  <si>
    <t>燃气</t>
  </si>
  <si>
    <t>地上</t>
  </si>
  <si>
    <t>平层住宅</t>
  </si>
  <si>
    <t>住宅</t>
    <phoneticPr fontId="7" type="noConversion"/>
  </si>
  <si>
    <t>大城市六级</t>
  </si>
  <si>
    <t>大城市六级</t>
    <phoneticPr fontId="3" type="noConversion"/>
  </si>
  <si>
    <t>城镇住宅用地</t>
  </si>
  <si>
    <t>城镇住宅用地</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</si>
  <si>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</si>
  <si>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</si>
  <si>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</si>
  <si>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</si>
  <si>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</si>
  <si>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</si>
  <si>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</si>
  <si>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</si>
  <si>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</si>
  <si>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</si>
  <si>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</si>
  <si>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</si>
  <si>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</si>
  <si>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</si>
  <si>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</si>
  <si>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</si>
  <si>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</si>
  <si>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</si>
  <si>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</si>
  <si>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</si>
  <si>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</si>
  <si>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</si>
  <si>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</si>
  <si>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</si>
  <si>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</si>
  <si>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苏州监测指标情况一览表</t>
  </si>
  <si>
    <t>时间</t>
  </si>
  <si>
    <t>水平值</t>
  </si>
  <si>
    <t>环比增长率</t>
  </si>
  <si>
    <t>指数</t>
  </si>
  <si>
    <t>楼面地价</t>
  </si>
  <si>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</si>
  <si>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</si>
  <si>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多面临街</t>
  </si>
  <si>
    <t>双面临街</t>
  </si>
  <si>
    <t>剩余法-待开发</t>
  </si>
  <si>
    <t>项目全部</t>
  </si>
  <si>
    <t>土地</t>
  </si>
  <si>
    <t>比较法-住宅、综合</t>
  </si>
  <si>
    <t>售价</t>
  </si>
  <si>
    <t>住宅</t>
    <phoneticPr fontId="21" type="noConversion"/>
  </si>
  <si>
    <t>60-70（含）</t>
  </si>
  <si>
    <t>120-140</t>
    <phoneticPr fontId="21" type="noConversion"/>
  </si>
  <si>
    <t>钢混</t>
  </si>
  <si>
    <t>钢混</t>
    <phoneticPr fontId="21" type="noConversion"/>
  </si>
  <si>
    <t>混合</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</si>
  <si>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</si>
  <si>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</si>
  <si>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</si>
  <si>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</si>
  <si>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</si>
  <si>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</si>
  <si>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</si>
  <si>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</si>
  <si>
    <t>普通装修</t>
    <phoneticPr fontId="21" type="noConversion"/>
  </si>
  <si>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</si>
  <si>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</si>
  <si>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</si>
  <si>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</si>
  <si>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</si>
  <si>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</si>
  <si>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</si>
  <si>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</si>
  <si>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</si>
  <si>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高层住宅</t>
  </si>
  <si>
    <t>高层住宅</t>
    <phoneticPr fontId="21" type="noConversion"/>
  </si>
  <si>
    <t>独栋别墅</t>
    <phoneticPr fontId="21" type="noConversion"/>
  </si>
  <si>
    <t>联排别墅</t>
    <phoneticPr fontId="21" type="noConversion"/>
  </si>
  <si>
    <t>叠拼别墅</t>
    <phoneticPr fontId="21" type="noConversion"/>
  </si>
  <si>
    <t>花园洋房</t>
    <phoneticPr fontId="21" type="noConversion"/>
  </si>
  <si>
    <t>小高层住宅</t>
  </si>
  <si>
    <t>小高层住宅</t>
    <phoneticPr fontId="21" type="noConversion"/>
  </si>
  <si>
    <t>姑苏铭著</t>
    <phoneticPr fontId="3" type="noConversion"/>
  </si>
  <si>
    <t>姑苏金茂府</t>
    <phoneticPr fontId="3" type="noConversion"/>
  </si>
  <si>
    <t>织金华庭</t>
    <phoneticPr fontId="3" type="noConversion"/>
  </si>
  <si>
    <t>商业</t>
  </si>
  <si>
    <t>底商</t>
  </si>
  <si>
    <t>商业</t>
    <phoneticPr fontId="7" type="noConversion"/>
  </si>
  <si>
    <t>不动产收益法</t>
  </si>
  <si>
    <t>土地（套用方法）</t>
  </si>
  <si>
    <t>押一</t>
  </si>
  <si>
    <t>姑苏区解放西路以西、酒厂路以南</t>
    <phoneticPr fontId="3" type="noConversion"/>
  </si>
  <si>
    <t>苏地2017-WG-45号</t>
    <phoneticPr fontId="3" type="noConversion"/>
  </si>
  <si>
    <t>次干道</t>
  </si>
  <si>
    <t>姑苏区缘园路西、倪家桥小区南</t>
    <phoneticPr fontId="3" type="noConversion"/>
  </si>
  <si>
    <t>苏地2017-WG-68号</t>
    <phoneticPr fontId="3" type="noConversion"/>
  </si>
  <si>
    <t>姑苏区玻纤路北、虎丘路西</t>
    <phoneticPr fontId="3" type="noConversion"/>
  </si>
  <si>
    <t>苏地2017-WG-67号</t>
    <phoneticPr fontId="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</si>
</sst>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8" fillId="2" borderId="20" xfId="0" applyFont="1" applyFill="1" applyBorder="1" applyAlignment="1" applyProtection="1">
      <alignment horizontal="left" vertical="center" wrapText="1"/>
      <protection locked="0"/>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2975</v>
      </c>
      <c r="B1" s="3182"/>
      <c r="C1" s="3183"/>
      <c r="D1" s="3184"/>
      <c r="E1" s="3185" t="s">
        <v>2976</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2977</v>
      </c>
      <c r="B2" s="3194" t="e">
        <f ca="1">ROUND(D2/10000,0)</f>
        <v>#DIV/0!</v>
      </c>
      <c r="C2" s="3195" t="s">
        <v>2978</v>
      </c>
      <c r="D2" s="3196" t="e">
        <f ca="1">C40+J29+L46</f>
        <v>#DIV/0!</v>
      </c>
      <c r="E2" s="3197" t="s">
        <v>2979</v>
      </c>
      <c r="F2" s="3198"/>
      <c r="G2" s="3199"/>
      <c r="H2" s="3200"/>
      <c r="I2" s="3200"/>
      <c r="J2" s="3200"/>
      <c r="K2" s="3201"/>
      <c r="L2" s="3200"/>
      <c r="M2" s="3200"/>
    </row>
    <row r="3" spans="1:37" ht="18" customHeight="1" thickBot="1">
      <c r="A3" s="3204" t="s">
        <v>2980</v>
      </c>
      <c r="B3" s="3205">
        <f ca="1">IF(ISERROR(D2/F43),0,ROUND(D2/F43,0))</f>
        <v>0</v>
      </c>
      <c r="C3" s="3195" t="s">
        <v>2981</v>
      </c>
      <c r="D3" s="3195"/>
      <c r="E3" s="3197"/>
      <c r="F3" s="3198"/>
      <c r="G3" s="3199"/>
      <c r="H3" s="3206" t="s">
        <v>2982</v>
      </c>
      <c r="I3" s="3200"/>
      <c r="J3" s="3200"/>
      <c r="K3" s="3201"/>
      <c r="L3" s="3200"/>
      <c r="M3" s="3200"/>
    </row>
    <row r="4" spans="1:37" ht="18" customHeight="1">
      <c r="A4" s="3207" t="s">
        <v>2983</v>
      </c>
      <c r="B4" s="3208" t="s">
        <v>2984</v>
      </c>
      <c r="C4" s="3208" t="s">
        <v>2985</v>
      </c>
      <c r="D4" s="3208" t="s">
        <v>2986</v>
      </c>
      <c r="E4" s="3209" t="s">
        <v>2987</v>
      </c>
      <c r="F4" s="3210"/>
      <c r="G4" s="3211"/>
      <c r="H4" s="3207" t="s">
        <v>2988</v>
      </c>
      <c r="I4" s="3208" t="s">
        <v>2989</v>
      </c>
      <c r="J4" s="3208" t="s">
        <v>2990</v>
      </c>
      <c r="K4" s="3208" t="s">
        <v>2991</v>
      </c>
      <c r="L4" s="3209" t="s">
        <v>2987</v>
      </c>
      <c r="M4" s="3210"/>
    </row>
    <row r="5" spans="1:37" ht="18" customHeight="1">
      <c r="A5" s="3212">
        <v>1</v>
      </c>
      <c r="B5" s="3213" t="s">
        <v>2992</v>
      </c>
      <c r="C5" s="3214">
        <f ca="1">C6+C10+C12</f>
        <v>0</v>
      </c>
      <c r="D5" s="3215" t="s">
        <v>2993</v>
      </c>
      <c r="E5" s="3216"/>
      <c r="F5" s="3217"/>
      <c r="G5" s="3211"/>
      <c r="H5" s="3212">
        <v>1</v>
      </c>
      <c r="I5" s="3213" t="s">
        <v>2992</v>
      </c>
      <c r="J5" s="3214">
        <f ca="1">J6+J10+J12</f>
        <v>0</v>
      </c>
      <c r="K5" s="3215" t="s">
        <v>2993</v>
      </c>
      <c r="L5" s="3216"/>
      <c r="M5" s="3217"/>
    </row>
    <row r="6" spans="1:37" ht="18" customHeight="1">
      <c r="A6" s="3218" t="s">
        <v>2994</v>
      </c>
      <c r="B6" s="3494" t="s">
        <v>2995</v>
      </c>
      <c r="C6" s="3219">
        <f ca="1">ROUND(F6*F8*F7*(1-F9),0)</f>
        <v>0</v>
      </c>
      <c r="D6" s="3220" t="s">
        <v>2996</v>
      </c>
      <c r="E6" s="3221" t="s">
        <v>2997</v>
      </c>
      <c r="F6" s="3222">
        <f ca="1">INDIRECT("'数据-取费表'!u"&amp;$G$1)</f>
        <v>0</v>
      </c>
      <c r="G6" s="3211"/>
      <c r="H6" s="3218" t="s">
        <v>2994</v>
      </c>
      <c r="I6" s="3494" t="s">
        <v>2995</v>
      </c>
      <c r="J6" s="3223">
        <f ca="1">ROUND(M6*M8*M7*(1-M9),0)</f>
        <v>0</v>
      </c>
      <c r="K6" s="3224" t="s">
        <v>2998</v>
      </c>
      <c r="L6" s="3221" t="s">
        <v>2997</v>
      </c>
      <c r="M6" s="3222">
        <f ca="1">INDIRECT("'数据-取费表'!z"&amp;$G$1)</f>
        <v>0</v>
      </c>
    </row>
    <row r="7" spans="1:37" ht="18" customHeight="1">
      <c r="A7" s="3225"/>
      <c r="B7" s="3495"/>
      <c r="C7" s="3226"/>
      <c r="D7" s="3227"/>
      <c r="E7" s="3228" t="s">
        <v>2999</v>
      </c>
      <c r="F7" s="3222">
        <f ca="1">IF(INDIRECT("'数据-取费表'!ah"&amp;$G$1)="",INDIRECT("'数据-取费表'!k"&amp;$G$1),INDIRECT("'数据-取费表'!ah"&amp;$G$1))</f>
        <v>127677.83</v>
      </c>
      <c r="G7" s="3211"/>
      <c r="H7" s="3229"/>
      <c r="I7" s="3495"/>
      <c r="J7" s="3230"/>
      <c r="K7" s="3227"/>
      <c r="L7" s="3221" t="s">
        <v>2999</v>
      </c>
      <c r="M7" s="3222">
        <f ca="1">F7</f>
        <v>127677.83</v>
      </c>
    </row>
    <row r="8" spans="1:37" ht="18" customHeight="1">
      <c r="A8" s="3229"/>
      <c r="B8" s="3495"/>
      <c r="C8" s="3230"/>
      <c r="D8" s="3227"/>
      <c r="E8" s="3221" t="s">
        <v>3000</v>
      </c>
      <c r="F8" s="3222">
        <f ca="1">INDIRECT("'数据-取费表'!ai"&amp;$G$1)</f>
        <v>0</v>
      </c>
      <c r="G8" s="3211"/>
      <c r="H8" s="3229"/>
      <c r="I8" s="3495"/>
      <c r="J8" s="3230"/>
      <c r="K8" s="3227"/>
      <c r="L8" s="3221" t="s">
        <v>3000</v>
      </c>
      <c r="M8" s="3222">
        <f ca="1">INDIRECT("'数据-取费表'!ai"&amp;$G$1)</f>
        <v>0</v>
      </c>
    </row>
    <row r="9" spans="1:37" ht="18" customHeight="1">
      <c r="A9" s="3229"/>
      <c r="B9" s="3496"/>
      <c r="C9" s="3230"/>
      <c r="D9" s="3227"/>
      <c r="E9" s="3221" t="s">
        <v>3001</v>
      </c>
      <c r="F9" s="3231">
        <f ca="1">INDIRECT("'数据-取费表'!w"&amp;$G$1)</f>
        <v>0</v>
      </c>
      <c r="G9" s="3211"/>
      <c r="H9" s="3229"/>
      <c r="I9" s="3496"/>
      <c r="J9" s="3230"/>
      <c r="K9" s="3227"/>
      <c r="L9" s="3232" t="s">
        <v>3001</v>
      </c>
      <c r="M9" s="3233">
        <f ca="1">INDIRECT("'数据-取费表'!ab"&amp;$G$1)</f>
        <v>0</v>
      </c>
    </row>
    <row r="10" spans="1:37" ht="18" customHeight="1">
      <c r="A10" s="3218" t="s">
        <v>3002</v>
      </c>
      <c r="B10" s="3234" t="s">
        <v>3003</v>
      </c>
      <c r="C10" s="3235">
        <f>ROUND(IF(F10="押一",F6*F8*F7/12*F11,IF(F10="押二",F6*F8*F7/12*2*F11,IF(F10="押三",F6*F8*F7/12*3*F11,C11*F11))),0)</f>
        <v>0</v>
      </c>
      <c r="D10" s="3236" t="s">
        <v>3004</v>
      </c>
      <c r="E10" s="3232" t="s">
        <v>3005</v>
      </c>
      <c r="F10" s="3237"/>
      <c r="G10" s="3211"/>
      <c r="H10" s="3218" t="s">
        <v>3002</v>
      </c>
      <c r="I10" s="3234" t="s">
        <v>3003</v>
      </c>
      <c r="J10" s="3223">
        <f>ROUND(IF(M10="押一",M6*M8*M7/12*M11,IF(M10="押二",M6*M8*M7/12*2*M11,IF(M10="押三",M6*M8*M7/12*3*M11,J11*M11))),0)</f>
        <v>0</v>
      </c>
      <c r="K10" s="3238" t="s">
        <v>3006</v>
      </c>
      <c r="L10" s="3232" t="s">
        <v>3005</v>
      </c>
      <c r="M10" s="3237"/>
    </row>
    <row r="11" spans="1:37" ht="18" customHeight="1">
      <c r="A11" s="3239"/>
      <c r="B11" s="3240" t="s">
        <v>3007</v>
      </c>
      <c r="C11" s="3241"/>
      <c r="D11" s="3227"/>
      <c r="E11" s="3232" t="s">
        <v>3008</v>
      </c>
      <c r="F11" s="3233">
        <f>'[1]数据-取费表'!B39</f>
        <v>0</v>
      </c>
      <c r="G11" s="3211"/>
      <c r="H11" s="3242"/>
      <c r="I11" s="3240" t="s">
        <v>3009</v>
      </c>
      <c r="J11" s="3241"/>
      <c r="K11" s="3243"/>
      <c r="L11" s="3232" t="s">
        <v>3008</v>
      </c>
      <c r="M11" s="3244">
        <f>'[1]数据-取费表'!B39</f>
        <v>0</v>
      </c>
    </row>
    <row r="12" spans="1:37" ht="18" customHeight="1" thickBot="1">
      <c r="A12" s="3245" t="s">
        <v>3010</v>
      </c>
      <c r="B12" s="3246" t="s">
        <v>3011</v>
      </c>
      <c r="C12" s="3247"/>
      <c r="D12" s="3248"/>
      <c r="E12" s="3249"/>
      <c r="F12" s="3250"/>
      <c r="G12" s="3211"/>
      <c r="H12" s="3245" t="s">
        <v>3010</v>
      </c>
      <c r="I12" s="3246" t="s">
        <v>3011</v>
      </c>
      <c r="J12" s="3247"/>
      <c r="K12" s="3251"/>
      <c r="L12" s="3249"/>
      <c r="M12" s="3252"/>
    </row>
    <row r="13" spans="1:37" ht="18" customHeight="1" thickTop="1">
      <c r="A13" s="3253">
        <v>2</v>
      </c>
      <c r="B13" s="3254" t="s">
        <v>3012</v>
      </c>
      <c r="C13" s="3255">
        <f ca="1">ROUND(C29*F13,0)</f>
        <v>0</v>
      </c>
      <c r="D13" s="3256" t="s">
        <v>3013</v>
      </c>
      <c r="E13" s="3256" t="s">
        <v>3014</v>
      </c>
      <c r="F13" s="3257">
        <f ca="1">INDIRECT("'数据-取费表'!y"&amp;$G$1)</f>
        <v>0</v>
      </c>
      <c r="G13" s="3211"/>
      <c r="H13" s="3253">
        <v>2</v>
      </c>
      <c r="I13" s="3254" t="s">
        <v>3012</v>
      </c>
      <c r="J13" s="3258">
        <f ca="1">ROUND(J14*J15,0)</f>
        <v>321748132</v>
      </c>
      <c r="K13" s="3259" t="s">
        <v>3013</v>
      </c>
      <c r="L13" s="3260"/>
      <c r="M13" s="3261"/>
    </row>
    <row r="14" spans="1:37" ht="18" customHeight="1">
      <c r="A14" s="3262" t="s">
        <v>3015</v>
      </c>
      <c r="B14" s="3221" t="s">
        <v>3016</v>
      </c>
      <c r="C14" s="3263">
        <f ca="1">ROUND(INDIRECT("'数据-取费表'!l"&amp;$G$1)*F43+'[1]数据-取费表'!L14*INDIRECT("'数据-取费表'!S"&amp;$G$1),0)</f>
        <v>306426792</v>
      </c>
      <c r="D14" s="3264" t="s">
        <v>3017</v>
      </c>
      <c r="E14" s="3265"/>
      <c r="F14" s="3266"/>
      <c r="G14" s="3211"/>
      <c r="H14" s="3262" t="s">
        <v>3018</v>
      </c>
      <c r="I14" s="3221" t="s">
        <v>3019</v>
      </c>
      <c r="J14" s="3267">
        <f ca="1">C29</f>
        <v>321748132</v>
      </c>
      <c r="K14" s="3268"/>
      <c r="L14" s="3269"/>
      <c r="M14" s="3270"/>
    </row>
    <row r="15" spans="1:37" s="3279" customFormat="1" ht="18" customHeight="1" thickBot="1">
      <c r="A15" s="3262" t="s">
        <v>3020</v>
      </c>
      <c r="B15" s="3221" t="s">
        <v>3021</v>
      </c>
      <c r="C15" s="3267">
        <f ca="1">ROUND(C14*F15,0)</f>
        <v>0</v>
      </c>
      <c r="D15" s="3271" t="s">
        <v>3022</v>
      </c>
      <c r="E15" s="3271" t="s">
        <v>3023</v>
      </c>
      <c r="F15" s="3272">
        <f>'[1]数据-取费表'!B33</f>
        <v>0</v>
      </c>
      <c r="G15" s="3273"/>
      <c r="H15" s="3274" t="s">
        <v>3002</v>
      </c>
      <c r="I15" s="3249" t="s">
        <v>3014</v>
      </c>
      <c r="J15" s="3252">
        <f ca="1">INDIRECT("'数据-取费表'!ad"&amp;$G$1)</f>
        <v>1</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3024</v>
      </c>
      <c r="B16" s="3221" t="s">
        <v>3025</v>
      </c>
      <c r="C16" s="3267">
        <f ca="1">ROUND(INDIRECT("'数据-取费表'!l"&amp;$G$1)*F43*F16,0)</f>
        <v>0</v>
      </c>
      <c r="D16" s="3221" t="s">
        <v>3026</v>
      </c>
      <c r="E16" s="3221" t="s">
        <v>3027</v>
      </c>
      <c r="F16" s="3280">
        <f ca="1">IF(INDIRECT("'数据-取费表'!c"&amp;$G$1)="住宅",'[1]数据-取费表'!B34,0)</f>
        <v>0</v>
      </c>
      <c r="G16" s="3211"/>
      <c r="H16" s="3253" t="s">
        <v>3028</v>
      </c>
      <c r="I16" s="3254" t="s">
        <v>3029</v>
      </c>
      <c r="J16" s="3255">
        <f ca="1">ROUND(J17+J22+J23+J24,0)</f>
        <v>2702684</v>
      </c>
      <c r="K16" s="3259" t="s">
        <v>3030</v>
      </c>
      <c r="L16" s="3281"/>
      <c r="M16" s="3217"/>
    </row>
    <row r="17" spans="1:37" s="3279" customFormat="1" ht="18" customHeight="1">
      <c r="A17" s="3262" t="s">
        <v>3031</v>
      </c>
      <c r="B17" s="3221" t="s">
        <v>3032</v>
      </c>
      <c r="C17" s="3267">
        <f ca="1">ROUND(F17*(F43+INDIRECT("'数据-取费表'!S"&amp;$G$1)),0)</f>
        <v>0</v>
      </c>
      <c r="D17" s="3221" t="s">
        <v>3033</v>
      </c>
      <c r="E17" s="3221" t="s">
        <v>3034</v>
      </c>
      <c r="F17" s="3282">
        <f>'[1]数据-取费表'!B35</f>
        <v>0</v>
      </c>
      <c r="G17" s="3273"/>
      <c r="H17" s="3262" t="s">
        <v>2994</v>
      </c>
      <c r="I17" s="3221" t="s">
        <v>3035</v>
      </c>
      <c r="J17" s="3267">
        <f ca="1">ROUND(IF([1]项目基本情况!B11="自然人",J5*M17,J18+J19+J20),0)</f>
        <v>2702684</v>
      </c>
      <c r="K17" s="3264" t="s">
        <v>3036</v>
      </c>
      <c r="L17" s="3283" t="s">
        <v>3037</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3038</v>
      </c>
      <c r="B18" s="3221" t="s">
        <v>3039</v>
      </c>
      <c r="C18" s="3267">
        <f ca="1">ROUND(C14*F18,0)</f>
        <v>0</v>
      </c>
      <c r="D18" s="3221" t="s">
        <v>3022</v>
      </c>
      <c r="E18" s="3221" t="s">
        <v>3023</v>
      </c>
      <c r="F18" s="3280">
        <f>'[1]数据-取费表'!B36</f>
        <v>0</v>
      </c>
      <c r="G18" s="3273"/>
      <c r="H18" s="3262" t="s">
        <v>3015</v>
      </c>
      <c r="I18" s="3221" t="s">
        <v>3040</v>
      </c>
      <c r="J18" s="3267">
        <f ca="1">ROUND(J5*M18/(1+'[1]数据-取费表'!C42),0)</f>
        <v>0</v>
      </c>
      <c r="K18" s="3283" t="s">
        <v>3041</v>
      </c>
      <c r="L18" s="3221" t="s">
        <v>3027</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3018</v>
      </c>
      <c r="B19" s="3221" t="s">
        <v>3042</v>
      </c>
      <c r="C19" s="3267">
        <f ca="1">SUM(C14:C18)</f>
        <v>306426792</v>
      </c>
      <c r="D19" s="3285" t="s">
        <v>3043</v>
      </c>
      <c r="E19" s="3286"/>
      <c r="F19" s="3282"/>
      <c r="G19" s="3211"/>
      <c r="H19" s="3262" t="s">
        <v>3020</v>
      </c>
      <c r="I19" s="3221" t="s">
        <v>3044</v>
      </c>
      <c r="J19" s="3267">
        <f ca="1">IF(K19="按租金收入计税",ROUND(J5*M19,0),ROUND(C29*M19*0.7,0))</f>
        <v>2702684</v>
      </c>
      <c r="K19" s="3287" t="s">
        <v>3045</v>
      </c>
      <c r="L19" s="3221" t="s">
        <v>3023</v>
      </c>
      <c r="M19" s="3280">
        <f>IF(K19="按租金收入计税",'[1]数据-取费表'!B51,'[1]数据-取费表'!B50)</f>
        <v>1.2E-2</v>
      </c>
    </row>
    <row r="20" spans="1:37" s="3279" customFormat="1" ht="18" customHeight="1">
      <c r="A20" s="3262" t="s">
        <v>3002</v>
      </c>
      <c r="B20" s="3221" t="s">
        <v>3046</v>
      </c>
      <c r="C20" s="3267">
        <f ca="1">ROUND(C19*F20,0)</f>
        <v>0</v>
      </c>
      <c r="D20" s="3288" t="s">
        <v>3047</v>
      </c>
      <c r="E20" s="3221" t="s">
        <v>3023</v>
      </c>
      <c r="F20" s="3280">
        <f>'[1]数据-取费表'!B37</f>
        <v>0</v>
      </c>
      <c r="G20" s="3273"/>
      <c r="H20" s="3262" t="s">
        <v>3024</v>
      </c>
      <c r="I20" s="3220" t="s">
        <v>3048</v>
      </c>
      <c r="J20" s="3289">
        <f ca="1">ROUND(M20*M21,0)</f>
        <v>0</v>
      </c>
      <c r="K20" s="3290" t="s">
        <v>3049</v>
      </c>
      <c r="L20" s="3221" t="s">
        <v>3050</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3010</v>
      </c>
      <c r="B21" s="3221" t="s">
        <v>3051</v>
      </c>
      <c r="C21" s="3267" t="s">
        <v>3052</v>
      </c>
      <c r="D21" s="3288" t="s">
        <v>3053</v>
      </c>
      <c r="E21" s="3221" t="s">
        <v>3054</v>
      </c>
      <c r="F21" s="3280">
        <f>'[1]数据-取费表'!B38</f>
        <v>0</v>
      </c>
      <c r="G21" s="3273"/>
      <c r="H21" s="3292"/>
      <c r="I21" s="3293"/>
      <c r="J21" s="3294"/>
      <c r="K21" s="3295"/>
      <c r="L21" s="3221" t="s">
        <v>3055</v>
      </c>
      <c r="M21" s="3222">
        <f ca="1">INDIRECT("'数据-取费表'!r"&amp;$G$1)</f>
        <v>51071.13</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3056</v>
      </c>
      <c r="B22" s="3221" t="s">
        <v>3057</v>
      </c>
      <c r="C22" s="3267"/>
      <c r="D22" s="3285" t="str">
        <f>IF(F23&lt;=1,"单利计息。","复利计息。")&amp;"建造成本、管理费用、销售费用产生的利息。"</f>
        <v>单利计息。建造成本、管理费用、销售费用产生的利息。</v>
      </c>
      <c r="E22" s="3286"/>
      <c r="F22" s="3282"/>
      <c r="G22" s="3211"/>
      <c r="H22" s="3262" t="s">
        <v>3002</v>
      </c>
      <c r="I22" s="3221" t="s">
        <v>3058</v>
      </c>
      <c r="J22" s="3267">
        <f ca="1">ROUND(J14*M22,0)</f>
        <v>0</v>
      </c>
      <c r="K22" s="3283" t="s">
        <v>3059</v>
      </c>
      <c r="L22" s="3221" t="s">
        <v>3023</v>
      </c>
      <c r="M22" s="3296">
        <f ca="1">INDIRECT("'数据-取费表'!Ak"&amp;$G$1)</f>
        <v>0</v>
      </c>
    </row>
    <row r="23" spans="1:37" s="3279" customFormat="1" ht="18" customHeight="1">
      <c r="A23" s="3262" t="s">
        <v>3015</v>
      </c>
      <c r="B23" s="3221" t="s">
        <v>3060</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3061</v>
      </c>
      <c r="F23" s="3291">
        <f>'[1]数据-取费表'!B20</f>
        <v>0</v>
      </c>
      <c r="G23" s="3273"/>
      <c r="H23" s="3262" t="s">
        <v>3010</v>
      </c>
      <c r="I23" s="3221" t="s">
        <v>3062</v>
      </c>
      <c r="J23" s="3267">
        <f ca="1">ROUND(J13*M23,0)</f>
        <v>0</v>
      </c>
      <c r="K23" s="3283" t="s">
        <v>3063</v>
      </c>
      <c r="L23" s="3221" t="s">
        <v>3023</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3064</v>
      </c>
      <c r="B24" s="3221" t="s">
        <v>3065</v>
      </c>
      <c r="C24" s="3267">
        <f>ROUND(IF('[1]数据-取费表'!B22&lt;=1,F21*F24*F23/2,F21*(POWER((1+F24),F23/2)-1)),4)</f>
        <v>0</v>
      </c>
      <c r="D24" s="3297" t="str">
        <f>IF(F23&lt;=1,"销售费用×利率×(建设周期÷2)","销售费用×((1+利率)^(建设周期÷2)-1)")</f>
        <v>销售费用×利率×(建设周期÷2)</v>
      </c>
      <c r="E24" s="3221" t="s">
        <v>3066</v>
      </c>
      <c r="F24" s="3299">
        <f>'[1]数据-取费表'!B40</f>
        <v>0</v>
      </c>
      <c r="G24" s="3273"/>
      <c r="H24" s="3274" t="s">
        <v>3056</v>
      </c>
      <c r="I24" s="3249" t="s">
        <v>3046</v>
      </c>
      <c r="J24" s="3300">
        <f ca="1">ROUND(J5*M24,0)</f>
        <v>0</v>
      </c>
      <c r="K24" s="3301" t="s">
        <v>3067</v>
      </c>
      <c r="L24" s="3249" t="s">
        <v>3023</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3068</v>
      </c>
      <c r="B25" s="3221" t="s">
        <v>3069</v>
      </c>
      <c r="C25" s="3267"/>
      <c r="D25" s="3285" t="s">
        <v>3070</v>
      </c>
      <c r="E25" s="3286"/>
      <c r="F25" s="3282"/>
      <c r="G25" s="3211"/>
      <c r="H25" s="3253" t="s">
        <v>3071</v>
      </c>
      <c r="I25" s="3302" t="s">
        <v>3072</v>
      </c>
      <c r="J25" s="3255">
        <f ca="1">J5-J16</f>
        <v>-2702684</v>
      </c>
      <c r="K25" s="3303" t="s">
        <v>3073</v>
      </c>
      <c r="L25" s="3304"/>
      <c r="M25" s="3305"/>
    </row>
    <row r="26" spans="1:37" ht="18" customHeight="1">
      <c r="A26" s="3262" t="s">
        <v>3015</v>
      </c>
      <c r="B26" s="3221" t="s">
        <v>3074</v>
      </c>
      <c r="C26" s="3267">
        <f ca="1">ROUND((C19+C20)*F26,0)</f>
        <v>15321340</v>
      </c>
      <c r="D26" s="3288" t="s">
        <v>3075</v>
      </c>
      <c r="E26" s="3232" t="s">
        <v>3076</v>
      </c>
      <c r="F26" s="3231">
        <f ca="1">INDIRECT("'数据-取费表'!q"&amp;$G$1)</f>
        <v>0.05</v>
      </c>
      <c r="G26" s="3211"/>
      <c r="H26" s="3212" t="s">
        <v>3077</v>
      </c>
      <c r="I26" s="3213" t="s">
        <v>3078</v>
      </c>
      <c r="J26" s="3223">
        <f ca="1">IF(J5&lt;&gt;0,ROUND(J25*(1-((1+M28)/(1+M26))^M27)/(M26-M28),0),0)</f>
        <v>0</v>
      </c>
      <c r="K26" s="3290" t="s">
        <v>3079</v>
      </c>
      <c r="L26" s="3221" t="s">
        <v>3080</v>
      </c>
      <c r="M26" s="3231">
        <f ca="1">INDIRECT("'数据-取费表'!I"&amp;$G$1)</f>
        <v>4.4999999999999998E-2</v>
      </c>
    </row>
    <row r="27" spans="1:37" ht="18" customHeight="1">
      <c r="A27" s="3262" t="s">
        <v>3064</v>
      </c>
      <c r="B27" s="3221" t="s">
        <v>3081</v>
      </c>
      <c r="C27" s="3267">
        <f ca="1">ROUND(F21*F26,4)</f>
        <v>0</v>
      </c>
      <c r="D27" s="3288" t="s">
        <v>3082</v>
      </c>
      <c r="E27" s="3271"/>
      <c r="F27" s="3272"/>
      <c r="G27" s="3211"/>
      <c r="H27" s="3229"/>
      <c r="I27" s="3306"/>
      <c r="J27" s="3230"/>
      <c r="K27" s="3307" t="s">
        <v>3083</v>
      </c>
      <c r="L27" s="3221" t="s">
        <v>3084</v>
      </c>
      <c r="M27" s="3308">
        <f ca="1">INDIRECT("'数据-取费表'!ag"&amp;$G$1)</f>
        <v>0</v>
      </c>
    </row>
    <row r="28" spans="1:37" s="3279" customFormat="1" ht="18" customHeight="1">
      <c r="A28" s="3262" t="s">
        <v>3085</v>
      </c>
      <c r="B28" s="3221" t="s">
        <v>3086</v>
      </c>
      <c r="C28" s="3267">
        <f>ROUND(F28/(1+'[1]数据-取费表'!C42),4)</f>
        <v>0</v>
      </c>
      <c r="D28" s="3288" t="s">
        <v>3087</v>
      </c>
      <c r="E28" s="3221" t="s">
        <v>3023</v>
      </c>
      <c r="F28" s="3280">
        <f>'[1]数据-取费表'!B41</f>
        <v>0</v>
      </c>
      <c r="G28" s="3273"/>
      <c r="H28" s="3239"/>
      <c r="I28" s="3309"/>
      <c r="J28" s="3255"/>
      <c r="K28" s="3295"/>
      <c r="L28" s="3221" t="s">
        <v>3088</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3089</v>
      </c>
      <c r="B29" s="3249" t="s">
        <v>3090</v>
      </c>
      <c r="C29" s="3300">
        <f ca="1">ROUND((C19+C20+C23+C26)/(1-F21-C24-C27-C28),0)</f>
        <v>321748132</v>
      </c>
      <c r="D29" s="3301"/>
      <c r="E29" s="3249"/>
      <c r="F29" s="3310"/>
      <c r="G29" s="3273"/>
      <c r="H29" s="3311" t="s">
        <v>3091</v>
      </c>
      <c r="I29" s="3312" t="s">
        <v>3092</v>
      </c>
      <c r="J29" s="3313">
        <f ca="1">ROUND(J26/(1+F40)^F41,0)</f>
        <v>0</v>
      </c>
      <c r="K29" s="3314" t="s">
        <v>3093</v>
      </c>
      <c r="L29" s="3315"/>
      <c r="M29" s="3316">
        <f ca="1">INDIRECT("'数据-取费表'!k"&amp;$G$1)</f>
        <v>127677.83</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3094</v>
      </c>
      <c r="B30" s="3254" t="s">
        <v>3029</v>
      </c>
      <c r="C30" s="3255">
        <f ca="1">ROUND(C31+C36+C37+C38,0)</f>
        <v>2702684</v>
      </c>
      <c r="D30" s="3259" t="s">
        <v>3030</v>
      </c>
      <c r="E30" s="3281"/>
      <c r="F30" s="3217"/>
      <c r="G30" s="3211"/>
      <c r="H30" s="3317"/>
      <c r="I30" s="3318"/>
      <c r="J30" s="3319"/>
      <c r="K30" s="3243"/>
      <c r="L30" s="3320"/>
      <c r="M30" s="3321"/>
    </row>
    <row r="31" spans="1:37" ht="18" customHeight="1">
      <c r="A31" s="3262" t="s">
        <v>2994</v>
      </c>
      <c r="B31" s="3221" t="s">
        <v>3035</v>
      </c>
      <c r="C31" s="3267">
        <f ca="1">ROUND(IF([1]项目基本情况!B11="自然人",C5*F31,C32+C33+C34),0)</f>
        <v>2702684</v>
      </c>
      <c r="D31" s="3264" t="s">
        <v>3036</v>
      </c>
      <c r="E31" s="3283" t="s">
        <v>3037</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3015</v>
      </c>
      <c r="B32" s="3221" t="s">
        <v>3095</v>
      </c>
      <c r="C32" s="3267">
        <f ca="1">IF([1]项目基本情况!B11="自然人","——",ROUND(C5*F32/(1+'[1]数据-取费表'!C42),0))</f>
        <v>0</v>
      </c>
      <c r="D32" s="3283" t="s">
        <v>3096</v>
      </c>
      <c r="E32" s="3221" t="s">
        <v>3023</v>
      </c>
      <c r="F32" s="3299">
        <f>'[1]数据-取费表'!B41</f>
        <v>0</v>
      </c>
      <c r="G32" s="3211"/>
      <c r="H32" s="3317"/>
      <c r="I32" s="3318"/>
      <c r="J32" s="3319"/>
      <c r="K32" s="3243"/>
      <c r="L32" s="3320"/>
      <c r="M32" s="3321"/>
    </row>
    <row r="33" spans="1:18" ht="18" customHeight="1">
      <c r="A33" s="3262" t="s">
        <v>3064</v>
      </c>
      <c r="B33" s="3221" t="s">
        <v>3044</v>
      </c>
      <c r="C33" s="3267">
        <f ca="1">IF([1]项目基本情况!B11="自然人","——",IF(D33="按租金收入计税",ROUND(C5*F33,0),IF(D33="按房产原值计税",ROUND(C29*F33*0.7,0),INDIRECT("'数据-取费表'!Aj"&amp;$G$1))))</f>
        <v>2702684</v>
      </c>
      <c r="D33" s="3287" t="s">
        <v>3045</v>
      </c>
      <c r="E33" s="3221" t="s">
        <v>3023</v>
      </c>
      <c r="F33" s="3280">
        <f>IF(D33="按票据","——",IF(D33="按租金收入计税",'[1]数据-取费表'!B51,'[1]数据-取费表'!B50))</f>
        <v>1.2E-2</v>
      </c>
      <c r="G33" s="3211"/>
      <c r="H33" s="3322"/>
      <c r="I33" s="3323"/>
      <c r="J33" s="3324"/>
      <c r="K33" s="3325"/>
      <c r="L33" s="3322"/>
      <c r="M33" s="3322"/>
    </row>
    <row r="34" spans="1:18" ht="18" customHeight="1">
      <c r="A34" s="3218" t="s">
        <v>3024</v>
      </c>
      <c r="B34" s="3220" t="s">
        <v>3048</v>
      </c>
      <c r="C34" s="3289">
        <f ca="1">IF([1]项目基本情况!B11="自然人","——",ROUND(F34*F35,))</f>
        <v>0</v>
      </c>
      <c r="D34" s="3290" t="s">
        <v>3049</v>
      </c>
      <c r="E34" s="3221" t="s">
        <v>3050</v>
      </c>
      <c r="F34" s="3291">
        <f>'[1]数据-取费表'!B52</f>
        <v>0</v>
      </c>
      <c r="G34" s="3211"/>
      <c r="H34" s="3317"/>
      <c r="I34" s="3323"/>
      <c r="J34" s="3324"/>
      <c r="K34" s="3326"/>
      <c r="L34" s="3327"/>
      <c r="M34" s="3327"/>
    </row>
    <row r="35" spans="1:18" ht="18" customHeight="1">
      <c r="A35" s="3328"/>
      <c r="B35" s="3329"/>
      <c r="C35" s="3294"/>
      <c r="D35" s="3295"/>
      <c r="E35" s="3221" t="s">
        <v>3055</v>
      </c>
      <c r="F35" s="3222">
        <f ca="1">INDIRECT("'数据-取费表'!r"&amp;$G$1)</f>
        <v>51071.13</v>
      </c>
      <c r="G35" s="3211"/>
      <c r="H35" s="3317"/>
      <c r="I35" s="3323"/>
      <c r="J35" s="3324"/>
      <c r="K35" s="3325"/>
      <c r="L35" s="3322"/>
      <c r="M35" s="3322"/>
    </row>
    <row r="36" spans="1:18" ht="18" customHeight="1">
      <c r="A36" s="3330" t="s">
        <v>3002</v>
      </c>
      <c r="B36" s="3221" t="s">
        <v>3058</v>
      </c>
      <c r="C36" s="3267">
        <f ca="1">ROUND(C29*F36,0)</f>
        <v>0</v>
      </c>
      <c r="D36" s="3283" t="s">
        <v>3097</v>
      </c>
      <c r="E36" s="3221" t="s">
        <v>3023</v>
      </c>
      <c r="F36" s="3296">
        <f ca="1">INDIRECT("'数据-取费表'!Ak"&amp;$G$1)</f>
        <v>0</v>
      </c>
      <c r="G36" s="3211"/>
      <c r="H36" s="3322"/>
      <c r="I36" s="3323"/>
      <c r="J36" s="3324"/>
      <c r="K36" s="3331"/>
      <c r="L36" s="3322"/>
      <c r="M36" s="3322"/>
    </row>
    <row r="37" spans="1:18" ht="18" customHeight="1">
      <c r="A37" s="3262" t="s">
        <v>3010</v>
      </c>
      <c r="B37" s="3221" t="s">
        <v>3062</v>
      </c>
      <c r="C37" s="3267">
        <f ca="1">ROUND(C13*F37,0)</f>
        <v>0</v>
      </c>
      <c r="D37" s="3283" t="s">
        <v>3063</v>
      </c>
      <c r="E37" s="3221" t="s">
        <v>3023</v>
      </c>
      <c r="F37" s="3298">
        <f ca="1">INDIRECT("'数据-取费表'!Al"&amp;$G$1)</f>
        <v>0</v>
      </c>
      <c r="G37" s="3211"/>
      <c r="H37" s="3322"/>
      <c r="I37" s="3323"/>
      <c r="J37" s="3324"/>
      <c r="K37" s="3331"/>
      <c r="L37" s="3322"/>
      <c r="M37" s="3322"/>
    </row>
    <row r="38" spans="1:18" ht="18" customHeight="1" thickBot="1">
      <c r="A38" s="3274" t="s">
        <v>3056</v>
      </c>
      <c r="B38" s="3249" t="s">
        <v>3046</v>
      </c>
      <c r="C38" s="3300">
        <f ca="1">ROUND(C5*F38,1)</f>
        <v>0</v>
      </c>
      <c r="D38" s="3301" t="s">
        <v>3067</v>
      </c>
      <c r="E38" s="3249" t="s">
        <v>3023</v>
      </c>
      <c r="F38" s="3250">
        <f ca="1">INDIRECT("'数据-取费表'!Am"&amp;$G$1)</f>
        <v>0</v>
      </c>
      <c r="G38" s="3211"/>
      <c r="H38" s="3322"/>
      <c r="I38" s="3323"/>
      <c r="J38" s="3324"/>
      <c r="K38" s="3332"/>
      <c r="L38" s="3322"/>
      <c r="M38" s="3322"/>
    </row>
    <row r="39" spans="1:18" ht="24.6" customHeight="1" thickTop="1">
      <c r="A39" s="3253" t="s">
        <v>3071</v>
      </c>
      <c r="B39" s="3302" t="s">
        <v>3072</v>
      </c>
      <c r="C39" s="3255">
        <f ca="1">C5-C30</f>
        <v>-2702684</v>
      </c>
      <c r="D39" s="3303" t="s">
        <v>3073</v>
      </c>
      <c r="E39" s="3304"/>
      <c r="F39" s="3305"/>
      <c r="G39" s="3211"/>
      <c r="H39" s="3322"/>
      <c r="I39" s="3323"/>
      <c r="J39" s="3324"/>
      <c r="K39" s="3332"/>
      <c r="L39" s="3322"/>
      <c r="M39" s="3322"/>
    </row>
    <row r="40" spans="1:18" ht="18" customHeight="1">
      <c r="A40" s="3212" t="s">
        <v>3077</v>
      </c>
      <c r="B40" s="3213" t="s">
        <v>3098</v>
      </c>
      <c r="C40" s="3223">
        <f ca="1">ROUND(C39*(1-((1+F42)/(1+F40))^F41)/(F40-F42),0)</f>
        <v>0</v>
      </c>
      <c r="D40" s="3290" t="s">
        <v>3079</v>
      </c>
      <c r="E40" s="3221" t="s">
        <v>3080</v>
      </c>
      <c r="F40" s="3231">
        <f ca="1">INDIRECT("'数据-取费表'!I"&amp;$G$1)</f>
        <v>4.4999999999999998E-2</v>
      </c>
      <c r="G40" s="3211"/>
      <c r="H40" s="3333"/>
      <c r="I40" s="3323"/>
      <c r="J40" s="3324"/>
      <c r="K40" s="3332"/>
      <c r="L40" s="3333"/>
      <c r="M40" s="3333"/>
    </row>
    <row r="41" spans="1:18" ht="18" customHeight="1">
      <c r="A41" s="3229"/>
      <c r="B41" s="3306"/>
      <c r="C41" s="3230"/>
      <c r="D41" s="3307" t="s">
        <v>3083</v>
      </c>
      <c r="E41" s="3221" t="s">
        <v>3084</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3088</v>
      </c>
      <c r="F42" s="3231">
        <f ca="1">INDIRECT("'数据-取费表'!v"&amp;$G$1)</f>
        <v>0</v>
      </c>
      <c r="G42" s="3211"/>
      <c r="H42" s="3334"/>
      <c r="I42" s="3323"/>
      <c r="J42" s="3324"/>
      <c r="K42" s="3331"/>
      <c r="L42" s="3334"/>
      <c r="M42" s="3334"/>
    </row>
    <row r="43" spans="1:18" ht="18" customHeight="1" thickBot="1">
      <c r="A43" s="3311" t="s">
        <v>3091</v>
      </c>
      <c r="B43" s="3312" t="s">
        <v>3099</v>
      </c>
      <c r="C43" s="3313">
        <f ca="1">ROUND(C40/F43,0)</f>
        <v>0</v>
      </c>
      <c r="D43" s="3314" t="s">
        <v>3100</v>
      </c>
      <c r="E43" s="3315" t="s">
        <v>3101</v>
      </c>
      <c r="F43" s="3316">
        <f ca="1">INDIRECT("'数据-取费表'!k"&amp;$G$1)</f>
        <v>127677.83</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3102</v>
      </c>
      <c r="E45" s="3335"/>
      <c r="F45" s="3335"/>
      <c r="O45" s="3340" t="s">
        <v>3103</v>
      </c>
      <c r="P45" s="3333"/>
      <c r="Q45" s="3333"/>
      <c r="R45" s="3333"/>
    </row>
    <row r="46" spans="1:18" s="3202" customFormat="1" ht="13.5" thickBot="1">
      <c r="A46" s="3341" t="s">
        <v>3104</v>
      </c>
      <c r="C46" s="3342">
        <f ca="1">ROUND(C45/10000,0)</f>
        <v>0</v>
      </c>
      <c r="D46" s="3343" t="str">
        <f>C2</f>
        <v>万元</v>
      </c>
      <c r="I46" s="3344" t="s">
        <v>3105</v>
      </c>
      <c r="J46" s="3345"/>
      <c r="K46" s="3346"/>
      <c r="L46" s="3347" t="e">
        <f ca="1">IF(M47="住宅",0,IF(L48&gt;J51,L60,J60))</f>
        <v>#DIV/0!</v>
      </c>
      <c r="O46" s="3348" t="s">
        <v>3106</v>
      </c>
      <c r="P46" s="3349" t="s">
        <v>3107</v>
      </c>
      <c r="Q46" s="3350" t="s">
        <v>3108</v>
      </c>
      <c r="R46" s="3350" t="s">
        <v>3109</v>
      </c>
    </row>
    <row r="47" spans="1:18" s="3202" customFormat="1" ht="13.5" thickBot="1">
      <c r="A47" s="3351" t="s">
        <v>2988</v>
      </c>
      <c r="B47" s="3352" t="s">
        <v>2989</v>
      </c>
      <c r="C47" s="3352" t="s">
        <v>2990</v>
      </c>
      <c r="D47" s="3352" t="s">
        <v>2991</v>
      </c>
      <c r="E47" s="3353" t="s">
        <v>2987</v>
      </c>
      <c r="F47" s="3354"/>
      <c r="G47" s="3355"/>
      <c r="I47" s="3356" t="s">
        <v>3110</v>
      </c>
      <c r="J47" s="3357"/>
      <c r="K47" s="3358" t="s">
        <v>3111</v>
      </c>
      <c r="L47" s="3359">
        <f ca="1">INDIRECT("'数据-取费表'!d"&amp;$G$1)</f>
        <v>70</v>
      </c>
      <c r="M47" s="3360" t="str">
        <f>IF(ISNUMBER(FIND("住宅",C1)),"住宅","非住宅")</f>
        <v>非住宅</v>
      </c>
      <c r="O47" s="3361" t="s">
        <v>2379</v>
      </c>
      <c r="P47" s="3362" t="s">
        <v>3112</v>
      </c>
      <c r="Q47" s="3363">
        <f ca="1">C40+J29</f>
        <v>0</v>
      </c>
      <c r="R47" s="3363" t="s">
        <v>3113</v>
      </c>
    </row>
    <row r="48" spans="1:18" s="3202" customFormat="1" ht="28.5" thickBot="1">
      <c r="A48" s="3364" t="s">
        <v>3114</v>
      </c>
      <c r="B48" s="3213" t="s">
        <v>2992</v>
      </c>
      <c r="C48" s="3365">
        <f ca="1">C49+C53+C55</f>
        <v>0</v>
      </c>
      <c r="D48" s="3366"/>
      <c r="E48" s="3367"/>
      <c r="F48" s="3368"/>
      <c r="G48" s="3355"/>
      <c r="H48" s="3369"/>
      <c r="I48" s="3370" t="s">
        <v>3115</v>
      </c>
      <c r="J48" s="3371"/>
      <c r="K48" s="3372" t="s">
        <v>3116</v>
      </c>
      <c r="L48" s="3373">
        <f ca="1">INDIRECT("'数据-取费表'!f"&amp;$G$1)</f>
        <v>70</v>
      </c>
      <c r="O48" s="3361" t="s">
        <v>2381</v>
      </c>
      <c r="P48" s="3362" t="s">
        <v>3117</v>
      </c>
      <c r="Q48" s="3363" t="str">
        <f ca="1">J60</f>
        <v>0</v>
      </c>
      <c r="R48" s="3363" t="s">
        <v>3118</v>
      </c>
    </row>
    <row r="49" spans="1:18" s="3202" customFormat="1" ht="13.5" thickBot="1">
      <c r="A49" s="3374" t="s">
        <v>3119</v>
      </c>
      <c r="B49" s="3375" t="s">
        <v>3120</v>
      </c>
      <c r="C49" s="3376">
        <f ca="1">ROUND(F49*F51*F50*(1-F52),0)</f>
        <v>0</v>
      </c>
      <c r="D49" s="3377" t="s">
        <v>3121</v>
      </c>
      <c r="E49" s="3378" t="s">
        <v>3122</v>
      </c>
      <c r="F49" s="3379"/>
      <c r="G49" s="3380"/>
      <c r="H49" s="3369"/>
      <c r="I49" s="3370" t="s">
        <v>3123</v>
      </c>
      <c r="J49" s="3381"/>
      <c r="K49" s="3372" t="s">
        <v>3124</v>
      </c>
      <c r="L49" s="3382"/>
      <c r="O49" s="3383" t="s">
        <v>2383</v>
      </c>
      <c r="P49" s="3362" t="s">
        <v>3125</v>
      </c>
      <c r="Q49" s="3363">
        <f ca="1">C29</f>
        <v>321748132</v>
      </c>
      <c r="R49" s="3363" t="s">
        <v>3113</v>
      </c>
    </row>
    <row r="50" spans="1:18" s="3202" customFormat="1" ht="13.5" thickBot="1">
      <c r="A50" s="3384"/>
      <c r="B50" s="3385"/>
      <c r="C50" s="3386"/>
      <c r="D50" s="3387"/>
      <c r="E50" s="3388" t="s">
        <v>2999</v>
      </c>
      <c r="F50" s="3389">
        <f ca="1">F7</f>
        <v>127677.83</v>
      </c>
      <c r="H50" s="3369"/>
      <c r="I50" s="3370" t="s">
        <v>3126</v>
      </c>
      <c r="J50" s="3390">
        <f>SUMPRODUCT((I63:I65=J47)*(J62:L62=J48)*(J63:L65))</f>
        <v>0</v>
      </c>
      <c r="K50" s="3372" t="s">
        <v>3127</v>
      </c>
      <c r="L50" s="3382"/>
      <c r="M50" s="3391"/>
      <c r="O50" s="3383" t="s">
        <v>2384</v>
      </c>
      <c r="P50" s="3362" t="s">
        <v>3128</v>
      </c>
      <c r="Q50" s="3392" t="e">
        <f ca="1">J58</f>
        <v>#VALUE!</v>
      </c>
      <c r="R50" s="3363"/>
    </row>
    <row r="51" spans="1:18" s="3202" customFormat="1" ht="13.5" thickBot="1">
      <c r="A51" s="3393"/>
      <c r="B51" s="3385"/>
      <c r="C51" s="3386"/>
      <c r="D51" s="3387"/>
      <c r="E51" s="3394" t="s">
        <v>3000</v>
      </c>
      <c r="F51" s="3222">
        <f ca="1">F8</f>
        <v>0</v>
      </c>
      <c r="I51" s="3395" t="s">
        <v>3129</v>
      </c>
      <c r="J51" s="3396">
        <f>IF(J49="",J50,J49+J50-YEAR('[1]数据-取费表'!B2))</f>
        <v>0</v>
      </c>
      <c r="K51" s="3397" t="s">
        <v>3130</v>
      </c>
      <c r="L51" s="3398">
        <f ca="1">ROUND(-PV(INDIRECT("'数据-取费表'!h"&amp;$G$1),L48,(C39-C13*C76),0),0)</f>
        <v>-63227981</v>
      </c>
      <c r="M51" s="3399"/>
      <c r="O51" s="3383" t="s">
        <v>2386</v>
      </c>
      <c r="P51" s="3362" t="s">
        <v>3131</v>
      </c>
      <c r="Q51" s="3392">
        <f>J52</f>
        <v>0</v>
      </c>
      <c r="R51" s="3363"/>
    </row>
    <row r="52" spans="1:18" s="3202" customFormat="1" ht="13.5" thickBot="1">
      <c r="A52" s="3393"/>
      <c r="B52" s="3385"/>
      <c r="C52" s="3386"/>
      <c r="D52" s="3387"/>
      <c r="E52" s="3394" t="s">
        <v>3001</v>
      </c>
      <c r="F52" s="3400"/>
      <c r="I52" s="3401" t="s">
        <v>3132</v>
      </c>
      <c r="J52" s="3402"/>
      <c r="K52" s="3401" t="s">
        <v>3133</v>
      </c>
      <c r="L52" s="3402"/>
      <c r="O52" s="3383" t="s">
        <v>2388</v>
      </c>
      <c r="P52" s="3362" t="s">
        <v>3134</v>
      </c>
      <c r="Q52" s="3363" t="b">
        <f>J53</f>
        <v>0</v>
      </c>
      <c r="R52" s="3363" t="s">
        <v>3135</v>
      </c>
    </row>
    <row r="53" spans="1:18" s="3202" customFormat="1" ht="30.75" customHeight="1" thickBot="1">
      <c r="A53" s="3403" t="s">
        <v>3136</v>
      </c>
      <c r="B53" s="3288" t="s">
        <v>3003</v>
      </c>
      <c r="C53" s="3235">
        <f>ROUND(IF(F53="押一",F49*F51*F50/12*F11,IF(F53="押二",F49*F51*F50/12*2*F11,IF(F53="押三",F49*F51*F50/12*3*F11,C54*F11))),0)</f>
        <v>0</v>
      </c>
      <c r="D53" s="3236" t="s">
        <v>3137</v>
      </c>
      <c r="E53" s="3232" t="s">
        <v>3005</v>
      </c>
      <c r="F53" s="3237"/>
      <c r="I53" s="3404" t="s">
        <v>3138</v>
      </c>
      <c r="J53" s="3405" t="b">
        <f>IF(M47="住宅",J51,IF(D1="——",MIN(J51,L48),IF(D1="在建（套用方法）",MIN(J51,L48-'[1]数据-取费表'!B24),IF(D1="土地（套用方法）",MIN(J51,L48-'[1]数据-取费表'!B20)))))</f>
        <v>0</v>
      </c>
      <c r="K53" s="3497" t="s">
        <v>3139</v>
      </c>
      <c r="L53" s="3498"/>
      <c r="O53" s="3361" t="s">
        <v>2391</v>
      </c>
      <c r="P53" s="3362" t="s">
        <v>3140</v>
      </c>
      <c r="Q53" s="3363">
        <f ca="1">Q47+Q48</f>
        <v>0</v>
      </c>
      <c r="R53" s="3363" t="s">
        <v>2392</v>
      </c>
    </row>
    <row r="54" spans="1:18" s="3202" customFormat="1" ht="13.5" thickBot="1">
      <c r="A54" s="3374"/>
      <c r="B54" s="3406" t="s">
        <v>3009</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3141</v>
      </c>
      <c r="P54" s="3333"/>
      <c r="Q54" s="3333"/>
      <c r="R54" s="3333"/>
    </row>
    <row r="55" spans="1:18" s="3202" customFormat="1" ht="13.5" thickBot="1">
      <c r="A55" s="3245" t="s">
        <v>3010</v>
      </c>
      <c r="B55" s="3246" t="s">
        <v>3011</v>
      </c>
      <c r="C55" s="3247"/>
      <c r="D55" s="3236"/>
      <c r="E55" s="3407"/>
      <c r="F55" s="3408"/>
      <c r="I55" s="3411" t="s">
        <v>3142</v>
      </c>
      <c r="J55" s="3412" t="e">
        <f ca="1">ROUND(IF(J47="钢混",J57/J50,1-(1-2%)*(J50-J57)/J50),3)</f>
        <v>#VALUE!</v>
      </c>
      <c r="K55" s="3413" t="s">
        <v>3143</v>
      </c>
      <c r="L55" s="3414"/>
      <c r="O55" s="3348" t="s">
        <v>3106</v>
      </c>
      <c r="P55" s="3349" t="s">
        <v>3107</v>
      </c>
      <c r="Q55" s="3350" t="s">
        <v>3108</v>
      </c>
      <c r="R55" s="3350" t="s">
        <v>3109</v>
      </c>
    </row>
    <row r="56" spans="1:18" s="3202" customFormat="1" ht="36" customHeight="1" thickTop="1" thickBot="1">
      <c r="A56" s="3415">
        <v>2</v>
      </c>
      <c r="B56" s="3416" t="s">
        <v>3012</v>
      </c>
      <c r="C56" s="3417">
        <f ca="1">C13</f>
        <v>0</v>
      </c>
      <c r="D56" s="3418"/>
      <c r="E56" s="3419"/>
      <c r="F56" s="3408"/>
      <c r="I56" s="3420" t="s">
        <v>3144</v>
      </c>
      <c r="J56" s="3421"/>
      <c r="K56" s="3370" t="s">
        <v>3145</v>
      </c>
      <c r="L56" s="3373">
        <f ca="1">IF(L48&lt;J51,"——",L48-J51)</f>
        <v>70</v>
      </c>
      <c r="O56" s="3361" t="s">
        <v>2379</v>
      </c>
      <c r="P56" s="3362" t="s">
        <v>3112</v>
      </c>
      <c r="Q56" s="3363">
        <f ca="1">C40+J29</f>
        <v>0</v>
      </c>
      <c r="R56" s="3363" t="s">
        <v>3113</v>
      </c>
    </row>
    <row r="57" spans="1:18" s="3202" customFormat="1" ht="24.75" thickBot="1">
      <c r="A57" s="3422"/>
      <c r="B57" s="3423" t="s">
        <v>3090</v>
      </c>
      <c r="C57" s="3424">
        <f ca="1">C29</f>
        <v>321748132</v>
      </c>
      <c r="D57" s="3425"/>
      <c r="E57" s="3426"/>
      <c r="F57" s="3427"/>
      <c r="I57" s="3428" t="s">
        <v>3146</v>
      </c>
      <c r="J57" s="3429" t="str">
        <f ca="1">IF(OR(M47="住宅",J51&lt;L48,J56="是"),"——",J51-L48)</f>
        <v>——</v>
      </c>
      <c r="K57" s="3370" t="s">
        <v>3147</v>
      </c>
      <c r="L57" s="3373">
        <f ca="1">IF(L48&lt;J51,"——",IF(L55="比较法",L49,IF(L55="基准地价",L50,L51)))</f>
        <v>-63227981</v>
      </c>
      <c r="O57" s="3361" t="s">
        <v>2381</v>
      </c>
      <c r="P57" s="3362" t="s">
        <v>3148</v>
      </c>
      <c r="Q57" s="3363" t="e">
        <f ca="1">L60</f>
        <v>#DIV/0!</v>
      </c>
      <c r="R57" s="3363" t="s">
        <v>3149</v>
      </c>
    </row>
    <row r="58" spans="1:18" s="3202" customFormat="1" ht="24.75" thickBot="1">
      <c r="A58" s="3430" t="s">
        <v>3094</v>
      </c>
      <c r="B58" s="3416" t="s">
        <v>3029</v>
      </c>
      <c r="C58" s="3235">
        <f ca="1">ROUND(C59+C64+C65+C66,0)</f>
        <v>2702684</v>
      </c>
      <c r="D58" s="3431" t="s">
        <v>3030</v>
      </c>
      <c r="E58" s="3432"/>
      <c r="F58" s="3368"/>
      <c r="I58" s="3428" t="s">
        <v>3150</v>
      </c>
      <c r="J58" s="3433" t="e">
        <f ca="1">IF(J55&lt;0.4,0.4,J55)</f>
        <v>#VALUE!</v>
      </c>
      <c r="K58" s="3397" t="s">
        <v>3151</v>
      </c>
      <c r="L58" s="3373" t="e">
        <f ca="1">ROUND(POWER(1+L52,L47-L48)*(POWER(1+L52,L48)-1)/(POWER(1+L52,L47)-1),4)</f>
        <v>#DIV/0!</v>
      </c>
      <c r="O58" s="3383" t="s">
        <v>2383</v>
      </c>
      <c r="P58" s="3362" t="s">
        <v>3152</v>
      </c>
      <c r="Q58" s="3363">
        <f>IF(L55="比较法",L49,IF(L55="基准地价",L50,0))</f>
        <v>0</v>
      </c>
      <c r="R58" s="3363" t="s">
        <v>3113</v>
      </c>
    </row>
    <row r="59" spans="1:18" s="3202" customFormat="1" ht="24.75" thickBot="1">
      <c r="A59" s="3262" t="s">
        <v>2994</v>
      </c>
      <c r="B59" s="3423" t="s">
        <v>3035</v>
      </c>
      <c r="C59" s="3267">
        <f ca="1">ROUND(IF([1]项目基本情况!B11="自然人",C48*F59,C60+C61+C62),0)</f>
        <v>2702684</v>
      </c>
      <c r="D59" s="3434" t="s">
        <v>3036</v>
      </c>
      <c r="E59" s="3435" t="s">
        <v>3037</v>
      </c>
      <c r="F59" s="3284">
        <f ca="1">IF([1]项目基本情况!B11="企业","",IF(INDIRECT("'数据-取费表'!c"&amp;$G$1)="住宅",5%,IF(F49*F50*F51/12/(1+'[1]数据-取费表'!C42)&gt;20000,12%,7%)))</f>
        <v>0.05</v>
      </c>
      <c r="I59" s="3428" t="s">
        <v>3153</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2384</v>
      </c>
      <c r="P59" s="3362" t="s">
        <v>3154</v>
      </c>
      <c r="Q59" s="3392">
        <f>L52</f>
        <v>0</v>
      </c>
      <c r="R59" s="3363"/>
    </row>
    <row r="60" spans="1:18" s="3202" customFormat="1" ht="16.5" thickBot="1">
      <c r="A60" s="3262" t="s">
        <v>3015</v>
      </c>
      <c r="B60" s="3423" t="s">
        <v>3095</v>
      </c>
      <c r="C60" s="3267">
        <f ca="1">IF([1]项目基本情况!B11="自然人","——",ROUND(C48*F60/(1+'[1]数据-取费表'!C42),0))</f>
        <v>0</v>
      </c>
      <c r="D60" s="3435" t="s">
        <v>3096</v>
      </c>
      <c r="E60" s="3423" t="s">
        <v>3023</v>
      </c>
      <c r="F60" s="3299">
        <f t="shared" ref="F60:F66" si="0">F32</f>
        <v>0</v>
      </c>
      <c r="I60" s="3436" t="s">
        <v>3155</v>
      </c>
      <c r="J60" s="3437" t="str">
        <f ca="1">IF(OR(M47="住宅",J51&lt;L48,J56="是"),"0",ROUND(J59/(1+J52)^J53,0))</f>
        <v>0</v>
      </c>
      <c r="K60" s="3438" t="s">
        <v>3156</v>
      </c>
      <c r="L60" s="3437" t="e">
        <f ca="1">IF(OR(M47="住宅",L48&lt;J51),0,ROUND(L57*(L58/L59-1),0))</f>
        <v>#DIV/0!</v>
      </c>
      <c r="O60" s="3383" t="s">
        <v>2386</v>
      </c>
      <c r="P60" s="3362" t="s">
        <v>3157</v>
      </c>
      <c r="Q60" s="3363" t="e">
        <f ca="1">L58</f>
        <v>#DIV/0!</v>
      </c>
      <c r="R60" s="3363" t="s">
        <v>3158</v>
      </c>
    </row>
    <row r="61" spans="1:18" s="3202" customFormat="1" ht="13.5" thickBot="1">
      <c r="A61" s="3262" t="s">
        <v>3159</v>
      </c>
      <c r="B61" s="3423" t="s">
        <v>3044</v>
      </c>
      <c r="C61" s="3267">
        <f ca="1">IF([1]项目基本情况!B11="自然人","——",IF(D61="按租金收入计税",ROUND(C48*F61,0),IF(D61="按房产原值计税",ROUND(C57*F61*0.7,0),INDIRECT("'数据-取费表'!Aj"&amp;$G$1))))</f>
        <v>2702684</v>
      </c>
      <c r="D61" s="3287" t="s">
        <v>3045</v>
      </c>
      <c r="E61" s="3423" t="s">
        <v>3023</v>
      </c>
      <c r="F61" s="3280">
        <f t="shared" si="0"/>
        <v>1.2E-2</v>
      </c>
      <c r="I61" s="3439"/>
      <c r="J61" s="3439"/>
      <c r="K61" s="3439"/>
      <c r="L61" s="3439"/>
      <c r="O61" s="3383" t="s">
        <v>2388</v>
      </c>
      <c r="P61" s="3362" t="str">
        <f>K59</f>
        <v>建设期及建筑物耐用年限下的土地年期修正系数Kn</v>
      </c>
      <c r="Q61" s="3363" t="e">
        <f ca="1">L59</f>
        <v>#DIV/0!</v>
      </c>
      <c r="R61" s="3363" t="s">
        <v>3160</v>
      </c>
    </row>
    <row r="62" spans="1:18" s="3202" customFormat="1" ht="13.5" thickBot="1">
      <c r="A62" s="3262" t="s">
        <v>3161</v>
      </c>
      <c r="B62" s="3440" t="s">
        <v>3048</v>
      </c>
      <c r="C62" s="3289">
        <f ca="1">IF([1]项目基本情况!B11="自然人","——",ROUND(F62*F63,0))</f>
        <v>0</v>
      </c>
      <c r="D62" s="3441" t="s">
        <v>3049</v>
      </c>
      <c r="E62" s="3423" t="s">
        <v>3050</v>
      </c>
      <c r="F62" s="3291">
        <f t="shared" si="0"/>
        <v>0</v>
      </c>
      <c r="I62" s="3442" t="s">
        <v>3162</v>
      </c>
      <c r="J62" s="3443" t="s">
        <v>3163</v>
      </c>
      <c r="K62" s="3443" t="s">
        <v>3164</v>
      </c>
      <c r="L62" s="3443" t="s">
        <v>3165</v>
      </c>
      <c r="M62" s="3444" t="s">
        <v>3166</v>
      </c>
      <c r="O62" s="3361" t="s">
        <v>2391</v>
      </c>
      <c r="P62" s="3362" t="s">
        <v>3140</v>
      </c>
      <c r="Q62" s="3363" t="e">
        <f ca="1">Q56+Q57</f>
        <v>#DIV/0!</v>
      </c>
      <c r="R62" s="3363" t="s">
        <v>2392</v>
      </c>
    </row>
    <row r="63" spans="1:18" s="3202" customFormat="1" ht="13.5" thickBot="1">
      <c r="A63" s="3292"/>
      <c r="B63" s="3445"/>
      <c r="C63" s="3294"/>
      <c r="D63" s="3446"/>
      <c r="E63" s="3423" t="s">
        <v>3055</v>
      </c>
      <c r="F63" s="3222">
        <f t="shared" ca="1" si="0"/>
        <v>51071.13</v>
      </c>
      <c r="I63" s="3442" t="s">
        <v>3167</v>
      </c>
      <c r="J63" s="3443">
        <v>70</v>
      </c>
      <c r="K63" s="3443">
        <v>50</v>
      </c>
      <c r="L63" s="3443">
        <v>80</v>
      </c>
      <c r="M63" s="3447">
        <v>0.02</v>
      </c>
      <c r="O63" s="3340" t="s">
        <v>3168</v>
      </c>
      <c r="P63" s="3333"/>
      <c r="Q63" s="3333"/>
      <c r="R63" s="3333"/>
    </row>
    <row r="64" spans="1:18" s="3202" customFormat="1" ht="13.5" thickBot="1">
      <c r="A64" s="3262" t="s">
        <v>3002</v>
      </c>
      <c r="B64" s="3423" t="s">
        <v>3058</v>
      </c>
      <c r="C64" s="3267">
        <f ca="1">ROUND(C57*F64,0)</f>
        <v>0</v>
      </c>
      <c r="D64" s="3435" t="s">
        <v>3097</v>
      </c>
      <c r="E64" s="3423" t="s">
        <v>3023</v>
      </c>
      <c r="F64" s="3296">
        <f t="shared" ca="1" si="0"/>
        <v>0</v>
      </c>
      <c r="I64" s="3442" t="s">
        <v>3169</v>
      </c>
      <c r="J64" s="3443">
        <v>50</v>
      </c>
      <c r="K64" s="3443">
        <v>35</v>
      </c>
      <c r="L64" s="3443">
        <v>60</v>
      </c>
      <c r="M64" s="3444">
        <v>0</v>
      </c>
      <c r="O64" s="3348" t="s">
        <v>3106</v>
      </c>
      <c r="P64" s="3349" t="s">
        <v>3107</v>
      </c>
      <c r="Q64" s="3350" t="s">
        <v>3108</v>
      </c>
      <c r="R64" s="3350" t="s">
        <v>3109</v>
      </c>
    </row>
    <row r="65" spans="1:18" s="3202" customFormat="1" ht="13.5" thickBot="1">
      <c r="A65" s="3262" t="s">
        <v>3170</v>
      </c>
      <c r="B65" s="3423" t="s">
        <v>3062</v>
      </c>
      <c r="C65" s="3267">
        <f ca="1">ROUND(C56*F65,0)</f>
        <v>0</v>
      </c>
      <c r="D65" s="3435" t="s">
        <v>3063</v>
      </c>
      <c r="E65" s="3423" t="s">
        <v>3023</v>
      </c>
      <c r="F65" s="3298">
        <f t="shared" ca="1" si="0"/>
        <v>0</v>
      </c>
      <c r="I65" s="3442" t="s">
        <v>3171</v>
      </c>
      <c r="J65" s="3443">
        <v>40</v>
      </c>
      <c r="K65" s="3443">
        <v>30</v>
      </c>
      <c r="L65" s="3443">
        <v>50</v>
      </c>
      <c r="M65" s="3447">
        <v>0.02</v>
      </c>
      <c r="O65" s="3361" t="s">
        <v>2379</v>
      </c>
      <c r="P65" s="3362" t="s">
        <v>3112</v>
      </c>
      <c r="Q65" s="3363">
        <f ca="1">C40+J29</f>
        <v>0</v>
      </c>
      <c r="R65" s="3363" t="s">
        <v>3113</v>
      </c>
    </row>
    <row r="66" spans="1:18" s="3202" customFormat="1" ht="16.5" thickBot="1">
      <c r="A66" s="3262" t="s">
        <v>3172</v>
      </c>
      <c r="B66" s="3423" t="s">
        <v>3046</v>
      </c>
      <c r="C66" s="3267">
        <f ca="1">ROUND(C48*F66,0)</f>
        <v>0</v>
      </c>
      <c r="D66" s="3435" t="s">
        <v>3067</v>
      </c>
      <c r="E66" s="3423" t="s">
        <v>3023</v>
      </c>
      <c r="F66" s="3231">
        <f t="shared" ca="1" si="0"/>
        <v>0</v>
      </c>
      <c r="O66" s="3361" t="s">
        <v>2381</v>
      </c>
      <c r="P66" s="3362" t="s">
        <v>3148</v>
      </c>
      <c r="Q66" s="3363" t="e">
        <f ca="1">L60</f>
        <v>#DIV/0!</v>
      </c>
      <c r="R66" s="3363" t="s">
        <v>3173</v>
      </c>
    </row>
    <row r="67" spans="1:18" s="3202" customFormat="1" ht="16.5" thickBot="1">
      <c r="A67" s="3415" t="s">
        <v>3071</v>
      </c>
      <c r="B67" s="3448" t="s">
        <v>3072</v>
      </c>
      <c r="C67" s="3235">
        <f ca="1">C48-C58</f>
        <v>-2702684</v>
      </c>
      <c r="D67" s="3434" t="s">
        <v>3073</v>
      </c>
      <c r="E67" s="3449"/>
      <c r="F67" s="3450"/>
      <c r="O67" s="3383" t="s">
        <v>2383</v>
      </c>
      <c r="P67" s="3362" t="s">
        <v>3152</v>
      </c>
      <c r="Q67" s="3451">
        <f ca="1">L51</f>
        <v>-63227981</v>
      </c>
      <c r="R67" s="3363" t="s">
        <v>3174</v>
      </c>
    </row>
    <row r="68" spans="1:18" s="3202" customFormat="1" ht="16.5" thickBot="1">
      <c r="A68" s="3452" t="s">
        <v>3077</v>
      </c>
      <c r="B68" s="3453" t="s">
        <v>3098</v>
      </c>
      <c r="C68" s="3223">
        <f ca="1">ROUND(C67*(1-((1+F70)/(1+F68))^F69)/(F68-F70),0)</f>
        <v>0</v>
      </c>
      <c r="D68" s="3441" t="s">
        <v>3079</v>
      </c>
      <c r="E68" s="3423" t="s">
        <v>3080</v>
      </c>
      <c r="F68" s="3231">
        <f ca="1">F40</f>
        <v>4.4999999999999998E-2</v>
      </c>
      <c r="O68" s="3383" t="s">
        <v>2384</v>
      </c>
      <c r="P68" s="3454" t="s">
        <v>3175</v>
      </c>
      <c r="Q68" s="3363">
        <f ca="1">ROUND(Q69-Q70*Q71,0)</f>
        <v>-2702684</v>
      </c>
      <c r="R68" s="3363" t="s">
        <v>3176</v>
      </c>
    </row>
    <row r="69" spans="1:18" s="3202" customFormat="1" ht="13.5" thickBot="1">
      <c r="A69" s="3455"/>
      <c r="B69" s="3456"/>
      <c r="C69" s="3230"/>
      <c r="D69" s="3457" t="s">
        <v>3083</v>
      </c>
      <c r="E69" s="3423" t="s">
        <v>3084</v>
      </c>
      <c r="F69" s="3308">
        <f ca="1">F41</f>
        <v>0</v>
      </c>
      <c r="O69" s="3383" t="s">
        <v>2399</v>
      </c>
      <c r="P69" s="3454" t="s">
        <v>3177</v>
      </c>
      <c r="Q69" s="3363">
        <f ca="1">C39</f>
        <v>-2702684</v>
      </c>
      <c r="R69" s="3363" t="s">
        <v>3113</v>
      </c>
    </row>
    <row r="70" spans="1:18" s="3202" customFormat="1" ht="13.5" thickBot="1">
      <c r="A70" s="3458"/>
      <c r="B70" s="3459"/>
      <c r="C70" s="3255"/>
      <c r="D70" s="3446"/>
      <c r="E70" s="3423" t="s">
        <v>3088</v>
      </c>
      <c r="F70" s="3400">
        <f ca="1">F42</f>
        <v>0</v>
      </c>
      <c r="O70" s="3383" t="s">
        <v>2401</v>
      </c>
      <c r="P70" s="3454" t="s">
        <v>3178</v>
      </c>
      <c r="Q70" s="3363">
        <f ca="1">C13</f>
        <v>0</v>
      </c>
      <c r="R70" s="3363" t="s">
        <v>3113</v>
      </c>
    </row>
    <row r="71" spans="1:18" s="3202" customFormat="1" ht="13.5" thickBot="1">
      <c r="A71" s="3460" t="s">
        <v>3091</v>
      </c>
      <c r="B71" s="3461" t="s">
        <v>3099</v>
      </c>
      <c r="C71" s="3313">
        <f ca="1">ROUND(C68/F71,0)</f>
        <v>0</v>
      </c>
      <c r="D71" s="3462" t="s">
        <v>3100</v>
      </c>
      <c r="E71" s="3463" t="s">
        <v>3101</v>
      </c>
      <c r="F71" s="3316">
        <f ca="1">F43</f>
        <v>127677.83</v>
      </c>
      <c r="O71" s="3383" t="s">
        <v>2403</v>
      </c>
      <c r="P71" s="3454" t="s">
        <v>3179</v>
      </c>
      <c r="Q71" s="3392">
        <f ca="1">C76</f>
        <v>0.08</v>
      </c>
      <c r="R71" s="3363"/>
    </row>
    <row r="72" spans="1:18" s="3202" customFormat="1" ht="13.5" thickBot="1">
      <c r="B72" s="3464"/>
      <c r="C72" s="3464"/>
      <c r="O72" s="3383" t="s">
        <v>2386</v>
      </c>
      <c r="P72" s="3362" t="s">
        <v>3154</v>
      </c>
      <c r="Q72" s="3392">
        <f>L52</f>
        <v>0</v>
      </c>
      <c r="R72" s="3363"/>
    </row>
    <row r="73" spans="1:18" ht="16.5" thickBot="1">
      <c r="A73" s="3202"/>
      <c r="B73" s="3464"/>
      <c r="C73" s="3464"/>
      <c r="D73" s="3202"/>
      <c r="E73" s="3202"/>
      <c r="F73" s="3202"/>
      <c r="O73" s="3383" t="s">
        <v>2388</v>
      </c>
      <c r="P73" s="3362" t="s">
        <v>3157</v>
      </c>
      <c r="Q73" s="3363" t="e">
        <f ca="1">L58</f>
        <v>#DIV/0!</v>
      </c>
      <c r="R73" s="3363" t="s">
        <v>3158</v>
      </c>
    </row>
    <row r="74" spans="1:18" ht="13.5" thickBot="1">
      <c r="A74" s="3202"/>
      <c r="B74" s="3466" t="s">
        <v>3180</v>
      </c>
      <c r="C74" s="3467"/>
      <c r="D74" s="3202"/>
      <c r="E74" s="3202"/>
      <c r="F74" s="3202"/>
      <c r="O74" s="3383" t="s">
        <v>3181</v>
      </c>
      <c r="P74" s="3362" t="str">
        <f>K59</f>
        <v>建设期及建筑物耐用年限下的土地年期修正系数Kn</v>
      </c>
      <c r="Q74" s="3363" t="e">
        <f ca="1">L59</f>
        <v>#DIV/0!</v>
      </c>
      <c r="R74" s="3363" t="s">
        <v>3160</v>
      </c>
    </row>
    <row r="75" spans="1:18" ht="13.5" thickBot="1">
      <c r="A75" s="3202"/>
      <c r="B75" s="3468" t="s">
        <v>3182</v>
      </c>
      <c r="C75" s="3469">
        <f ca="1">ROUND(C13*C76,0)</f>
        <v>0</v>
      </c>
      <c r="D75" s="3202"/>
      <c r="E75" s="3202"/>
      <c r="F75" s="3202"/>
      <c r="K75" s="3337"/>
      <c r="L75" s="3202"/>
      <c r="O75" s="3361" t="s">
        <v>2391</v>
      </c>
      <c r="P75" s="3362" t="s">
        <v>3140</v>
      </c>
      <c r="Q75" s="3363" t="e">
        <f ca="1">Q65+Q66</f>
        <v>#DIV/0!</v>
      </c>
      <c r="R75" s="3363" t="s">
        <v>2392</v>
      </c>
    </row>
    <row r="76" spans="1:18">
      <c r="B76" s="3470" t="s">
        <v>3183</v>
      </c>
      <c r="C76" s="3471">
        <f ca="1">INDIRECT("'数据-取费表'!j"&amp;$G$1)</f>
        <v>0.08</v>
      </c>
      <c r="I76" s="3202"/>
      <c r="J76" s="3202"/>
      <c r="K76" s="3337"/>
      <c r="L76" s="3202"/>
    </row>
    <row r="77" spans="1:18">
      <c r="B77" s="3472" t="s">
        <v>3184</v>
      </c>
      <c r="C77" s="3473"/>
      <c r="I77" s="3202"/>
      <c r="J77" s="3202"/>
      <c r="K77" s="3337"/>
      <c r="L77" s="3202"/>
    </row>
    <row r="78" spans="1:18">
      <c r="B78" s="3474" t="s">
        <v>3185</v>
      </c>
      <c r="C78" s="3475"/>
    </row>
    <row r="79" spans="1:18">
      <c r="B79" s="3468" t="s">
        <v>3186</v>
      </c>
      <c r="C79" s="3476">
        <f ca="1">1-C80</f>
        <v>1</v>
      </c>
    </row>
    <row r="80" spans="1:18">
      <c r="B80" s="3468" t="s">
        <v>3187</v>
      </c>
      <c r="C80" s="3476">
        <f ca="1">ROUND(C75/C39,3)</f>
        <v>0</v>
      </c>
    </row>
    <row r="81" spans="2:3">
      <c r="B81" s="3474" t="s">
        <v>3188</v>
      </c>
      <c r="C81" s="3424"/>
    </row>
    <row r="82" spans="2:3">
      <c r="B82" s="3466" t="s">
        <v>3189</v>
      </c>
      <c r="C82" s="3477" t="e">
        <f ca="1">1-C83</f>
        <v>#DIV/0!</v>
      </c>
    </row>
    <row r="83" spans="2:3">
      <c r="B83" s="3466" t="s">
        <v>3190</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2547</v>
      </c>
      <c r="R1" s="2607" t="s">
        <v>2541</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2542</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2543</v>
      </c>
      <c r="S3" s="9" t="s">
        <v>84</v>
      </c>
      <c r="T3" s="9" t="s">
        <v>85</v>
      </c>
      <c r="U3" s="9" t="s">
        <v>84</v>
      </c>
      <c r="V3" s="9" t="s">
        <v>86</v>
      </c>
      <c r="W3" s="9" t="s">
        <v>877</v>
      </c>
    </row>
    <row r="4" spans="1:23">
      <c r="A4" s="8" t="s">
        <v>87</v>
      </c>
      <c r="B4" s="8" t="s">
        <v>152</v>
      </c>
      <c r="C4" s="1552" t="s">
        <v>1713</v>
      </c>
      <c r="D4" s="9" t="s">
        <v>1996</v>
      </c>
      <c r="E4" s="9" t="s">
        <v>88</v>
      </c>
      <c r="F4" s="9" t="s">
        <v>89</v>
      </c>
      <c r="G4" s="9">
        <v>70</v>
      </c>
      <c r="H4" s="9" t="s">
        <v>90</v>
      </c>
      <c r="I4" s="9" t="s">
        <v>91</v>
      </c>
      <c r="K4" s="9" t="s">
        <v>92</v>
      </c>
      <c r="L4" s="9" t="s">
        <v>92</v>
      </c>
      <c r="M4" s="9" t="s">
        <v>92</v>
      </c>
      <c r="N4" s="9" t="s">
        <v>92</v>
      </c>
      <c r="O4" s="9" t="s">
        <v>92</v>
      </c>
      <c r="P4" s="1006" t="s">
        <v>761</v>
      </c>
      <c r="Q4" s="9" t="s">
        <v>92</v>
      </c>
      <c r="R4" s="1006" t="s">
        <v>2544</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2545</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2546</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2957</v>
      </c>
      <c r="C18" s="1555"/>
    </row>
    <row r="19" spans="1:3">
      <c r="A19" s="8" t="s">
        <v>120</v>
      </c>
      <c r="B19" s="3143" t="s">
        <v>2965</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金俊房地产开发有限公司拟使用苏州市姑苏区永方路以东、合兴路以南1宗住宅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526"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c r="D53" s="1768"/>
      <c r="E53" s="1768"/>
    </row>
    <row r="54" spans="1:5">
      <c r="A54" s="3526"/>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26"/>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26"/>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26"/>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4" zoomScale="90" zoomScaleSheetLayoutView="90" workbookViewId="0">
      <selection activeCell="K21" sqref="K21"/>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42" t="str">
        <f>IF(B10="北京市","北京市",C10)&amp;F10&amp;B16&amp;"国有建设用地使用权"&amp;B9&amp;"预评估"</f>
        <v>苏州市姑苏区永方路以东、合兴路以南1宗住宅用途出让国有建设用地使用权市场价格预评估</v>
      </c>
      <c r="C1" s="3543"/>
      <c r="D1" s="3543"/>
      <c r="E1" s="3543"/>
      <c r="F1" s="3543"/>
      <c r="G1" s="3543"/>
      <c r="H1" s="3543"/>
      <c r="I1" s="3544"/>
      <c r="J1" s="1694"/>
      <c r="K1" s="2479" t="str">
        <f>IF(B10="北京市","北京市",C10)&amp;F10&amp;B16&amp;"国有建设用地使用权"&amp;B9</f>
        <v>苏州市姑苏区永方路以东、合兴路以南1宗住宅用途出让国有建设用地使用权市场价格</v>
      </c>
      <c r="L1" s="1722"/>
      <c r="M1" s="1722"/>
      <c r="N1" s="1694"/>
      <c r="O1" s="1695"/>
      <c r="P1" s="1694"/>
      <c r="Q1" s="1694"/>
      <c r="R1" s="1694"/>
      <c r="S1" s="1694"/>
      <c r="T1" s="1694"/>
      <c r="U1" s="1694"/>
    </row>
    <row r="2" spans="1:21">
      <c r="A2" s="1660" t="s">
        <v>1942</v>
      </c>
      <c r="B2" s="1841" t="s">
        <v>3191</v>
      </c>
      <c r="D2" s="1694"/>
      <c r="E2" s="1694"/>
      <c r="F2" s="1694"/>
      <c r="G2" s="1694"/>
      <c r="H2" s="1660"/>
      <c r="I2" s="1695"/>
      <c r="J2" s="1694"/>
      <c r="K2" s="2479" t="str">
        <f>IF(B10="北京市","北京市",C10)&amp;F10&amp;B16&amp;"国有建设用地使用权"</f>
        <v>苏州市姑苏区永方路以东、合兴路以南1宗住宅用途出让国有建设用地使用权</v>
      </c>
      <c r="L2" s="1722"/>
      <c r="M2" s="1722"/>
      <c r="N2" s="1694"/>
      <c r="O2" s="1695"/>
      <c r="P2" s="1694"/>
      <c r="Q2" s="1694"/>
      <c r="R2" s="1694"/>
      <c r="S2" s="1694"/>
      <c r="T2" s="1694"/>
      <c r="U2" s="1694"/>
    </row>
    <row r="3" spans="1:21">
      <c r="A3" s="1661" t="s">
        <v>1943</v>
      </c>
      <c r="B3" s="1662">
        <v>43159</v>
      </c>
      <c r="C3" s="1663" t="s">
        <v>1997</v>
      </c>
      <c r="D3" s="1662">
        <f>B3</f>
        <v>43159</v>
      </c>
      <c r="E3" s="1694"/>
      <c r="F3" s="1694"/>
      <c r="G3" s="1694"/>
      <c r="H3" s="1660"/>
      <c r="I3" s="1695"/>
      <c r="J3" s="1694"/>
      <c r="K3" s="1773"/>
      <c r="L3" s="1722"/>
      <c r="M3" s="1722"/>
      <c r="N3" s="1694"/>
      <c r="O3" s="1695"/>
      <c r="P3" s="1694"/>
      <c r="Q3" s="1694"/>
      <c r="R3" s="1694"/>
      <c r="S3" s="1694"/>
      <c r="T3" s="1694"/>
      <c r="U3" s="1694"/>
    </row>
    <row r="4" spans="1:21" ht="15" thickBot="1">
      <c r="A4" s="1664" t="s">
        <v>1944</v>
      </c>
      <c r="B4" s="1842" t="s">
        <v>3192</v>
      </c>
      <c r="C4" s="1845">
        <f ca="1">SUMIF(土地估价师,B4,估价师及机构信息!E3:E24)</f>
        <v>96010014</v>
      </c>
      <c r="D4" s="1842" t="s">
        <v>3193</v>
      </c>
      <c r="E4" s="1845">
        <f ca="1">SUMIF(土地估价师,D4,估价师及机构信息!E3:E24)</f>
        <v>2002110030</v>
      </c>
      <c r="F4" s="1842" t="s">
        <v>953</v>
      </c>
      <c r="G4" s="1845">
        <f>SUMIF(土地估价师,F4,估价师及机构信息!E3:E24)</f>
        <v>0</v>
      </c>
      <c r="H4" s="1842" t="s">
        <v>953</v>
      </c>
      <c r="I4" s="1845">
        <f>SUMIF(土地估价师,H4,估价师及机构信息!E3:E24)</f>
        <v>0</v>
      </c>
      <c r="J4" s="1694"/>
      <c r="K4" s="2479" t="str">
        <f>IF(AND(F4="——",H4="——"),B4&amp;"、"&amp;D4,IF(AND(F4&lt;&gt;"——",H4="——"),B4&amp;"、"&amp;D4&amp;"、"&amp;F4,B4&amp;"、"&amp;D4&amp;"、"&amp;F4&amp;"、"&amp;H4))</f>
        <v>梁津、王鹏</v>
      </c>
      <c r="L4" s="1722"/>
      <c r="M4" s="1722"/>
      <c r="N4" s="1694"/>
      <c r="O4" s="1695"/>
      <c r="P4" s="1694"/>
      <c r="Q4" s="1694"/>
      <c r="R4" s="1694"/>
      <c r="S4" s="1694"/>
      <c r="T4" s="1694"/>
      <c r="U4" s="1694"/>
    </row>
    <row r="5" spans="1:21" ht="15" thickTop="1">
      <c r="A5" s="1665" t="s">
        <v>1945</v>
      </c>
      <c r="B5" s="1788" t="s">
        <v>3194</v>
      </c>
      <c r="C5" s="1666"/>
      <c r="D5" s="1667"/>
      <c r="E5" s="1694"/>
      <c r="F5" s="1694"/>
      <c r="G5" s="1694"/>
      <c r="H5" s="1660"/>
      <c r="I5" s="1695"/>
      <c r="J5" s="1694"/>
      <c r="K5" s="1773"/>
      <c r="L5" s="1722"/>
      <c r="M5" s="1722"/>
      <c r="N5" s="1694"/>
      <c r="O5" s="1695"/>
      <c r="P5" s="1694"/>
      <c r="Q5" s="1694"/>
      <c r="R5" s="1694"/>
      <c r="S5" s="1694"/>
      <c r="T5" s="1694"/>
      <c r="U5" s="1694"/>
    </row>
    <row r="6" spans="1:21" ht="26.25">
      <c r="A6" s="1663" t="s">
        <v>2708</v>
      </c>
      <c r="B6" s="1788" t="s">
        <v>3195</v>
      </c>
      <c r="C6" s="1760"/>
      <c r="D6" s="1668"/>
      <c r="E6" s="1694"/>
      <c r="F6" s="1694"/>
      <c r="G6" s="1694"/>
      <c r="H6" s="1660"/>
      <c r="I6" s="1695"/>
      <c r="J6" s="1694"/>
      <c r="K6" s="3081" t="str">
        <f>IF(COUNTIF(B6,"*上海银行*"),"上海银行","")</f>
        <v/>
      </c>
      <c r="L6" s="1722"/>
      <c r="M6" s="1722"/>
      <c r="N6" s="1694"/>
      <c r="O6" s="1695"/>
      <c r="P6" s="1694"/>
      <c r="Q6" s="1694"/>
      <c r="R6" s="1694"/>
      <c r="S6" s="1694"/>
      <c r="T6" s="1694"/>
      <c r="U6" s="1694"/>
    </row>
    <row r="7" spans="1:21">
      <c r="A7" s="1669" t="s">
        <v>2709</v>
      </c>
      <c r="B7" s="1788" t="s">
        <v>3194</v>
      </c>
      <c r="C7" s="1760"/>
      <c r="D7" s="1668"/>
      <c r="E7" s="1694"/>
      <c r="F7" s="1694"/>
      <c r="G7" s="1694"/>
      <c r="H7" s="1660"/>
      <c r="I7" s="1695"/>
      <c r="J7" s="1694"/>
      <c r="K7" s="1773"/>
      <c r="L7" s="1722"/>
      <c r="M7" s="1722"/>
      <c r="N7" s="1694"/>
      <c r="O7" s="1695"/>
      <c r="P7" s="1694"/>
      <c r="Q7" s="1694"/>
      <c r="R7" s="1694"/>
      <c r="S7" s="1694"/>
      <c r="T7" s="1694"/>
      <c r="U7" s="1694"/>
    </row>
    <row r="8" spans="1:21">
      <c r="A8" s="1669" t="s">
        <v>1946</v>
      </c>
      <c r="B8" s="1670" t="s">
        <v>3196</v>
      </c>
      <c r="C8" s="1671"/>
      <c r="D8" s="3548" t="s">
        <v>1948</v>
      </c>
      <c r="E8" s="1843" t="s">
        <v>3197</v>
      </c>
      <c r="F8" s="1672"/>
      <c r="G8" s="1660"/>
      <c r="H8" s="1660"/>
      <c r="I8" s="1707"/>
      <c r="J8" s="1694"/>
      <c r="K8" s="1773"/>
      <c r="L8" s="1722"/>
      <c r="M8" s="1722"/>
      <c r="N8" s="1694"/>
      <c r="O8" s="1695"/>
      <c r="P8" s="1694"/>
      <c r="Q8" s="1694"/>
      <c r="R8" s="1694"/>
      <c r="S8" s="1694"/>
      <c r="T8" s="1694"/>
      <c r="U8" s="1694"/>
    </row>
    <row r="9" spans="1:21" ht="15" thickBot="1">
      <c r="A9" s="1673" t="s">
        <v>1947</v>
      </c>
      <c r="B9" s="1674" t="s">
        <v>3198</v>
      </c>
      <c r="C9" s="1675"/>
      <c r="D9" s="3549"/>
      <c r="E9" s="1674" t="s">
        <v>953</v>
      </c>
      <c r="F9" s="1746"/>
      <c r="G9" s="1741"/>
      <c r="H9" s="1741"/>
      <c r="I9" s="1742"/>
      <c r="J9" s="1694"/>
      <c r="K9" s="1773"/>
      <c r="L9" s="1722"/>
      <c r="M9" s="1722"/>
      <c r="N9" s="1694"/>
      <c r="O9" s="1695"/>
      <c r="P9" s="1694"/>
      <c r="Q9" s="1694"/>
      <c r="R9" s="1694"/>
      <c r="S9" s="1694"/>
      <c r="T9" s="1694"/>
      <c r="U9" s="1694"/>
    </row>
    <row r="10" spans="1:21" ht="15" thickTop="1">
      <c r="A10" s="1743" t="s">
        <v>2000</v>
      </c>
      <c r="B10" s="3180" t="s">
        <v>3199</v>
      </c>
      <c r="C10" s="1676" t="s">
        <v>3200</v>
      </c>
      <c r="D10" s="1667"/>
      <c r="E10" s="1677" t="s">
        <v>1950</v>
      </c>
      <c r="F10" s="1678" t="s">
        <v>3201</v>
      </c>
      <c r="G10" s="1744"/>
      <c r="H10" s="1745"/>
      <c r="I10" s="1667"/>
      <c r="J10" s="1694"/>
      <c r="K10" s="1773"/>
      <c r="L10" s="1722"/>
      <c r="M10" s="1722"/>
      <c r="N10" s="1694"/>
      <c r="O10" s="1695"/>
      <c r="P10" s="1694"/>
      <c r="Q10" s="1694"/>
      <c r="R10" s="1694"/>
      <c r="S10" s="1694"/>
      <c r="T10" s="1694"/>
      <c r="U10" s="1694"/>
    </row>
    <row r="11" spans="1:21">
      <c r="A11" s="1697" t="s">
        <v>2001</v>
      </c>
      <c r="B11" s="1698" t="s">
        <v>3202</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2059</v>
      </c>
      <c r="B12" s="3545" t="s">
        <v>3203</v>
      </c>
      <c r="C12" s="3546"/>
      <c r="D12" s="3547"/>
      <c r="E12" s="1699" t="s">
        <v>2062</v>
      </c>
      <c r="F12" s="3563" t="s">
        <v>3204</v>
      </c>
      <c r="G12" s="3564"/>
      <c r="H12" s="3564"/>
      <c r="I12" s="3565"/>
      <c r="J12" s="1694"/>
      <c r="K12" s="1773"/>
      <c r="L12" s="1722"/>
      <c r="M12" s="1722"/>
      <c r="N12" s="1694"/>
      <c r="O12" s="1695"/>
      <c r="P12" s="1694"/>
      <c r="Q12" s="1694"/>
      <c r="R12" s="1694"/>
      <c r="S12" s="1694"/>
      <c r="T12" s="1694"/>
      <c r="U12" s="1694"/>
    </row>
    <row r="13" spans="1:21">
      <c r="A13" s="1687" t="s">
        <v>2060</v>
      </c>
      <c r="B13" s="3545" t="s">
        <v>3203</v>
      </c>
      <c r="C13" s="3546"/>
      <c r="D13" s="3547"/>
      <c r="E13" s="1699" t="s">
        <v>2062</v>
      </c>
      <c r="F13" s="3563" t="s">
        <v>3204</v>
      </c>
      <c r="G13" s="3564"/>
      <c r="H13" s="3564"/>
      <c r="I13" s="3565"/>
      <c r="J13" s="1694"/>
      <c r="K13" s="1773"/>
      <c r="L13" s="1722"/>
      <c r="M13" s="1722"/>
      <c r="N13" s="1694"/>
      <c r="O13" s="1695"/>
      <c r="P13" s="1694"/>
      <c r="Q13" s="1694"/>
      <c r="R13" s="1694"/>
      <c r="S13" s="1694"/>
      <c r="T13" s="1694"/>
      <c r="U13" s="1694"/>
    </row>
    <row r="14" spans="1:21">
      <c r="A14" s="1661" t="s">
        <v>2063</v>
      </c>
      <c r="B14" s="1699"/>
      <c r="C14" s="1844" t="s">
        <v>3205</v>
      </c>
      <c r="D14" s="1732" t="str">
        <f>IF(C14="不一致","是否符合证载地类范围","")</f>
        <v/>
      </c>
      <c r="E14" s="1699"/>
      <c r="F14" s="1789" t="s">
        <v>3206</v>
      </c>
      <c r="G14" s="1727"/>
      <c r="H14" s="1727"/>
      <c r="I14" s="1836"/>
      <c r="J14" s="1694"/>
      <c r="K14" s="1773"/>
      <c r="L14" s="1722"/>
      <c r="M14" s="1722"/>
      <c r="N14" s="1694"/>
      <c r="O14" s="1695"/>
      <c r="P14" s="1694"/>
      <c r="Q14" s="1694"/>
      <c r="R14" s="1694"/>
      <c r="S14" s="1694"/>
      <c r="T14" s="1694"/>
      <c r="U14" s="1694"/>
    </row>
    <row r="15" spans="1:21" hidden="1">
      <c r="A15" s="2670"/>
      <c r="B15" s="1663"/>
      <c r="C15" s="1663"/>
      <c r="D15" s="1765" t="s">
        <v>1953</v>
      </c>
      <c r="E15" s="1765" t="s">
        <v>1954</v>
      </c>
      <c r="F15" s="1765" t="s">
        <v>1955</v>
      </c>
      <c r="G15" s="1686" t="s">
        <v>1956</v>
      </c>
      <c r="H15" s="1686" t="s">
        <v>1957</v>
      </c>
      <c r="I15" s="1686" t="s">
        <v>1958</v>
      </c>
      <c r="J15" s="1694"/>
      <c r="K15" s="1773"/>
      <c r="L15" s="1722"/>
      <c r="M15" s="1722"/>
      <c r="N15" s="1694"/>
      <c r="O15" s="1695"/>
      <c r="P15" s="1694"/>
      <c r="Q15" s="1694"/>
      <c r="R15" s="1694"/>
      <c r="S15" s="1694"/>
      <c r="T15" s="1694"/>
      <c r="U15" s="1694"/>
    </row>
    <row r="16" spans="1:21" ht="28.5">
      <c r="A16" s="1680" t="s">
        <v>1951</v>
      </c>
      <c r="B16" s="1681" t="s">
        <v>3207</v>
      </c>
      <c r="C16" s="1699" t="s">
        <v>1952</v>
      </c>
      <c r="D16" s="2671" t="s">
        <v>1953</v>
      </c>
      <c r="E16" s="1721" t="s">
        <v>3303</v>
      </c>
      <c r="F16" s="1721"/>
      <c r="G16" s="1721"/>
      <c r="H16" s="1721"/>
      <c r="I16" s="1686" t="s">
        <v>1958</v>
      </c>
      <c r="J16" s="1694"/>
      <c r="K16" s="2480" t="str">
        <f>IF(D17="","",D16&amp;TEXT(D17,"yyyy年m月d日;;"))</f>
        <v>住宅2088年2月28日</v>
      </c>
      <c r="L16" s="1699" t="str">
        <f>IF(OR(K16="",M16=""),"","、")</f>
        <v>、</v>
      </c>
      <c r="M16" s="2480" t="str">
        <f>IF(E17="","",E16&amp;TEXT(E17,"yyyy年m月d日;;"))</f>
        <v>商业2058年2月28日</v>
      </c>
      <c r="N16" s="1699" t="str">
        <f>IF(OR(M16="",O16=""),"","、")</f>
        <v/>
      </c>
      <c r="O16" s="2480" t="str">
        <f>IF(F17="","",F16&amp;TEXT(F17,"yyyy年m月d日;;"))</f>
        <v/>
      </c>
      <c r="P16" s="1699" t="str">
        <f>IF(OR(O16="",Q16=""),"","、")</f>
        <v/>
      </c>
      <c r="Q16" s="2480" t="str">
        <f>IF(G17="","",G16&amp;TEXT(G17,"yyyy年m月d日;;"))</f>
        <v/>
      </c>
      <c r="R16" s="1699" t="str">
        <f>IF(OR(Q16="",S16=""),"","、")</f>
        <v/>
      </c>
      <c r="S16" s="2480" t="str">
        <f>IF(H17="","",H16&amp;TEXT(H17,"yyyy年m月d日;;"))</f>
        <v/>
      </c>
      <c r="T16" s="1699" t="str">
        <f>IF(OR(S16="",U16=""),"","、")</f>
        <v/>
      </c>
      <c r="U16" s="2480" t="str">
        <f>IF(I17="","",I16&amp;TEXT(I17,"yyyy年m月d日;;"))</f>
        <v/>
      </c>
    </row>
    <row r="17" spans="1:21">
      <c r="A17" s="1762"/>
      <c r="B17" s="1682"/>
      <c r="C17" s="1683" t="s">
        <v>1959</v>
      </c>
      <c r="D17" s="1700">
        <v>68726</v>
      </c>
      <c r="E17" s="1700">
        <v>57769</v>
      </c>
      <c r="F17" s="1700"/>
      <c r="G17" s="1700"/>
      <c r="H17" s="1700"/>
      <c r="I17" s="1700"/>
      <c r="J17" s="1694"/>
      <c r="K17" s="2479" t="str">
        <f>CONCATENATE(K16,L16,M16,N16,O16,P16,Q16,R16,S16,T16,,U16)</f>
        <v>住宅2088年2月28日、商业2058年2月28日</v>
      </c>
      <c r="L17" s="1722"/>
      <c r="M17" s="1722"/>
      <c r="N17" s="1694"/>
      <c r="O17" s="1695"/>
      <c r="P17" s="1694"/>
      <c r="Q17" s="1694"/>
      <c r="R17" s="1694"/>
      <c r="S17" s="1694"/>
      <c r="T17" s="1694"/>
      <c r="U17" s="1694"/>
    </row>
    <row r="18" spans="1:21">
      <c r="A18" s="1762"/>
      <c r="B18" s="1682"/>
      <c r="C18" s="1683" t="s">
        <v>1960</v>
      </c>
      <c r="D18" s="1684">
        <v>70</v>
      </c>
      <c r="E18" s="1684">
        <v>40</v>
      </c>
      <c r="F18" s="1684"/>
      <c r="G18" s="1684"/>
      <c r="H18" s="1684"/>
      <c r="I18" s="1684"/>
      <c r="J18" s="1694"/>
      <c r="K18" s="1773"/>
      <c r="L18" s="1722"/>
      <c r="M18" s="1722"/>
      <c r="N18" s="1694"/>
      <c r="O18" s="1695"/>
      <c r="P18" s="1694"/>
      <c r="Q18" s="1694"/>
      <c r="R18" s="1694"/>
      <c r="S18" s="1694"/>
      <c r="T18" s="1694"/>
      <c r="U18" s="1694"/>
    </row>
    <row r="19" spans="1:21">
      <c r="A19" s="1762"/>
      <c r="B19" s="1682"/>
      <c r="C19" s="1660" t="s">
        <v>1961</v>
      </c>
      <c r="D19" s="1757">
        <f>IF(B16="出让",IF(D17="","",ROUNDDOWN(MIN((D17-$D$3)/365,D18),2)),D18)</f>
        <v>70</v>
      </c>
      <c r="E19" s="1685">
        <f>IF(B16="出让",IF(E17="","",ROUNDDOWN(MIN((E17-$D$3)/365,E18),2)),E18)</f>
        <v>40</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2061</v>
      </c>
      <c r="D20" s="3560" t="s">
        <v>3208</v>
      </c>
      <c r="E20" s="3561"/>
      <c r="F20" s="3561"/>
      <c r="G20" s="3561"/>
      <c r="H20" s="3561"/>
      <c r="I20" s="3562"/>
      <c r="J20" s="1694"/>
      <c r="K20" s="1773"/>
      <c r="L20" s="1722"/>
      <c r="M20" s="1722"/>
      <c r="N20" s="1694"/>
      <c r="O20" s="1695"/>
      <c r="P20" s="1694"/>
      <c r="Q20" s="1694"/>
      <c r="R20" s="1694"/>
      <c r="S20" s="1694"/>
      <c r="T20" s="1694"/>
      <c r="U20" s="1694"/>
    </row>
    <row r="21" spans="1:21">
      <c r="A21" s="1762" t="s">
        <v>1962</v>
      </c>
      <c r="B21" s="1763" t="s">
        <v>1963</v>
      </c>
      <c r="C21" s="1758">
        <f>'数据-汇总表'!E3</f>
        <v>141864.26</v>
      </c>
      <c r="D21" s="1759" t="s">
        <v>1964</v>
      </c>
      <c r="E21" s="3550" t="s">
        <v>3209</v>
      </c>
      <c r="F21" s="3551"/>
      <c r="G21" s="3551"/>
      <c r="H21" s="3551"/>
      <c r="I21" s="3552"/>
      <c r="J21" s="1694"/>
      <c r="K21" s="1773"/>
      <c r="L21" s="1722"/>
      <c r="M21" s="1722"/>
      <c r="N21" s="1694"/>
      <c r="O21" s="1695"/>
      <c r="P21" s="1694"/>
      <c r="Q21" s="1694"/>
      <c r="R21" s="1694"/>
      <c r="S21" s="1694"/>
      <c r="T21" s="1694"/>
      <c r="U21" s="1694"/>
    </row>
    <row r="22" spans="1:21">
      <c r="A22" s="2662" t="s">
        <v>953</v>
      </c>
      <c r="B22" s="1661" t="s">
        <v>1965</v>
      </c>
      <c r="C22" s="1686">
        <f>'数据-汇总表'!D3</f>
        <v>56745.7</v>
      </c>
      <c r="D22" s="1687" t="s">
        <v>1964</v>
      </c>
      <c r="E22" s="3550" t="s">
        <v>3209</v>
      </c>
      <c r="F22" s="3551"/>
      <c r="G22" s="3551"/>
      <c r="H22" s="3551"/>
      <c r="I22" s="3552"/>
      <c r="J22" s="1694"/>
      <c r="K22" s="1773"/>
      <c r="L22" s="1722"/>
      <c r="M22" s="1722"/>
      <c r="N22" s="1694"/>
      <c r="O22" s="1695"/>
      <c r="P22" s="1694"/>
      <c r="Q22" s="1694"/>
      <c r="R22" s="1694"/>
      <c r="S22" s="1694"/>
      <c r="T22" s="1694"/>
      <c r="U22" s="1694"/>
    </row>
    <row r="23" spans="1:21" ht="43.5" thickBot="1">
      <c r="A23" s="1764" t="s">
        <v>1966</v>
      </c>
      <c r="B23" s="1701" t="s">
        <v>1967</v>
      </c>
      <c r="C23" s="1702" t="s">
        <v>953</v>
      </c>
      <c r="D23" s="1703" t="s">
        <v>1968</v>
      </c>
      <c r="E23" s="1704" t="s">
        <v>953</v>
      </c>
      <c r="F23" s="1705" t="str">
        <f>IF(AND(C23="是",E23="否"),"是否提供他项权证或相关说明","")</f>
        <v/>
      </c>
      <c r="G23" s="1706"/>
      <c r="H23" s="1694"/>
      <c r="I23" s="1707"/>
      <c r="J23" s="1694"/>
      <c r="K23" s="1773"/>
      <c r="L23" s="1722"/>
      <c r="M23" s="1722"/>
      <c r="N23" s="1694"/>
      <c r="O23" s="1695"/>
      <c r="P23" s="1694"/>
      <c r="Q23" s="1694"/>
      <c r="R23" s="1694"/>
      <c r="S23" s="1694"/>
      <c r="T23" s="1694"/>
      <c r="U23" s="1694"/>
    </row>
    <row r="24" spans="1:21">
      <c r="A24" s="1749" t="s">
        <v>1969</v>
      </c>
      <c r="B24" s="3553" t="s">
        <v>1970</v>
      </c>
      <c r="C24" s="3554"/>
      <c r="D24" s="3555" t="s">
        <v>1971</v>
      </c>
      <c r="E24" s="3556"/>
      <c r="F24" s="1708" t="s">
        <v>1972</v>
      </c>
      <c r="G24" s="1694"/>
      <c r="H24" s="1694"/>
      <c r="I24" s="1707"/>
      <c r="J24" s="1694"/>
      <c r="K24" s="3541" t="s">
        <v>1973</v>
      </c>
      <c r="L24" s="2481" t="str">
        <f>"根据估价对象"&amp;IF(B26="——",B25&amp;C25,B25&amp;C25&amp;"、"&amp;B26&amp;C26)&amp;"，"&amp;IF(C23="是","截至估价期日，估价对象已设定抵押。","截至估价期日，估价对象抵押权未见登记。")</f>
        <v>根据估价对象————，截至估价期日，估价对象抵押权未见登记。</v>
      </c>
      <c r="M24" s="1722"/>
      <c r="N24" s="1694"/>
      <c r="O24" s="1695"/>
      <c r="P24" s="1694"/>
      <c r="Q24" s="1694"/>
      <c r="R24" s="1694"/>
      <c r="S24" s="1694"/>
      <c r="T24" s="1694"/>
      <c r="U24" s="1694"/>
    </row>
    <row r="25" spans="1:21">
      <c r="A25" s="1750"/>
      <c r="B25" s="1747" t="s">
        <v>953</v>
      </c>
      <c r="C25" s="1709" t="s">
        <v>953</v>
      </c>
      <c r="D25" s="1710"/>
      <c r="E25" s="1711" t="s">
        <v>953</v>
      </c>
      <c r="F25" s="1712"/>
      <c r="G25" s="1694"/>
      <c r="H25" s="1694"/>
      <c r="I25" s="1707"/>
      <c r="J25" s="1694"/>
      <c r="K25" s="3541"/>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4"/>
      <c r="O25" s="1695"/>
      <c r="P25" s="1694"/>
      <c r="Q25" s="1694"/>
      <c r="R25" s="1694"/>
      <c r="S25" s="1694"/>
      <c r="T25" s="1694"/>
      <c r="U25" s="1694"/>
    </row>
    <row r="26" spans="1:21" ht="15" thickBot="1">
      <c r="A26" s="1751"/>
      <c r="B26" s="1748" t="s">
        <v>953</v>
      </c>
      <c r="C26" s="1709" t="s">
        <v>953</v>
      </c>
      <c r="D26" s="1660"/>
      <c r="E26" s="1660"/>
      <c r="F26" s="1688"/>
      <c r="G26" s="1694"/>
      <c r="H26" s="1694"/>
      <c r="I26" s="1707"/>
      <c r="J26" s="1694"/>
      <c r="K26" s="3541"/>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1974</v>
      </c>
      <c r="B27" s="1752" t="s">
        <v>1975</v>
      </c>
      <c r="C27" s="1713"/>
      <c r="D27" s="2676" t="s">
        <v>1975</v>
      </c>
      <c r="E27" s="1714"/>
      <c r="F27" s="1688"/>
      <c r="G27" s="1694"/>
      <c r="H27" s="1694"/>
      <c r="I27" s="1707"/>
      <c r="J27" s="1694"/>
      <c r="K27" s="1773"/>
      <c r="L27" s="1722"/>
      <c r="M27" s="1722"/>
      <c r="N27" s="1694"/>
      <c r="O27" s="1695"/>
      <c r="P27" s="1694"/>
      <c r="Q27" s="1694"/>
      <c r="R27" s="1694"/>
      <c r="S27" s="1694"/>
      <c r="T27" s="1694"/>
      <c r="U27" s="1694"/>
    </row>
    <row r="28" spans="1:21">
      <c r="A28" s="1755"/>
      <c r="B28" s="1752" t="s">
        <v>1976</v>
      </c>
      <c r="C28" s="1715"/>
      <c r="D28" s="2677" t="s">
        <v>1976</v>
      </c>
      <c r="E28" s="1716"/>
      <c r="F28" s="1688"/>
      <c r="G28" s="1694"/>
      <c r="H28" s="1694"/>
      <c r="I28" s="1707"/>
      <c r="J28" s="1694"/>
      <c r="K28" s="1773"/>
      <c r="L28" s="1722"/>
      <c r="M28" s="1722"/>
      <c r="N28" s="1694"/>
      <c r="O28" s="1695"/>
      <c r="P28" s="1694"/>
      <c r="Q28" s="1694"/>
      <c r="R28" s="1694"/>
      <c r="S28" s="1694"/>
      <c r="T28" s="1694"/>
      <c r="U28" s="1694"/>
    </row>
    <row r="29" spans="1:21">
      <c r="A29" s="1755"/>
      <c r="B29" s="1752" t="s">
        <v>1977</v>
      </c>
      <c r="C29" s="1715"/>
      <c r="D29" s="2677" t="s">
        <v>1977</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1978</v>
      </c>
      <c r="C30" s="1717"/>
      <c r="D30" s="2678" t="s">
        <v>1978</v>
      </c>
      <c r="E30" s="1718"/>
      <c r="F30" s="1689"/>
      <c r="G30" s="1741"/>
      <c r="H30" s="1741"/>
      <c r="I30" s="1742"/>
      <c r="J30" s="1694"/>
      <c r="K30" s="1773"/>
      <c r="L30" s="1722"/>
      <c r="M30" s="1722"/>
      <c r="N30" s="1694"/>
      <c r="O30" s="1695"/>
      <c r="P30" s="1694"/>
      <c r="Q30" s="1694"/>
      <c r="R30" s="1694"/>
      <c r="S30" s="1694"/>
      <c r="T30" s="1694"/>
      <c r="U30" s="1694"/>
    </row>
    <row r="31" spans="1:21" ht="15" thickTop="1">
      <c r="A31" s="3527" t="s">
        <v>2002</v>
      </c>
      <c r="B31" s="1763" t="s">
        <v>2003</v>
      </c>
      <c r="C31" s="3566" t="s">
        <v>3211</v>
      </c>
      <c r="D31" s="3567"/>
      <c r="E31" s="1694"/>
      <c r="F31" s="1694"/>
      <c r="G31" s="1694"/>
      <c r="H31" s="1694"/>
      <c r="I31" s="1707"/>
      <c r="J31" s="1694"/>
      <c r="K31" s="2482"/>
      <c r="L31" s="1694"/>
      <c r="M31" s="1694"/>
      <c r="N31" s="1694"/>
      <c r="O31" s="1694"/>
      <c r="P31" s="1694"/>
      <c r="Q31" s="1694"/>
      <c r="R31" s="1694"/>
      <c r="S31" s="1694"/>
      <c r="T31" s="1694"/>
      <c r="U31" s="1694"/>
    </row>
    <row r="32" spans="1:21">
      <c r="A32" s="3527"/>
      <c r="B32" s="1661" t="s">
        <v>2004</v>
      </c>
      <c r="C32" s="3180" t="s">
        <v>3212</v>
      </c>
      <c r="D32" s="1719"/>
      <c r="E32" s="1694"/>
      <c r="F32" s="1694"/>
      <c r="G32" s="1694"/>
      <c r="H32" s="1694"/>
      <c r="I32" s="1707"/>
      <c r="J32" s="1694"/>
      <c r="K32" s="2482"/>
      <c r="L32" s="1694"/>
      <c r="M32" s="1694"/>
      <c r="N32" s="1694"/>
      <c r="O32" s="1694"/>
      <c r="P32" s="1694"/>
      <c r="Q32" s="1694"/>
      <c r="R32" s="1694"/>
      <c r="S32" s="1694"/>
      <c r="T32" s="1694"/>
      <c r="U32" s="1694"/>
    </row>
    <row r="33" spans="1:21">
      <c r="A33" s="3527"/>
      <c r="B33" s="1661" t="s">
        <v>2005</v>
      </c>
      <c r="C33" s="1720" t="s">
        <v>3210</v>
      </c>
      <c r="D33" s="1837"/>
      <c r="E33" s="1694"/>
      <c r="F33" s="1694"/>
      <c r="G33" s="1694"/>
      <c r="H33" s="1694"/>
      <c r="I33" s="1707"/>
      <c r="J33" s="1694"/>
      <c r="K33" s="2482"/>
      <c r="L33" s="1694"/>
      <c r="M33" s="1694"/>
      <c r="N33" s="1694"/>
      <c r="O33" s="1694"/>
      <c r="P33" s="1694"/>
      <c r="Q33" s="1694"/>
      <c r="R33" s="1694"/>
      <c r="S33" s="1694"/>
      <c r="T33" s="1694"/>
      <c r="U33" s="1694"/>
    </row>
    <row r="34" spans="1:21">
      <c r="A34" s="3528"/>
      <c r="B34" s="1661" t="s">
        <v>2006</v>
      </c>
      <c r="C34" s="3529"/>
      <c r="D34" s="3530"/>
      <c r="E34" s="1694"/>
      <c r="F34" s="1694"/>
      <c r="G34" s="1694"/>
      <c r="H34" s="1694"/>
      <c r="I34" s="1707"/>
      <c r="J34" s="1694"/>
      <c r="K34" s="2482"/>
      <c r="L34" s="1694"/>
      <c r="M34" s="1694"/>
      <c r="N34" s="1694"/>
      <c r="O34" s="1694"/>
      <c r="P34" s="1694"/>
      <c r="Q34" s="1694"/>
      <c r="R34" s="1694"/>
      <c r="S34" s="1694"/>
      <c r="T34" s="1694"/>
      <c r="U34" s="1694"/>
    </row>
    <row r="35" spans="1:21">
      <c r="A35" s="3531" t="s">
        <v>848</v>
      </c>
      <c r="B35" s="1721" t="s">
        <v>3213</v>
      </c>
      <c r="C35" s="1775" t="str">
        <f>IF(B35="场地平整","——","具体情况：")</f>
        <v>——</v>
      </c>
      <c r="D35" s="3533"/>
      <c r="E35" s="3534"/>
      <c r="F35" s="3534"/>
      <c r="G35" s="3534"/>
      <c r="H35" s="3534"/>
      <c r="I35" s="3535"/>
      <c r="J35" s="1694"/>
      <c r="K35" s="1774"/>
      <c r="L35" s="1722"/>
      <c r="M35" s="1722"/>
      <c r="N35" s="1694"/>
      <c r="O35" s="1695"/>
      <c r="P35" s="1694"/>
      <c r="Q35" s="1694"/>
      <c r="R35" s="1694"/>
      <c r="S35" s="1694"/>
      <c r="T35" s="1694"/>
      <c r="U35" s="1694"/>
    </row>
    <row r="36" spans="1:21">
      <c r="A36" s="3527"/>
      <c r="B36" s="3536" t="s">
        <v>2055</v>
      </c>
      <c r="C36" s="3537"/>
      <c r="D36" s="1791" t="s">
        <v>3214</v>
      </c>
      <c r="E36" s="3538"/>
      <c r="F36" s="3538"/>
      <c r="G36" s="1687" t="str">
        <f>IF(B35="场地未平整","估价结果处理","")</f>
        <v/>
      </c>
      <c r="H36" s="3539"/>
      <c r="I36" s="3539"/>
      <c r="J36" s="1694"/>
      <c r="K36" s="1774"/>
      <c r="L36" s="1722"/>
      <c r="M36" s="1722"/>
      <c r="N36" s="1694"/>
      <c r="O36" s="1695"/>
      <c r="P36" s="1694"/>
      <c r="Q36" s="1694"/>
      <c r="R36" s="1694"/>
      <c r="S36" s="1694"/>
      <c r="T36" s="1694"/>
      <c r="U36" s="1694"/>
    </row>
    <row r="37" spans="1:21" ht="28.5">
      <c r="A37" s="3527"/>
      <c r="B37" s="3557" t="s">
        <v>849</v>
      </c>
      <c r="C37" s="1723" t="s">
        <v>850</v>
      </c>
      <c r="D37" s="1724"/>
      <c r="E37" s="1725"/>
      <c r="F37" s="1694"/>
      <c r="G37" s="1694"/>
      <c r="H37" s="1694"/>
      <c r="I37" s="1707"/>
      <c r="J37" s="1694"/>
      <c r="K37" s="1774"/>
      <c r="L37" s="1694"/>
      <c r="M37" s="1694"/>
      <c r="N37" s="1694"/>
      <c r="O37" s="1694"/>
      <c r="P37" s="1694"/>
      <c r="Q37" s="1694"/>
      <c r="R37" s="1694"/>
      <c r="S37" s="1694"/>
      <c r="T37" s="1694"/>
      <c r="U37" s="1694"/>
    </row>
    <row r="38" spans="1:21">
      <c r="A38" s="3527"/>
      <c r="B38" s="3558"/>
      <c r="C38" s="1669" t="s">
        <v>851</v>
      </c>
      <c r="D38" s="1790">
        <f>ROUNDDOWN(MIN(('数据-取费表'!$B$2-D37)/365,D34),1)</f>
        <v>118.2</v>
      </c>
      <c r="E38" s="1726" t="s">
        <v>852</v>
      </c>
      <c r="F38" s="1694"/>
      <c r="G38" s="1694"/>
      <c r="H38" s="1694"/>
      <c r="I38" s="1707"/>
      <c r="J38" s="1694"/>
      <c r="K38" s="1774"/>
      <c r="L38" s="1694"/>
      <c r="M38" s="1694"/>
      <c r="N38" s="1694"/>
      <c r="O38" s="1694"/>
      <c r="P38" s="1694"/>
      <c r="Q38" s="1694"/>
      <c r="R38" s="1694"/>
      <c r="S38" s="1694"/>
      <c r="T38" s="1694"/>
      <c r="U38" s="1694"/>
    </row>
    <row r="39" spans="1:21">
      <c r="A39" s="3528"/>
      <c r="B39" s="3559"/>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1979</v>
      </c>
      <c r="B40" s="1690" t="s">
        <v>3215</v>
      </c>
      <c r="C40" s="1690" t="s">
        <v>3216</v>
      </c>
      <c r="D40" s="1690" t="s">
        <v>3217</v>
      </c>
      <c r="E40" s="1690" t="s">
        <v>3218</v>
      </c>
      <c r="F40" s="1690" t="s">
        <v>3219</v>
      </c>
      <c r="G40" s="1690" t="s">
        <v>3220</v>
      </c>
      <c r="H40" s="1690"/>
      <c r="I40" s="1707"/>
      <c r="J40" s="1694"/>
      <c r="K40" s="1729">
        <f>COUNTIF(B40:H40,"——")</f>
        <v>0</v>
      </c>
      <c r="L40" s="1699" t="s">
        <v>1980</v>
      </c>
      <c r="M40" s="1696" t="s">
        <v>1981</v>
      </c>
      <c r="N40" s="1696" t="s">
        <v>1982</v>
      </c>
      <c r="O40" s="1696" t="s">
        <v>1983</v>
      </c>
      <c r="P40" s="1696" t="s">
        <v>1984</v>
      </c>
      <c r="Q40" s="1696" t="s">
        <v>1985</v>
      </c>
      <c r="R40" s="1696" t="s">
        <v>1986</v>
      </c>
      <c r="S40" s="3540" t="s">
        <v>1987</v>
      </c>
      <c r="T40" s="1730" t="str">
        <f>NUMBERSTRING(7-K40,1)&amp;"通"</f>
        <v>七通</v>
      </c>
      <c r="U40" s="1694"/>
    </row>
    <row r="41" spans="1:21">
      <c r="A41" s="1663"/>
      <c r="B41" s="3532" t="s">
        <v>1723</v>
      </c>
      <c r="C41" s="3532"/>
      <c r="D41" s="3532"/>
      <c r="E41" s="3532"/>
      <c r="F41" s="1731" t="str">
        <f>C10</f>
        <v>苏州市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540"/>
      <c r="T41" s="1732" t="str">
        <f>IF(T40="一通",L41,IF(T40="二通",M41,IF(T40="三通",N41,IF(T40="四通",O41,IF(T40="五通",P41,IF(T40="六通",Q41,R41))))))</f>
        <v>通路、通电、通讯、通上水、通下水、燃气、</v>
      </c>
      <c r="U41" s="1694"/>
    </row>
    <row r="42" spans="1:21">
      <c r="A42" s="1734"/>
      <c r="B42" s="1765" t="s">
        <v>1899</v>
      </c>
      <c r="C42" s="1765" t="s">
        <v>1900</v>
      </c>
      <c r="D42" s="1765" t="s">
        <v>1901</v>
      </c>
      <c r="E42" s="1699" t="s">
        <v>1902</v>
      </c>
      <c r="F42" s="1735"/>
      <c r="G42" s="1694"/>
      <c r="H42" s="1694"/>
      <c r="I42" s="1707"/>
      <c r="J42" s="1694"/>
      <c r="K42" s="1773"/>
      <c r="L42" s="1722"/>
      <c r="M42" s="1722"/>
      <c r="N42" s="1694"/>
      <c r="O42" s="1695"/>
      <c r="P42" s="1694"/>
      <c r="Q42" s="1694"/>
      <c r="R42" s="1694"/>
      <c r="S42" s="1694"/>
      <c r="T42" s="1694"/>
      <c r="U42" s="1694"/>
    </row>
    <row r="43" spans="1:21">
      <c r="A43" s="1736" t="s">
        <v>1708</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1709</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8" customFormat="1" ht="21" thickBot="1">
      <c r="A45" s="3099" t="s">
        <v>2891</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2007</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1" t="s">
        <v>2017</v>
      </c>
      <c r="K48" s="1765" t="s">
        <v>2018</v>
      </c>
      <c r="L48" s="1765" t="s">
        <v>2019</v>
      </c>
      <c r="M48" s="1765" t="s">
        <v>2020</v>
      </c>
      <c r="N48" s="1686" t="s">
        <v>2021</v>
      </c>
      <c r="O48" s="1686" t="s">
        <v>2022</v>
      </c>
      <c r="P48" s="1686" t="s">
        <v>2023</v>
      </c>
      <c r="Q48" s="1699" t="s">
        <v>2024</v>
      </c>
      <c r="R48" s="1699" t="s">
        <v>2025</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2332</v>
      </c>
      <c r="BA2" s="2361"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56745.7</v>
      </c>
      <c r="B3" s="22">
        <f>IF(C3="否",G5-AT5,G5)</f>
        <v>141864.26</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141864.26</v>
      </c>
      <c r="H5" s="27">
        <f t="shared" ref="H5:AT5" si="0">SUM(H13:H641)</f>
        <v>141864.26</v>
      </c>
      <c r="I5" s="27">
        <f t="shared" si="0"/>
        <v>127677.83</v>
      </c>
      <c r="J5" s="27">
        <f t="shared" si="0"/>
        <v>0</v>
      </c>
      <c r="K5" s="27">
        <f>SUM(K13:K641)</f>
        <v>14186.43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141864.26</v>
      </c>
      <c r="BA5" s="29">
        <f t="shared" si="1"/>
        <v>141864.26</v>
      </c>
      <c r="BB5" s="29">
        <f t="shared" si="1"/>
        <v>127677.83</v>
      </c>
      <c r="BC5" s="29">
        <f t="shared" si="1"/>
        <v>14186.43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56745.7</v>
      </c>
      <c r="F6" s="27" t="s">
        <v>1</v>
      </c>
      <c r="G6" s="27" t="s">
        <v>2</v>
      </c>
      <c r="H6" s="33">
        <f>SUMIF(I$12:AB$12,"总值",I6:AB6)</f>
        <v>56745.7</v>
      </c>
      <c r="I6" s="27">
        <f t="shared" ref="I6:AB6" si="2">ROUND($A$3*I5/$B$3,2)</f>
        <v>51071.13</v>
      </c>
      <c r="J6" s="27">
        <f t="shared" si="2"/>
        <v>0</v>
      </c>
      <c r="K6" s="27">
        <f t="shared" si="2"/>
        <v>5674.57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56745.7</v>
      </c>
      <c r="AZ6" s="27" t="s">
        <v>3</v>
      </c>
      <c r="BA6" s="27">
        <f>ROUND($AY$6*BA5/$AZ$5,2)</f>
        <v>56745.7</v>
      </c>
      <c r="BB6" s="27">
        <f>ROUND($AY$6*BB5/$AZ$5,2)</f>
        <v>51071.13</v>
      </c>
      <c r="BC6" s="27">
        <f t="shared" ref="BC6:BH6" si="4">ROUND($AY$6*BC5/$AZ$5,2)</f>
        <v>5674.57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3221</v>
      </c>
      <c r="J9" s="51"/>
      <c r="K9" s="3044" t="s">
        <v>3221</v>
      </c>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924</v>
      </c>
      <c r="J10" s="51"/>
      <c r="K10" s="3046" t="s">
        <v>3303</v>
      </c>
      <c r="L10" s="51"/>
      <c r="M10" s="304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2330</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3222</v>
      </c>
      <c r="J11" s="71"/>
      <c r="K11" s="3045" t="s">
        <v>3304</v>
      </c>
      <c r="L11" s="71"/>
      <c r="M11" s="70"/>
      <c r="N11" s="71"/>
      <c r="O11" s="70"/>
      <c r="P11" s="71"/>
      <c r="Q11" s="70"/>
      <c r="R11" s="71"/>
      <c r="S11" s="70"/>
      <c r="T11" s="71"/>
      <c r="U11" s="70"/>
      <c r="V11" s="71"/>
      <c r="W11" s="70"/>
      <c r="X11" s="71"/>
      <c r="Y11" s="70"/>
      <c r="Z11" s="71"/>
      <c r="AA11" s="70"/>
      <c r="AB11" s="71"/>
      <c r="AC11" s="55"/>
      <c r="AD11" s="2334" t="s">
        <v>2329</v>
      </c>
      <c r="AE11" s="1002"/>
      <c r="AF11" s="2334" t="s">
        <v>2329</v>
      </c>
      <c r="AG11" s="1002"/>
      <c r="AH11" s="2334" t="s">
        <v>2328</v>
      </c>
      <c r="AI11" s="2335"/>
      <c r="AJ11" s="2334" t="s">
        <v>2328</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1680</v>
      </c>
      <c r="E13" s="27">
        <f t="shared" ref="E13:E20" si="6">IF($C$3="是",ROUND($A$3*G13/$B$3,2),ROUND($A$3*(G13-AT13)/$B$3,2))</f>
        <v>51071.13</v>
      </c>
      <c r="F13" s="81"/>
      <c r="G13" s="82">
        <f t="shared" ref="G13:G20" si="7">H13+AC13+AT13</f>
        <v>127677.83</v>
      </c>
      <c r="H13" s="33">
        <f t="shared" ref="H13:H20" si="8">SUMIF(I$12:AB$12,"总值",I13:AB13)</f>
        <v>127677.83</v>
      </c>
      <c r="I13" s="3043">
        <f>ROUND(A3*2.5*0.9,2)</f>
        <v>127677.83</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51071.13</v>
      </c>
      <c r="AZ13" s="27">
        <f t="shared" ref="AZ13:AZ20" si="12">BA13+BL13</f>
        <v>127677.83</v>
      </c>
      <c r="BA13" s="27">
        <f t="shared" ref="BA13:BA20" si="13">SUM(BB13:BK13)</f>
        <v>127677.83</v>
      </c>
      <c r="BB13" s="27">
        <f t="shared" ref="BB13:BB20" si="14">IF($D13="是",I13-J13,0)</f>
        <v>127677.83</v>
      </c>
      <c r="BC13" s="27">
        <f>IF($D13="是",K13-L13,0)</f>
        <v>0</v>
      </c>
      <c r="BD13" s="27">
        <f t="shared" ref="BD13:BD20" si="15">IF($D13="是",M13-N13,0)</f>
        <v>0</v>
      </c>
      <c r="BE13" s="27">
        <f t="shared" ref="BE13:BE20" si="16">IF($D13="是",O13-P13,0)</f>
        <v>0</v>
      </c>
      <c r="BF13" s="27">
        <f t="shared" ref="BF13:BF20" si="17">IF($D13="是",Q13-R13,0)</f>
        <v>0</v>
      </c>
      <c r="BG13" s="27">
        <f t="shared" ref="BG13:BG20" si="18">IF($D13="是",S13-T13,0)</f>
        <v>0</v>
      </c>
      <c r="BH13" s="27">
        <f t="shared" ref="BH13:BH20" si="19">IF($D13="是",U13-V13,0)</f>
        <v>0</v>
      </c>
      <c r="BI13" s="27">
        <f t="shared" ref="BI13:BI20" si="20">IF($D13="是",W13-X13,0)</f>
        <v>0</v>
      </c>
      <c r="BJ13" s="27">
        <f t="shared" ref="BJ13:BJ20" si="21">IF($D13="是",Y13-Z13,0)</f>
        <v>0</v>
      </c>
      <c r="BK13" s="27">
        <f t="shared" ref="BK13:BK20" si="22">IF($D13="是",AA13-AB13,0)</f>
        <v>0</v>
      </c>
      <c r="BL13" s="27">
        <f t="shared" ref="BL13:BL20" si="23">SUM(BM13:BT13)</f>
        <v>0</v>
      </c>
      <c r="BM13" s="27">
        <f t="shared" ref="BM13:BM20" si="24">IF($D13="是",AD13-AE13,0)</f>
        <v>0</v>
      </c>
      <c r="BN13" s="27">
        <f t="shared" ref="BN13:BN20" si="25">IF($D13="是",AF13-AG13,0)</f>
        <v>0</v>
      </c>
      <c r="BO13" s="27">
        <f t="shared" ref="BO13:BO20" si="26">IF($D13="是",AH13-AI13,0)</f>
        <v>0</v>
      </c>
      <c r="BP13" s="27">
        <f t="shared" ref="BP13:BP20" si="27">IF($D13="是",AJ13-AK13,0)</f>
        <v>0</v>
      </c>
      <c r="BQ13" s="27">
        <f t="shared" ref="BQ13:BQ20" si="28">IF($D13="是",AL13-AM13,0)</f>
        <v>0</v>
      </c>
      <c r="BR13" s="27">
        <f t="shared" ref="BR13:BR20" si="29">IF($D13="是",AN13-AO13,0)</f>
        <v>0</v>
      </c>
      <c r="BS13" s="27">
        <f t="shared" ref="BS13:BS20" si="30">IF($D13="是",AP13-AQ13,0)</f>
        <v>0</v>
      </c>
      <c r="BT13" s="36">
        <f t="shared" ref="BT13:BT20" si="31">IF($D13="是",AR13-AS13,0)</f>
        <v>0</v>
      </c>
    </row>
    <row r="14" spans="1:72" s="18" customFormat="1" ht="12.75">
      <c r="A14" s="3039"/>
      <c r="B14" s="3039"/>
      <c r="C14" s="3041"/>
      <c r="D14" s="3040" t="s">
        <v>1680</v>
      </c>
      <c r="E14" s="27">
        <f t="shared" si="6"/>
        <v>5674.57</v>
      </c>
      <c r="F14" s="81"/>
      <c r="G14" s="82">
        <f t="shared" si="7"/>
        <v>14186.43</v>
      </c>
      <c r="H14" s="33">
        <f t="shared" si="8"/>
        <v>14186.43</v>
      </c>
      <c r="I14" s="3043"/>
      <c r="J14" s="3043"/>
      <c r="K14" s="3043">
        <f>ROUND(A3*2.5*0.1,2)</f>
        <v>14186.43</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5674.57</v>
      </c>
      <c r="AZ14" s="27">
        <f t="shared" si="12"/>
        <v>14186.43</v>
      </c>
      <c r="BA14" s="27">
        <f t="shared" si="13"/>
        <v>14186.43</v>
      </c>
      <c r="BB14" s="27">
        <f t="shared" si="14"/>
        <v>0</v>
      </c>
      <c r="BC14" s="27">
        <f>IF($D14="是",K14-L14,0)</f>
        <v>14186.43</v>
      </c>
      <c r="BD14" s="27">
        <f t="shared" si="15"/>
        <v>0</v>
      </c>
      <c r="BE14" s="27">
        <f t="shared" si="16"/>
        <v>0</v>
      </c>
      <c r="BF14" s="27">
        <f t="shared" si="17"/>
        <v>0</v>
      </c>
      <c r="BG14" s="27">
        <f t="shared" si="18"/>
        <v>0</v>
      </c>
      <c r="BH14" s="27">
        <f t="shared" si="19"/>
        <v>0</v>
      </c>
      <c r="BI14" s="27">
        <f t="shared" si="20"/>
        <v>0</v>
      </c>
      <c r="BJ14" s="27">
        <f t="shared" si="21"/>
        <v>0</v>
      </c>
      <c r="BK14" s="27">
        <f t="shared" si="22"/>
        <v>0</v>
      </c>
      <c r="BL14" s="27">
        <f t="shared" si="23"/>
        <v>0</v>
      </c>
      <c r="BM14" s="27">
        <f t="shared" si="24"/>
        <v>0</v>
      </c>
      <c r="BN14" s="27">
        <f t="shared" si="25"/>
        <v>0</v>
      </c>
      <c r="BO14" s="27">
        <f t="shared" si="26"/>
        <v>0</v>
      </c>
      <c r="BP14" s="27">
        <f t="shared" si="27"/>
        <v>0</v>
      </c>
      <c r="BQ14" s="27">
        <f t="shared" si="28"/>
        <v>0</v>
      </c>
      <c r="BR14" s="27">
        <f t="shared" si="29"/>
        <v>0</v>
      </c>
      <c r="BS14" s="27">
        <f t="shared" si="30"/>
        <v>0</v>
      </c>
      <c r="BT14" s="36">
        <f t="shared" si="31"/>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ref="BC15:BC20" si="32">IF($D15="是",K15-L15,0)</f>
        <v>0</v>
      </c>
      <c r="BD15" s="27">
        <f t="shared" si="15"/>
        <v>0</v>
      </c>
      <c r="BE15" s="27">
        <f t="shared" si="16"/>
        <v>0</v>
      </c>
      <c r="BF15" s="27">
        <f t="shared" si="17"/>
        <v>0</v>
      </c>
      <c r="BG15" s="27">
        <f t="shared" si="18"/>
        <v>0</v>
      </c>
      <c r="BH15" s="27">
        <f t="shared" si="19"/>
        <v>0</v>
      </c>
      <c r="BI15" s="27">
        <f t="shared" si="20"/>
        <v>0</v>
      </c>
      <c r="BJ15" s="27">
        <f t="shared" si="21"/>
        <v>0</v>
      </c>
      <c r="BK15" s="27">
        <f t="shared" si="22"/>
        <v>0</v>
      </c>
      <c r="BL15" s="27">
        <f t="shared" si="23"/>
        <v>0</v>
      </c>
      <c r="BM15" s="27">
        <f t="shared" si="24"/>
        <v>0</v>
      </c>
      <c r="BN15" s="27">
        <f t="shared" si="25"/>
        <v>0</v>
      </c>
      <c r="BO15" s="27">
        <f t="shared" si="26"/>
        <v>0</v>
      </c>
      <c r="BP15" s="27">
        <f t="shared" si="27"/>
        <v>0</v>
      </c>
      <c r="BQ15" s="27">
        <f t="shared" si="28"/>
        <v>0</v>
      </c>
      <c r="BR15" s="27">
        <f t="shared" si="29"/>
        <v>0</v>
      </c>
      <c r="BS15" s="27">
        <f t="shared" si="30"/>
        <v>0</v>
      </c>
      <c r="BT15" s="36">
        <f t="shared" si="31"/>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32"/>
        <v>0</v>
      </c>
      <c r="BD16" s="27">
        <f t="shared" si="15"/>
        <v>0</v>
      </c>
      <c r="BE16" s="27">
        <f t="shared" si="16"/>
        <v>0</v>
      </c>
      <c r="BF16" s="27">
        <f t="shared" si="17"/>
        <v>0</v>
      </c>
      <c r="BG16" s="27">
        <f t="shared" si="18"/>
        <v>0</v>
      </c>
      <c r="BH16" s="27">
        <f t="shared" si="19"/>
        <v>0</v>
      </c>
      <c r="BI16" s="27">
        <f t="shared" si="20"/>
        <v>0</v>
      </c>
      <c r="BJ16" s="27">
        <f t="shared" si="21"/>
        <v>0</v>
      </c>
      <c r="BK16" s="27">
        <f t="shared" si="22"/>
        <v>0</v>
      </c>
      <c r="BL16" s="27">
        <f t="shared" si="23"/>
        <v>0</v>
      </c>
      <c r="BM16" s="27">
        <f t="shared" si="24"/>
        <v>0</v>
      </c>
      <c r="BN16" s="27">
        <f t="shared" si="25"/>
        <v>0</v>
      </c>
      <c r="BO16" s="27">
        <f t="shared" si="26"/>
        <v>0</v>
      </c>
      <c r="BP16" s="27">
        <f t="shared" si="27"/>
        <v>0</v>
      </c>
      <c r="BQ16" s="27">
        <f t="shared" si="28"/>
        <v>0</v>
      </c>
      <c r="BR16" s="27">
        <f t="shared" si="29"/>
        <v>0</v>
      </c>
      <c r="BS16" s="27">
        <f t="shared" si="30"/>
        <v>0</v>
      </c>
      <c r="BT16" s="36">
        <f t="shared" si="31"/>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32"/>
        <v>0</v>
      </c>
      <c r="BD17" s="27">
        <f t="shared" si="15"/>
        <v>0</v>
      </c>
      <c r="BE17" s="27">
        <f t="shared" si="16"/>
        <v>0</v>
      </c>
      <c r="BF17" s="27">
        <f t="shared" si="17"/>
        <v>0</v>
      </c>
      <c r="BG17" s="27">
        <f t="shared" si="18"/>
        <v>0</v>
      </c>
      <c r="BH17" s="27">
        <f t="shared" si="19"/>
        <v>0</v>
      </c>
      <c r="BI17" s="27">
        <f t="shared" si="20"/>
        <v>0</v>
      </c>
      <c r="BJ17" s="27">
        <f t="shared" si="21"/>
        <v>0</v>
      </c>
      <c r="BK17" s="27">
        <f t="shared" si="22"/>
        <v>0</v>
      </c>
      <c r="BL17" s="27">
        <f t="shared" si="23"/>
        <v>0</v>
      </c>
      <c r="BM17" s="27">
        <f t="shared" si="24"/>
        <v>0</v>
      </c>
      <c r="BN17" s="27">
        <f t="shared" si="25"/>
        <v>0</v>
      </c>
      <c r="BO17" s="27">
        <f t="shared" si="26"/>
        <v>0</v>
      </c>
      <c r="BP17" s="27">
        <f t="shared" si="27"/>
        <v>0</v>
      </c>
      <c r="BQ17" s="27">
        <f t="shared" si="28"/>
        <v>0</v>
      </c>
      <c r="BR17" s="27">
        <f t="shared" si="29"/>
        <v>0</v>
      </c>
      <c r="BS17" s="27">
        <f t="shared" si="30"/>
        <v>0</v>
      </c>
      <c r="BT17" s="36">
        <f t="shared" si="31"/>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32"/>
        <v>0</v>
      </c>
      <c r="BD18" s="87">
        <f t="shared" si="15"/>
        <v>0</v>
      </c>
      <c r="BE18" s="87">
        <f t="shared" si="16"/>
        <v>0</v>
      </c>
      <c r="BF18" s="87">
        <f t="shared" si="17"/>
        <v>0</v>
      </c>
      <c r="BG18" s="87">
        <f t="shared" si="18"/>
        <v>0</v>
      </c>
      <c r="BH18" s="87">
        <f t="shared" si="19"/>
        <v>0</v>
      </c>
      <c r="BI18" s="87">
        <f t="shared" si="20"/>
        <v>0</v>
      </c>
      <c r="BJ18" s="87">
        <f t="shared" si="21"/>
        <v>0</v>
      </c>
      <c r="BK18" s="87">
        <f t="shared" si="22"/>
        <v>0</v>
      </c>
      <c r="BL18" s="87">
        <f t="shared" si="23"/>
        <v>0</v>
      </c>
      <c r="BM18" s="87">
        <f t="shared" si="24"/>
        <v>0</v>
      </c>
      <c r="BN18" s="87">
        <f t="shared" si="25"/>
        <v>0</v>
      </c>
      <c r="BO18" s="87">
        <f t="shared" si="26"/>
        <v>0</v>
      </c>
      <c r="BP18" s="87">
        <f t="shared" si="27"/>
        <v>0</v>
      </c>
      <c r="BQ18" s="87">
        <f t="shared" si="28"/>
        <v>0</v>
      </c>
      <c r="BR18" s="87">
        <f t="shared" si="29"/>
        <v>0</v>
      </c>
      <c r="BS18" s="87">
        <f t="shared" si="30"/>
        <v>0</v>
      </c>
      <c r="BT18" s="96">
        <f t="shared" si="31"/>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32"/>
        <v>0</v>
      </c>
      <c r="BD19" s="87">
        <f t="shared" si="15"/>
        <v>0</v>
      </c>
      <c r="BE19" s="87">
        <f t="shared" si="16"/>
        <v>0</v>
      </c>
      <c r="BF19" s="87">
        <f t="shared" si="17"/>
        <v>0</v>
      </c>
      <c r="BG19" s="87">
        <f t="shared" si="18"/>
        <v>0</v>
      </c>
      <c r="BH19" s="87">
        <f t="shared" si="19"/>
        <v>0</v>
      </c>
      <c r="BI19" s="87">
        <f t="shared" si="20"/>
        <v>0</v>
      </c>
      <c r="BJ19" s="87">
        <f t="shared" si="21"/>
        <v>0</v>
      </c>
      <c r="BK19" s="87">
        <f t="shared" si="22"/>
        <v>0</v>
      </c>
      <c r="BL19" s="87">
        <f t="shared" si="23"/>
        <v>0</v>
      </c>
      <c r="BM19" s="87">
        <f t="shared" si="24"/>
        <v>0</v>
      </c>
      <c r="BN19" s="87">
        <f t="shared" si="25"/>
        <v>0</v>
      </c>
      <c r="BO19" s="87">
        <f t="shared" si="26"/>
        <v>0</v>
      </c>
      <c r="BP19" s="87">
        <f t="shared" si="27"/>
        <v>0</v>
      </c>
      <c r="BQ19" s="87">
        <f t="shared" si="28"/>
        <v>0</v>
      </c>
      <c r="BR19" s="87">
        <f t="shared" si="29"/>
        <v>0</v>
      </c>
      <c r="BS19" s="87">
        <f t="shared" si="30"/>
        <v>0</v>
      </c>
      <c r="BT19" s="96">
        <f t="shared" si="31"/>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32"/>
        <v>0</v>
      </c>
      <c r="BD20" s="87">
        <f t="shared" si="15"/>
        <v>0</v>
      </c>
      <c r="BE20" s="87">
        <f t="shared" si="16"/>
        <v>0</v>
      </c>
      <c r="BF20" s="87">
        <f t="shared" si="17"/>
        <v>0</v>
      </c>
      <c r="BG20" s="87">
        <f t="shared" si="18"/>
        <v>0</v>
      </c>
      <c r="BH20" s="87">
        <f t="shared" si="19"/>
        <v>0</v>
      </c>
      <c r="BI20" s="87">
        <f t="shared" si="20"/>
        <v>0</v>
      </c>
      <c r="BJ20" s="87">
        <f t="shared" si="21"/>
        <v>0</v>
      </c>
      <c r="BK20" s="87">
        <f t="shared" si="22"/>
        <v>0</v>
      </c>
      <c r="BL20" s="87">
        <f t="shared" si="23"/>
        <v>0</v>
      </c>
      <c r="BM20" s="87">
        <f t="shared" si="24"/>
        <v>0</v>
      </c>
      <c r="BN20" s="87">
        <f t="shared" si="25"/>
        <v>0</v>
      </c>
      <c r="BO20" s="87">
        <f t="shared" si="26"/>
        <v>0</v>
      </c>
      <c r="BP20" s="87">
        <f t="shared" si="27"/>
        <v>0</v>
      </c>
      <c r="BQ20" s="87">
        <f t="shared" si="28"/>
        <v>0</v>
      </c>
      <c r="BR20" s="87">
        <f t="shared" si="29"/>
        <v>0</v>
      </c>
      <c r="BS20" s="87">
        <f t="shared" si="30"/>
        <v>0</v>
      </c>
      <c r="BT20" s="96">
        <f t="shared" si="31"/>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8" t="s">
        <v>0</v>
      </c>
      <c r="B1" s="3568" t="s">
        <v>4</v>
      </c>
      <c r="C1" s="3568" t="s">
        <v>5</v>
      </c>
      <c r="D1" s="3569" t="s">
        <v>40</v>
      </c>
      <c r="E1" s="3569" t="s">
        <v>41</v>
      </c>
      <c r="F1" s="3569"/>
      <c r="G1" s="3569"/>
      <c r="H1" s="3569"/>
      <c r="I1" s="3569"/>
      <c r="J1" s="3569"/>
      <c r="K1" s="3569"/>
      <c r="L1" s="3569"/>
      <c r="M1" s="3569"/>
    </row>
    <row r="2" spans="1:13" ht="27" customHeight="1">
      <c r="A2" s="3568"/>
      <c r="B2" s="3568"/>
      <c r="C2" s="3568"/>
      <c r="D2" s="3569"/>
      <c r="E2" s="3569" t="s">
        <v>24</v>
      </c>
      <c r="F2" s="3569" t="s">
        <v>25</v>
      </c>
      <c r="G2" s="3569"/>
      <c r="H2" s="3569"/>
      <c r="I2" s="3569"/>
      <c r="J2" s="3569" t="s">
        <v>26</v>
      </c>
      <c r="K2" s="3569"/>
      <c r="L2" s="3569"/>
      <c r="M2" s="3569"/>
    </row>
    <row r="3" spans="1:13" ht="28.5">
      <c r="A3" s="3568"/>
      <c r="B3" s="3568"/>
      <c r="C3" s="3568"/>
      <c r="D3" s="3569"/>
      <c r="E3" s="35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9" t="s">
        <v>42</v>
      </c>
      <c r="B9" s="3569"/>
      <c r="C9" s="35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E33" sqref="E3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79" t="s">
        <v>203</v>
      </c>
      <c r="B2" s="3579"/>
      <c r="C2" s="3579"/>
      <c r="D2" s="1975" t="s">
        <v>204</v>
      </c>
      <c r="E2" s="106" t="s">
        <v>205</v>
      </c>
      <c r="F2" s="1984"/>
      <c r="G2" s="1198"/>
      <c r="H2" s="1199"/>
      <c r="I2" s="1200" t="s">
        <v>858</v>
      </c>
      <c r="J2" s="1984"/>
      <c r="K2" s="1984"/>
      <c r="L2" s="1984"/>
    </row>
    <row r="3" spans="1:16" ht="15.75" thickBot="1">
      <c r="A3" s="3580" t="s">
        <v>206</v>
      </c>
      <c r="B3" s="3580"/>
      <c r="C3" s="3580"/>
      <c r="D3" s="107">
        <f>'数据-基础表'!AY6</f>
        <v>56745.7</v>
      </c>
      <c r="E3" s="107">
        <f>'数据-基础表'!AZ5</f>
        <v>141864.26</v>
      </c>
      <c r="F3" s="1984"/>
      <c r="G3" s="280" t="s">
        <v>859</v>
      </c>
      <c r="H3" s="275" t="s">
        <v>860</v>
      </c>
      <c r="I3" s="1976">
        <f>ROUND('数据-基础表'!B3/'数据-基础表'!A3,2)</f>
        <v>2.5</v>
      </c>
      <c r="J3" s="1984"/>
      <c r="K3" s="1984"/>
      <c r="L3" s="1984"/>
    </row>
    <row r="4" spans="1:16" ht="15">
      <c r="A4" s="3581"/>
      <c r="B4" s="3582"/>
      <c r="C4" s="3583"/>
      <c r="D4" s="108" t="s">
        <v>204</v>
      </c>
      <c r="E4" s="109" t="s">
        <v>205</v>
      </c>
      <c r="F4" s="1984"/>
      <c r="G4" s="1201"/>
      <c r="H4" s="275" t="s">
        <v>861</v>
      </c>
      <c r="I4" s="1976">
        <f>ROUND(SUMIF('数据-基础表'!I9:AS9,"地上",'数据-基础表'!I5:AS5)/'数据-基础表'!A3,2)</f>
        <v>2.5</v>
      </c>
      <c r="J4" s="1984"/>
      <c r="K4" s="1984"/>
      <c r="L4" s="1984"/>
    </row>
    <row r="5" spans="1:16">
      <c r="A5" s="110" t="s">
        <v>207</v>
      </c>
      <c r="B5" s="3584" t="s">
        <v>230</v>
      </c>
      <c r="C5" s="3584"/>
      <c r="D5" s="111">
        <f>ROUND($D$3*E5/$E$3,2)</f>
        <v>51071.13</v>
      </c>
      <c r="E5" s="112">
        <f>SUMIF('数据-基础表'!$11:$11,"住宅",'数据-基础表'!$5:$5)</f>
        <v>127677.83</v>
      </c>
      <c r="F5" s="1984"/>
      <c r="G5" s="280" t="s">
        <v>862</v>
      </c>
      <c r="H5" s="275" t="s">
        <v>860</v>
      </c>
      <c r="I5" s="1976">
        <f>ROUND(E31/D31,2)</f>
        <v>2.5</v>
      </c>
      <c r="J5" s="1984"/>
      <c r="K5" s="1984"/>
      <c r="L5" s="1984"/>
    </row>
    <row r="6" spans="1:16" ht="15" thickBot="1">
      <c r="A6" s="113"/>
      <c r="B6" s="3584" t="s">
        <v>208</v>
      </c>
      <c r="C6" s="3584"/>
      <c r="D6" s="111">
        <f>ROUND($D$3*E6/$E$3,2)</f>
        <v>5674.57</v>
      </c>
      <c r="E6" s="112">
        <f>E3-E5</f>
        <v>14186.430000000008</v>
      </c>
      <c r="F6" s="1984"/>
      <c r="G6" s="1201"/>
      <c r="H6" s="275" t="s">
        <v>861</v>
      </c>
      <c r="I6" s="1976">
        <f>ROUND(F31/D31,2)</f>
        <v>2.5</v>
      </c>
      <c r="J6" s="1984"/>
      <c r="K6" s="1984"/>
      <c r="L6" s="1984"/>
    </row>
    <row r="7" spans="1:16" ht="15">
      <c r="A7" s="3576"/>
      <c r="B7" s="3577"/>
      <c r="C7" s="3578"/>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56745.7</v>
      </c>
      <c r="E8" s="116">
        <f>SUMIF('数据-基础表'!BB10:BK10,"地上",'数据-基础表'!BB5:BK5)</f>
        <v>141864.26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2326</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2333</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56745.7</v>
      </c>
      <c r="E16" s="120">
        <f>SUM(E8:E15)</f>
        <v>141864.26</v>
      </c>
      <c r="F16" s="1984"/>
      <c r="G16" s="1986"/>
      <c r="H16" s="968" t="s">
        <v>219</v>
      </c>
      <c r="I16" s="969"/>
      <c r="J16" s="1984"/>
      <c r="K16" s="3570" t="s">
        <v>2568</v>
      </c>
      <c r="L16" s="3571"/>
      <c r="M16" s="3571"/>
      <c r="N16" s="3571"/>
      <c r="O16" s="3571"/>
      <c r="P16" s="3572"/>
    </row>
    <row r="17" spans="1:19" ht="15">
      <c r="A17" s="121" t="s">
        <v>216</v>
      </c>
      <c r="B17" s="122" t="s">
        <v>217</v>
      </c>
      <c r="C17" s="2298" t="s">
        <v>2314</v>
      </c>
      <c r="D17" s="108" t="s">
        <v>204</v>
      </c>
      <c r="E17" s="124" t="s">
        <v>205</v>
      </c>
      <c r="F17" s="125"/>
      <c r="G17" s="1366"/>
      <c r="H17" s="970" t="s">
        <v>218</v>
      </c>
      <c r="I17" s="971" t="s">
        <v>2313</v>
      </c>
      <c r="J17" s="1984"/>
      <c r="K17" s="3573" t="s">
        <v>2569</v>
      </c>
      <c r="L17" s="3574"/>
      <c r="M17" s="3575"/>
      <c r="N17" s="3573" t="s">
        <v>2570</v>
      </c>
      <c r="O17" s="3574"/>
      <c r="P17" s="3575"/>
      <c r="R17" s="2299" t="s">
        <v>2312</v>
      </c>
      <c r="S17" s="144"/>
    </row>
    <row r="18" spans="1:19" ht="15">
      <c r="A18" s="117"/>
      <c r="B18" s="128"/>
      <c r="C18" s="129"/>
      <c r="D18" s="2667"/>
      <c r="E18" s="130" t="s">
        <v>220</v>
      </c>
      <c r="F18" s="131" t="s">
        <v>221</v>
      </c>
      <c r="G18" s="1367" t="s">
        <v>222</v>
      </c>
      <c r="H18" s="972" t="s">
        <v>223</v>
      </c>
      <c r="I18" s="973" t="s">
        <v>224</v>
      </c>
      <c r="J18" s="1984"/>
      <c r="K18" s="2629" t="s">
        <v>2571</v>
      </c>
      <c r="L18" s="2630" t="s">
        <v>2572</v>
      </c>
      <c r="M18" s="2631" t="s">
        <v>2573</v>
      </c>
      <c r="N18" s="2629" t="s">
        <v>2571</v>
      </c>
      <c r="O18" s="2630" t="s">
        <v>2572</v>
      </c>
      <c r="P18" s="2631" t="s">
        <v>2573</v>
      </c>
      <c r="R18" s="2300" t="s">
        <v>2310</v>
      </c>
      <c r="S18" s="2300" t="s">
        <v>2311</v>
      </c>
    </row>
    <row r="19" spans="1:19">
      <c r="A19" s="133"/>
      <c r="B19" s="115" t="s">
        <v>225</v>
      </c>
      <c r="C19" s="3050" t="s">
        <v>3223</v>
      </c>
      <c r="D19" s="111">
        <f t="shared" ref="D19:D26" si="1">ROUND($D$3*E19/$E$3,2)</f>
        <v>51071.13</v>
      </c>
      <c r="E19" s="134">
        <f t="shared" ref="E19:E26" si="2">SUM(F19:G19)</f>
        <v>127677.83</v>
      </c>
      <c r="F19" s="135">
        <f>'数据-基础表'!I13</f>
        <v>127677.83</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51071.13</v>
      </c>
      <c r="S19" s="2301">
        <f t="shared" si="5"/>
        <v>127677.83</v>
      </c>
    </row>
    <row r="20" spans="1:19">
      <c r="A20" s="138"/>
      <c r="B20" s="115" t="s">
        <v>226</v>
      </c>
      <c r="C20" s="3050" t="s">
        <v>3305</v>
      </c>
      <c r="D20" s="111">
        <f t="shared" si="1"/>
        <v>5674.57</v>
      </c>
      <c r="E20" s="134">
        <f t="shared" si="2"/>
        <v>14186.43</v>
      </c>
      <c r="F20" s="135">
        <f>'数据-基础表'!K14</f>
        <v>14186.43</v>
      </c>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5674.57</v>
      </c>
      <c r="S20" s="2301">
        <f t="shared" si="5"/>
        <v>14186.43</v>
      </c>
    </row>
    <row r="21" spans="1:19">
      <c r="A21" s="138"/>
      <c r="B21" s="115" t="s">
        <v>226</v>
      </c>
      <c r="C21" s="3050"/>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56745.7</v>
      </c>
      <c r="E27" s="143">
        <f>IF(SUM(E19:E26)='数据-基础表'!BA5,SUM(E19:E26),IF(F27="地上面积有误","面积有误","地下面积有误"))</f>
        <v>141864.26</v>
      </c>
      <c r="F27" s="134">
        <f>IF(SUM(F19:F26)=E8,SUM(F19:F26),"地上面积有误")</f>
        <v>141864.26</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56745.7</v>
      </c>
      <c r="S27" s="275">
        <f>IF(SUM(S19:S26)=$E$3,SUM(S19:S26),SUM(S19:S26)&amp;"误差"&amp;ROUND(SUM(S19:S26)-E3,2))</f>
        <v>141864.26</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56745.7</v>
      </c>
      <c r="E31" s="1372">
        <f>E27+E30</f>
        <v>141864.26</v>
      </c>
      <c r="F31" s="1373">
        <f>F27+F30</f>
        <v>141864.26</v>
      </c>
      <c r="G31" s="1374">
        <f>G27+G30</f>
        <v>0</v>
      </c>
      <c r="H31" s="1984"/>
      <c r="I31" s="1984"/>
      <c r="J31" s="1984"/>
      <c r="K31" s="1984"/>
      <c r="L31" s="1984"/>
    </row>
    <row r="32" spans="1:19">
      <c r="A32" s="1984"/>
      <c r="B32" s="2363" t="s">
        <v>2322</v>
      </c>
      <c r="C32" s="2672"/>
      <c r="D32" s="1201"/>
      <c r="E32" s="1201">
        <f>SUMIF(C19:C26,"*住宅*",E19:E26)</f>
        <v>127677.83</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N23" sqref="N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43159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2830</v>
      </c>
      <c r="O5" s="163" t="s">
        <v>246</v>
      </c>
      <c r="P5" s="165" t="s">
        <v>247</v>
      </c>
      <c r="Q5" s="166" t="s">
        <v>248</v>
      </c>
      <c r="R5" s="167" t="s">
        <v>249</v>
      </c>
      <c r="S5" s="2645" t="s">
        <v>2574</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2324</v>
      </c>
      <c r="AI5" s="171" t="s">
        <v>2293</v>
      </c>
      <c r="AJ5" s="171" t="s">
        <v>258</v>
      </c>
      <c r="AK5" s="159" t="s">
        <v>259</v>
      </c>
      <c r="AL5" s="159" t="s">
        <v>260</v>
      </c>
      <c r="AM5" s="172" t="s">
        <v>261</v>
      </c>
      <c r="AN5" s="2415"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68726</v>
      </c>
      <c r="F6" s="174">
        <f>SUMIF(项目基本情况!D$15:I$15,C6,项目基本情况!D$19:I$19)</f>
        <v>70</v>
      </c>
      <c r="G6" s="175">
        <f>IF(ISERROR(ROUND(POWER(1+H6,D6-F6)*(POWER(1+H6,F6)-1)/(POWER(1+H6,D6)-1),3)),0,ROUND(POWER(1+H6,D6-F6)*(POWER(1+H6,F6)-1)/(POWER(1+H6,D6)-1),3))</f>
        <v>1</v>
      </c>
      <c r="H6" s="3051">
        <v>0.04</v>
      </c>
      <c r="I6" s="3051">
        <v>4.4999999999999998E-2</v>
      </c>
      <c r="J6" s="176">
        <v>0.08</v>
      </c>
      <c r="K6" s="179">
        <f>SUMIF('数据-汇总表'!C$19:C$33,'数据-取费表'!A6,'数据-汇总表'!E$19:E$33)</f>
        <v>127677.83</v>
      </c>
      <c r="L6" s="3052">
        <v>2400</v>
      </c>
      <c r="M6" s="177">
        <f t="shared" ref="M6:M14" si="0">ROUND(K6*L6/10000,0)</f>
        <v>30643</v>
      </c>
      <c r="N6" s="3053">
        <v>0</v>
      </c>
      <c r="O6" s="177">
        <f>IF($N$5="成新度","——",ROUND(M6*N6,0))</f>
        <v>0</v>
      </c>
      <c r="P6" s="178">
        <f>IF($N$5="成新度","——",M6-O6)</f>
        <v>30643</v>
      </c>
      <c r="Q6" s="3054">
        <v>0.05</v>
      </c>
      <c r="R6" s="179">
        <f>SUMIF('数据-汇总表'!C$19:C$33,A6,'数据-汇总表'!R$19:R$33)</f>
        <v>51071.13</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v>1</v>
      </c>
      <c r="AE6" s="972">
        <f ca="1">IF(AN6="",0,SUMIF(INDIRECT("'"&amp;AN6&amp;"'"&amp;"!E:E"),$AE$5,INDIRECT("'"&amp;AN6&amp;"'"&amp;"!F:F")))</f>
        <v>0</v>
      </c>
      <c r="AF6" s="141"/>
      <c r="AG6" s="1213">
        <f>IF(AF6="",0,AE6-AF6)</f>
        <v>0</v>
      </c>
      <c r="AH6" s="141"/>
      <c r="AI6" s="187"/>
      <c r="AJ6" s="188"/>
      <c r="AK6" s="189"/>
      <c r="AL6" s="190"/>
      <c r="AM6" s="3065"/>
      <c r="AN6" s="2416"/>
      <c r="AO6" s="2000"/>
      <c r="AP6" s="1204">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3303</v>
      </c>
      <c r="D7" s="2308">
        <f>SUMIF(项目基本情况!D$15:I$15,C7,项目基本情况!D$18:I$18)</f>
        <v>40</v>
      </c>
      <c r="E7" s="2309">
        <f>IF(B7="","",SUMIF(项目基本情况!D$15:I$15,C7,项目基本情况!D$17:I$17))</f>
        <v>57769</v>
      </c>
      <c r="F7" s="174">
        <f>SUMIF(项目基本情况!D$15:I$15,C7,项目基本情况!D$19:I$19)</f>
        <v>40</v>
      </c>
      <c r="G7" s="175">
        <f t="shared" ref="G7:G11" si="2">IF(ISERROR(ROUND(POWER(1+H7,D7-F7)*(POWER(1+H7,F7)-1)/(POWER(1+H7,D7)-1),3)),0,ROUND(POWER(1+H7,D7-F7)*(POWER(1+H7,F7)-1)/(POWER(1+H7,D7)-1),3))</f>
        <v>1</v>
      </c>
      <c r="H7" s="3051">
        <v>4.4999999999999998E-2</v>
      </c>
      <c r="I7" s="3051">
        <v>0.05</v>
      </c>
      <c r="J7" s="176">
        <v>8.5000000000000006E-2</v>
      </c>
      <c r="K7" s="179">
        <f>SUMIF('数据-汇总表'!C$19:C$33,'数据-取费表'!A7,'数据-汇总表'!E$19:E$33)</f>
        <v>14186.43</v>
      </c>
      <c r="L7" s="3052">
        <v>1700</v>
      </c>
      <c r="M7" s="177">
        <f t="shared" si="0"/>
        <v>2412</v>
      </c>
      <c r="N7" s="3053">
        <v>0</v>
      </c>
      <c r="O7" s="177">
        <f t="shared" ref="O7:O14" si="3">IF($N$5="成新度","——",ROUND(M7*N7,0))</f>
        <v>0</v>
      </c>
      <c r="P7" s="178">
        <f t="shared" ref="P7:P14" si="4">IF($N$5="成新度","——",M7-O7)</f>
        <v>2412</v>
      </c>
      <c r="Q7" s="3054">
        <v>0.15</v>
      </c>
      <c r="R7" s="179">
        <f>SUMIF('数据-汇总表'!C$19:C$33,A7,'数据-汇总表'!R$19:R$33)</f>
        <v>5674.57</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6</v>
      </c>
      <c r="V7" s="181">
        <v>0.03</v>
      </c>
      <c r="W7" s="181">
        <v>0.15</v>
      </c>
      <c r="X7" s="2321"/>
      <c r="Y7" s="182">
        <v>1</v>
      </c>
      <c r="Z7" s="183"/>
      <c r="AA7" s="176"/>
      <c r="AB7" s="176"/>
      <c r="AC7" s="2324"/>
      <c r="AD7" s="184"/>
      <c r="AE7" s="972">
        <f t="shared" ref="AE7:AE13" ca="1" si="6">IF(AN7="",0,SUMIF(INDIRECT("'"&amp;AN7&amp;"'"&amp;"!E:E"),$AE$5,INDIRECT("'"&amp;AN7&amp;"'"&amp;"!F:F")))</f>
        <v>38</v>
      </c>
      <c r="AF7" s="141"/>
      <c r="AG7" s="1213">
        <f t="shared" ref="AG7:AG13" si="7">IF(AF7="",0,AE7-AF7)</f>
        <v>0</v>
      </c>
      <c r="AH7" s="141"/>
      <c r="AI7" s="187">
        <v>365</v>
      </c>
      <c r="AJ7" s="188"/>
      <c r="AK7" s="189">
        <v>1.4999999999999999E-2</v>
      </c>
      <c r="AL7" s="190">
        <v>1.5E-3</v>
      </c>
      <c r="AM7" s="2414">
        <v>0.01</v>
      </c>
      <c r="AN7" s="2416" t="s">
        <v>3306</v>
      </c>
      <c r="AO7" s="2000"/>
      <c r="AP7" s="1204">
        <f t="shared" ref="AP7:AP13" si="8">ROUND(1-1/(1+H7)^F7,3)</f>
        <v>0.82799999999999996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1681</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1681</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141864.26</v>
      </c>
      <c r="L16" s="206">
        <f>ROUND(M16*10000/SUM(K6:K14),0)</f>
        <v>2330</v>
      </c>
      <c r="M16" s="206">
        <f>SUM(M6:M14)</f>
        <v>33055</v>
      </c>
      <c r="N16" s="207">
        <f>ROUND(SUMPRODUCT(M6:M14,N6:N14)/M16,3)</f>
        <v>0</v>
      </c>
      <c r="O16" s="206">
        <f>SUM(O6:O14)</f>
        <v>0</v>
      </c>
      <c r="P16" s="206">
        <f>SUM(P6:P14)</f>
        <v>33055</v>
      </c>
      <c r="Q16" s="208">
        <f>ROUND(SUMPRODUCT(Q6:Q13,K6:K13)/SUMPRODUCT((Q6:Q13&gt;0)*(K6:K13)),2)</f>
        <v>0.06</v>
      </c>
      <c r="R16" s="2311">
        <f>SUM(R6:R13)</f>
        <v>56745.7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0.92500000000000004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2335</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2334</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2337</v>
      </c>
      <c r="B27" s="227">
        <v>105</v>
      </c>
      <c r="C27" s="2367" t="s">
        <v>2341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2338</v>
      </c>
      <c r="B28" s="229">
        <v>105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2336</v>
      </c>
      <c r="B29" s="232"/>
      <c r="C29" s="1553" t="s">
        <v>2339</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2893</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2340</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0"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1"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1"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3224</v>
      </c>
      <c r="C53" s="3102" t="s">
        <v>2903</v>
      </c>
      <c r="D53" s="3103"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2905</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2906</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2907</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2908</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2909</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3225</v>
      </c>
      <c r="B59" s="186">
        <v>5</v>
      </c>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85" t="s">
        <v>1665</v>
      </c>
      <c r="B1" s="3586"/>
      <c r="C1" s="3586"/>
      <c r="D1" s="3586"/>
      <c r="E1" s="3586"/>
      <c r="F1" s="3586"/>
      <c r="G1" s="3586"/>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2920</v>
      </c>
      <c r="D3" s="2009"/>
      <c r="E3" s="1229" t="s">
        <v>1668</v>
      </c>
      <c r="F3" s="1230" t="s">
        <v>1656</v>
      </c>
      <c r="G3" s="3111" t="s">
        <v>2919</v>
      </c>
      <c r="H3" s="2008"/>
      <c r="I3" s="2008"/>
      <c r="J3" s="2008"/>
      <c r="K3" s="2008"/>
      <c r="L3" s="2008"/>
      <c r="M3" s="2008"/>
      <c r="N3" s="2008"/>
      <c r="O3" s="2008"/>
      <c r="P3" s="2008"/>
      <c r="Q3" s="2008"/>
      <c r="R3" s="2008"/>
    </row>
    <row r="4" spans="1:18" ht="41.25">
      <c r="A4" s="1229"/>
      <c r="B4" s="1231" t="s">
        <v>1669</v>
      </c>
      <c r="C4" s="3108" t="s">
        <v>2921</v>
      </c>
      <c r="D4" s="2009"/>
      <c r="E4" s="1232"/>
      <c r="F4" s="1233" t="s">
        <v>1670</v>
      </c>
      <c r="G4" s="3109" t="s">
        <v>2916</v>
      </c>
      <c r="H4" s="2008"/>
      <c r="I4" s="2008"/>
      <c r="J4" s="2008"/>
      <c r="K4" s="2008"/>
      <c r="L4" s="2008"/>
      <c r="M4" s="2008"/>
      <c r="N4" s="2008"/>
      <c r="O4" s="2008"/>
      <c r="P4" s="2008"/>
      <c r="Q4" s="2008"/>
      <c r="R4" s="2008"/>
    </row>
    <row r="5" spans="1:18" ht="41.25">
      <c r="A5" s="1229"/>
      <c r="B5" s="1231" t="s">
        <v>1671</v>
      </c>
      <c r="C5" s="3108" t="s">
        <v>2922</v>
      </c>
      <c r="D5" s="2009"/>
      <c r="E5" s="1232"/>
      <c r="F5" s="1231" t="s">
        <v>2548</v>
      </c>
      <c r="G5" s="3109" t="s">
        <v>2917</v>
      </c>
      <c r="H5" s="2008"/>
      <c r="I5" s="2008"/>
      <c r="J5" s="2008"/>
      <c r="K5" s="2008"/>
      <c r="L5" s="2008"/>
      <c r="M5" s="2008"/>
      <c r="N5" s="2008"/>
      <c r="O5" s="2008"/>
      <c r="P5" s="2008"/>
      <c r="Q5" s="2008"/>
      <c r="R5" s="2008"/>
    </row>
    <row r="6" spans="1:18" ht="54">
      <c r="A6" s="1229"/>
      <c r="B6" s="1231" t="s">
        <v>1657</v>
      </c>
      <c r="C6" s="3109" t="s">
        <v>2916</v>
      </c>
      <c r="D6" s="2009"/>
      <c r="E6" s="1232"/>
      <c r="F6" s="1231" t="s">
        <v>2549</v>
      </c>
      <c r="G6" s="3109" t="s">
        <v>2914</v>
      </c>
      <c r="H6" s="2008"/>
      <c r="I6" s="2008"/>
      <c r="J6" s="2008"/>
      <c r="K6" s="2008"/>
      <c r="L6" s="2008"/>
      <c r="M6" s="2008"/>
      <c r="N6" s="2008"/>
      <c r="O6" s="2008"/>
      <c r="P6" s="2008"/>
      <c r="Q6" s="2008"/>
      <c r="R6" s="2008"/>
    </row>
    <row r="7" spans="1:18" ht="41.25" thickBot="1">
      <c r="A7" s="1229"/>
      <c r="B7" s="1231" t="s">
        <v>2548</v>
      </c>
      <c r="C7" s="3109" t="s">
        <v>2917</v>
      </c>
      <c r="D7" s="2010"/>
      <c r="E7" s="1234"/>
      <c r="F7" s="1235" t="s">
        <v>1672</v>
      </c>
      <c r="G7" s="3112" t="s">
        <v>2918</v>
      </c>
      <c r="H7" s="2008"/>
      <c r="I7" s="2008"/>
      <c r="J7" s="2008"/>
      <c r="K7" s="2008"/>
      <c r="L7" s="2008"/>
      <c r="M7" s="2008"/>
      <c r="N7" s="2008"/>
      <c r="O7" s="2008"/>
      <c r="P7" s="2008"/>
      <c r="Q7" s="2008"/>
      <c r="R7" s="2008"/>
    </row>
    <row r="8" spans="1:18" ht="27">
      <c r="A8" s="1229"/>
      <c r="B8" s="1231" t="s">
        <v>2549</v>
      </c>
      <c r="C8" s="3109" t="s">
        <v>2914</v>
      </c>
      <c r="D8" s="2010"/>
      <c r="E8" s="2010"/>
      <c r="F8" s="1554"/>
      <c r="G8" s="1554"/>
      <c r="H8" s="2008"/>
      <c r="I8" s="2008"/>
      <c r="J8" s="2008"/>
      <c r="K8" s="2008"/>
      <c r="L8" s="2008"/>
      <c r="M8" s="2008"/>
      <c r="N8" s="2008"/>
      <c r="O8" s="2008"/>
      <c r="P8" s="2008"/>
      <c r="Q8" s="2008"/>
      <c r="R8" s="2008"/>
    </row>
    <row r="9" spans="1:18" ht="40.5">
      <c r="A9" s="1229"/>
      <c r="B9" s="1231" t="s">
        <v>1658</v>
      </c>
      <c r="C9" s="3108" t="s">
        <v>2915</v>
      </c>
      <c r="D9" s="2009"/>
      <c r="E9" s="2010"/>
      <c r="F9" s="1554"/>
      <c r="G9" s="1554"/>
      <c r="H9" s="2008"/>
      <c r="I9" s="2008"/>
      <c r="J9" s="2008"/>
      <c r="K9" s="2008"/>
      <c r="L9" s="2008"/>
      <c r="M9" s="2008"/>
      <c r="N9" s="2008"/>
      <c r="O9" s="2008"/>
      <c r="P9" s="2008"/>
      <c r="Q9" s="2008"/>
      <c r="R9" s="2008"/>
    </row>
    <row r="10" spans="1:18" s="2016" customFormat="1" ht="15" thickBot="1">
      <c r="A10" s="1236"/>
      <c r="B10" s="1237" t="s">
        <v>1673</v>
      </c>
      <c r="C10" s="311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19"/>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19"/>
      <c r="D19" s="2009"/>
      <c r="E19" s="2610"/>
      <c r="F19" s="1231" t="s">
        <v>2548</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2549</v>
      </c>
      <c r="G20" s="1005" t="str">
        <f>G6</f>
        <v>估价对象所在区域基础设施水平</v>
      </c>
    </row>
    <row r="21" spans="1:7" ht="27">
      <c r="A21" s="2613"/>
      <c r="B21" s="1231" t="s">
        <v>2548</v>
      </c>
      <c r="C21" s="1005" t="str">
        <f>C7</f>
        <v>估价对象所在区域公共配套设施齐备情况</v>
      </c>
      <c r="D21" s="2009"/>
      <c r="E21" s="2610"/>
      <c r="F21" s="1247" t="s">
        <v>1663</v>
      </c>
      <c r="G21" s="3113"/>
    </row>
    <row r="22" spans="1:7" ht="27">
      <c r="A22" s="2613"/>
      <c r="B22" s="1231" t="s">
        <v>2549</v>
      </c>
      <c r="C22" s="1005" t="str">
        <f>C8</f>
        <v>估价对象所在区域基础设施水平</v>
      </c>
      <c r="D22" s="2009"/>
      <c r="E22" s="2610"/>
      <c r="F22" s="1247" t="s">
        <v>1673</v>
      </c>
      <c r="G22" s="2819"/>
    </row>
    <row r="23" spans="1:7" ht="15" thickBot="1">
      <c r="A23" s="2613"/>
      <c r="B23" s="1247" t="s">
        <v>1663</v>
      </c>
      <c r="C23" s="3113"/>
      <c r="E23" s="2611"/>
      <c r="F23" s="1248" t="s">
        <v>1677</v>
      </c>
      <c r="G23" s="3114"/>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2846</v>
      </c>
      <c r="B1" s="3071">
        <f>SUM(B14:B23)</f>
        <v>141864.26</v>
      </c>
      <c r="C1" s="3072"/>
      <c r="D1" s="3072"/>
      <c r="E1" s="3072"/>
      <c r="F1" s="3072"/>
    </row>
    <row r="2" spans="1:9" ht="16.5">
      <c r="A2" s="3071" t="s">
        <v>2847</v>
      </c>
      <c r="B2" s="3071">
        <f>SUM(C14:C23)</f>
        <v>56745.7</v>
      </c>
      <c r="C2" s="3072"/>
      <c r="D2" s="3072"/>
      <c r="E2" s="3072"/>
      <c r="F2" s="3072"/>
    </row>
    <row r="3" spans="1:9" ht="16.5">
      <c r="A3" s="3071" t="s">
        <v>2848</v>
      </c>
      <c r="B3" s="3073">
        <f>项目基本情况!D3</f>
        <v>43159</v>
      </c>
      <c r="C3" s="3072"/>
      <c r="D3" s="3072"/>
      <c r="E3" s="3072"/>
      <c r="F3" s="3072"/>
    </row>
    <row r="4" spans="1:9" ht="33">
      <c r="A4" s="3071" t="s">
        <v>2849</v>
      </c>
      <c r="B4" s="3071" t="s">
        <v>2850</v>
      </c>
      <c r="C4" s="3071" t="s">
        <v>2851</v>
      </c>
      <c r="D4" s="3071" t="s">
        <v>2852</v>
      </c>
      <c r="E4" s="3072"/>
      <c r="F4" s="3072"/>
    </row>
    <row r="5" spans="1:9" ht="16.5">
      <c r="A5" s="3071" t="s">
        <v>2853</v>
      </c>
      <c r="B5" s="3071">
        <f ca="1">SUM(D14:D23)</f>
        <v>296471</v>
      </c>
      <c r="C5" s="3071">
        <f ca="1">ROUND(B5*10000/$B$1,0)</f>
        <v>20898</v>
      </c>
      <c r="D5" s="3071">
        <f ca="1">ROUND(B5*10000/$B$2,0)</f>
        <v>52246</v>
      </c>
      <c r="E5" s="3072"/>
      <c r="F5" s="3072"/>
    </row>
    <row r="6" spans="1:9" ht="16.5">
      <c r="A6" s="3071" t="s">
        <v>2854</v>
      </c>
      <c r="B6" s="3071">
        <f ca="1">SUM(G14:G23)</f>
        <v>296471</v>
      </c>
      <c r="C6" s="3071">
        <f t="shared" ref="C6:C8" ca="1" si="0">ROUND(B6*10000/$B$1,0)</f>
        <v>20898</v>
      </c>
      <c r="D6" s="3071">
        <f t="shared" ref="D6:D8" ca="1" si="1">ROUND(B6*10000/$B$2,0)</f>
        <v>52246</v>
      </c>
      <c r="E6" s="3072"/>
      <c r="F6" s="3072"/>
    </row>
    <row r="7" spans="1:9" ht="16.5">
      <c r="A7" s="3071" t="s">
        <v>2855</v>
      </c>
      <c r="B7" s="3071">
        <f>SUM(H14:H23)</f>
        <v>0</v>
      </c>
      <c r="C7" s="3071">
        <f t="shared" si="0"/>
        <v>0</v>
      </c>
      <c r="D7" s="3071">
        <f t="shared" si="1"/>
        <v>0</v>
      </c>
      <c r="E7" s="3072"/>
      <c r="F7" s="3072"/>
    </row>
    <row r="8" spans="1:9" ht="16.5">
      <c r="A8" s="3071" t="s">
        <v>2856</v>
      </c>
      <c r="B8" s="3071">
        <f>SUM(I14:I23)</f>
        <v>0</v>
      </c>
      <c r="C8" s="3071">
        <f t="shared" si="0"/>
        <v>0</v>
      </c>
      <c r="D8" s="3071">
        <f t="shared" si="1"/>
        <v>0</v>
      </c>
      <c r="E8" s="3072"/>
      <c r="F8" s="3072"/>
    </row>
    <row r="9" spans="1:9" ht="16.5">
      <c r="A9" s="3071" t="s">
        <v>2857</v>
      </c>
      <c r="B9" s="3074"/>
      <c r="C9" s="3072"/>
      <c r="D9" s="3072"/>
      <c r="E9" s="3072"/>
      <c r="F9" s="3072"/>
    </row>
    <row r="10" spans="1:9" ht="16.5">
      <c r="A10" s="3071" t="s">
        <v>2858</v>
      </c>
      <c r="B10" s="3074"/>
      <c r="C10" s="3072"/>
      <c r="D10" s="3072"/>
      <c r="E10" s="3072"/>
      <c r="F10" s="3072"/>
    </row>
    <row r="11" spans="1:9" ht="16.5">
      <c r="A11" s="3071" t="s">
        <v>2875</v>
      </c>
      <c r="B11" s="3074"/>
      <c r="C11" s="3072"/>
      <c r="D11" s="3072"/>
      <c r="E11" s="3072"/>
      <c r="F11" s="3072"/>
    </row>
    <row r="12" spans="1:9" ht="16.5">
      <c r="A12" s="3072"/>
      <c r="B12" s="3072"/>
      <c r="C12" s="3072"/>
      <c r="D12" s="3072"/>
      <c r="E12" s="3072"/>
      <c r="F12" s="3072"/>
    </row>
    <row r="13" spans="1:9" ht="33">
      <c r="A13" s="3077" t="s">
        <v>2874</v>
      </c>
      <c r="B13" s="3075" t="s">
        <v>2846</v>
      </c>
      <c r="C13" s="3075" t="s">
        <v>2847</v>
      </c>
      <c r="D13" s="3075" t="s">
        <v>2859</v>
      </c>
      <c r="E13" s="3071" t="s">
        <v>2873</v>
      </c>
      <c r="F13" s="3071" t="s">
        <v>2852</v>
      </c>
      <c r="G13" s="3075" t="s">
        <v>2860</v>
      </c>
      <c r="H13" s="3075" t="s">
        <v>2861</v>
      </c>
      <c r="I13" s="3075" t="s">
        <v>2862</v>
      </c>
    </row>
    <row r="14" spans="1:9" ht="16.5">
      <c r="A14" s="3078" t="s">
        <v>2872</v>
      </c>
      <c r="B14" s="3075">
        <f>结果表!L38</f>
        <v>141864.26</v>
      </c>
      <c r="C14" s="3075">
        <f>结果表!K38</f>
        <v>56745.7</v>
      </c>
      <c r="D14" s="3075">
        <f ca="1">结果表!C42</f>
        <v>296471</v>
      </c>
      <c r="E14" s="3075">
        <f ca="1">ROUND(D14*10000/B14,0)</f>
        <v>20898</v>
      </c>
      <c r="F14" s="3075">
        <f ca="1">ROUND(D14*10000/C14,0)</f>
        <v>52246</v>
      </c>
      <c r="G14" s="3075">
        <f ca="1">结果表!C44</f>
        <v>296471</v>
      </c>
      <c r="H14" s="3075" t="str">
        <f>结果表!C45</f>
        <v>——</v>
      </c>
      <c r="I14" s="3075" t="str">
        <f>结果表!C46</f>
        <v>——</v>
      </c>
    </row>
    <row r="15" spans="1:9" ht="16.5">
      <c r="A15" s="3078" t="s">
        <v>2863</v>
      </c>
      <c r="B15" s="3079"/>
      <c r="C15" s="3079"/>
      <c r="D15" s="3079"/>
      <c r="E15" s="3075" t="e">
        <f t="shared" ref="E15:E23" si="2">ROUND(D15*10000/B15,0)</f>
        <v>#DIV/0!</v>
      </c>
      <c r="F15" s="3075" t="e">
        <f t="shared" ref="F15:F23" si="3">ROUND(D15*10000/C15,0)</f>
        <v>#DIV/0!</v>
      </c>
      <c r="G15" s="3076"/>
      <c r="H15" s="3076"/>
      <c r="I15" s="3079"/>
    </row>
    <row r="16" spans="1:9" ht="16.5">
      <c r="A16" s="3078" t="s">
        <v>2864</v>
      </c>
      <c r="B16" s="3079"/>
      <c r="C16" s="3079"/>
      <c r="D16" s="3079"/>
      <c r="E16" s="3075" t="e">
        <f t="shared" si="2"/>
        <v>#DIV/0!</v>
      </c>
      <c r="F16" s="3075" t="e">
        <f t="shared" si="3"/>
        <v>#DIV/0!</v>
      </c>
      <c r="G16" s="3076"/>
      <c r="H16" s="3076"/>
      <c r="I16" s="3079"/>
    </row>
    <row r="17" spans="1:9" ht="16.5">
      <c r="A17" s="3078" t="s">
        <v>2865</v>
      </c>
      <c r="B17" s="3079"/>
      <c r="C17" s="3079"/>
      <c r="D17" s="3079"/>
      <c r="E17" s="3075" t="e">
        <f t="shared" si="2"/>
        <v>#DIV/0!</v>
      </c>
      <c r="F17" s="3075" t="e">
        <f t="shared" si="3"/>
        <v>#DIV/0!</v>
      </c>
      <c r="G17" s="3076"/>
      <c r="H17" s="3076"/>
      <c r="I17" s="3079"/>
    </row>
    <row r="18" spans="1:9" ht="16.5">
      <c r="A18" s="3078" t="s">
        <v>2866</v>
      </c>
      <c r="B18" s="3079"/>
      <c r="C18" s="3079"/>
      <c r="D18" s="3079"/>
      <c r="E18" s="3075" t="e">
        <f t="shared" si="2"/>
        <v>#DIV/0!</v>
      </c>
      <c r="F18" s="3075" t="e">
        <f t="shared" si="3"/>
        <v>#DIV/0!</v>
      </c>
      <c r="G18" s="3079"/>
      <c r="H18" s="3079"/>
      <c r="I18" s="3079"/>
    </row>
    <row r="19" spans="1:9" ht="16.5">
      <c r="A19" s="3078" t="s">
        <v>2867</v>
      </c>
      <c r="B19" s="3079"/>
      <c r="C19" s="3079"/>
      <c r="D19" s="3079"/>
      <c r="E19" s="3075" t="e">
        <f t="shared" si="2"/>
        <v>#DIV/0!</v>
      </c>
      <c r="F19" s="3075" t="e">
        <f t="shared" si="3"/>
        <v>#DIV/0!</v>
      </c>
      <c r="G19" s="3079"/>
      <c r="H19" s="3079"/>
      <c r="I19" s="3079"/>
    </row>
    <row r="20" spans="1:9" ht="16.5">
      <c r="A20" s="3078" t="s">
        <v>2868</v>
      </c>
      <c r="B20" s="3079"/>
      <c r="C20" s="3079"/>
      <c r="D20" s="3079"/>
      <c r="E20" s="3075" t="e">
        <f t="shared" si="2"/>
        <v>#DIV/0!</v>
      </c>
      <c r="F20" s="3075" t="e">
        <f t="shared" si="3"/>
        <v>#DIV/0!</v>
      </c>
      <c r="G20" s="3079"/>
      <c r="H20" s="3079"/>
      <c r="I20" s="3079"/>
    </row>
    <row r="21" spans="1:9" ht="16.5">
      <c r="A21" s="3078" t="s">
        <v>2869</v>
      </c>
      <c r="B21" s="3079"/>
      <c r="C21" s="3079"/>
      <c r="D21" s="3079"/>
      <c r="E21" s="3075" t="e">
        <f t="shared" si="2"/>
        <v>#DIV/0!</v>
      </c>
      <c r="F21" s="3075" t="e">
        <f t="shared" si="3"/>
        <v>#DIV/0!</v>
      </c>
      <c r="G21" s="3079"/>
      <c r="H21" s="3079"/>
      <c r="I21" s="3079"/>
    </row>
    <row r="22" spans="1:9" ht="16.5">
      <c r="A22" s="3078" t="s">
        <v>2870</v>
      </c>
      <c r="B22" s="3079"/>
      <c r="C22" s="3079"/>
      <c r="D22" s="3079"/>
      <c r="E22" s="3075" t="e">
        <f t="shared" si="2"/>
        <v>#DIV/0!</v>
      </c>
      <c r="F22" s="3075" t="e">
        <f t="shared" si="3"/>
        <v>#DIV/0!</v>
      </c>
      <c r="G22" s="3079"/>
      <c r="H22" s="3079"/>
      <c r="I22" s="3079"/>
    </row>
    <row r="23" spans="1:9" ht="16.5">
      <c r="A23" s="3078" t="s">
        <v>2871</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G25" sqref="G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3264</v>
      </c>
      <c r="E1" s="1805" t="s">
        <v>2058</v>
      </c>
      <c r="F1" s="1807" t="s">
        <v>3265</v>
      </c>
      <c r="G1" s="311"/>
      <c r="H1" s="311"/>
      <c r="I1" s="311"/>
      <c r="J1" s="2029"/>
      <c r="K1" s="2029"/>
      <c r="L1" s="2029"/>
      <c r="M1" s="2029"/>
      <c r="N1" s="2029"/>
      <c r="O1" s="2029"/>
      <c r="P1" s="2029"/>
      <c r="Q1" s="2029"/>
      <c r="R1" s="2029"/>
      <c r="S1" s="2029"/>
      <c r="T1" s="2029"/>
      <c r="U1" s="2029"/>
      <c r="V1" s="2029"/>
    </row>
    <row r="2" spans="1:22" ht="21.75" customHeight="1" thickBot="1">
      <c r="A2" s="3623" t="str">
        <f>项目基本情况!K2</f>
        <v>苏州市姑苏区永方路以东、合兴路以南1宗住宅用途出让国有建设用地使用权</v>
      </c>
      <c r="B2" s="3624"/>
      <c r="C2" s="3625"/>
      <c r="D2" s="3625"/>
      <c r="E2" s="3625"/>
      <c r="F2" s="3625"/>
      <c r="G2" s="3624"/>
      <c r="H2" s="3624"/>
      <c r="I2" s="3626"/>
      <c r="J2" s="2030"/>
      <c r="K2" s="2029"/>
      <c r="L2" s="2029"/>
      <c r="M2" s="2029"/>
      <c r="N2" s="2029"/>
      <c r="O2" s="2029"/>
      <c r="P2" s="2029"/>
      <c r="Q2" s="2029"/>
      <c r="R2" s="2029"/>
      <c r="S2" s="2029"/>
      <c r="T2" s="2029"/>
      <c r="U2" s="2029"/>
      <c r="V2" s="2029"/>
    </row>
    <row r="3" spans="1:22" ht="14.25">
      <c r="A3" s="3616" t="s">
        <v>298</v>
      </c>
      <c r="B3" s="3617"/>
      <c r="C3" s="3617"/>
      <c r="D3" s="3617"/>
      <c r="E3" s="3617"/>
      <c r="F3" s="3617"/>
      <c r="G3" s="3617"/>
      <c r="H3" s="3617"/>
      <c r="I3" s="3617"/>
      <c r="J3" s="2030"/>
      <c r="K3" s="2029"/>
      <c r="L3" s="2029"/>
      <c r="M3" s="2029"/>
      <c r="N3" s="2029"/>
      <c r="O3" s="2029"/>
      <c r="P3" s="2029"/>
      <c r="Q3" s="2029"/>
      <c r="R3" s="2029"/>
      <c r="S3" s="2029"/>
      <c r="T3" s="2029"/>
      <c r="U3" s="2029"/>
      <c r="V3" s="2029"/>
    </row>
    <row r="4" spans="1:22" ht="14.25">
      <c r="A4" s="258" t="s">
        <v>299</v>
      </c>
      <c r="B4" s="259" t="s">
        <v>300</v>
      </c>
      <c r="C4" s="260" t="s">
        <v>3266</v>
      </c>
      <c r="D4" s="260" t="s">
        <v>3263</v>
      </c>
      <c r="E4" s="3588" t="s">
        <v>301</v>
      </c>
      <c r="F4" s="3589"/>
      <c r="G4" s="3589"/>
      <c r="H4" s="3589"/>
      <c r="I4" s="3618"/>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587" t="s">
        <v>302</v>
      </c>
      <c r="B5" s="3613">
        <v>25</v>
      </c>
      <c r="C5" s="3611"/>
      <c r="D5" s="3615"/>
      <c r="E5" s="261" t="s">
        <v>303</v>
      </c>
      <c r="F5" s="262"/>
      <c r="G5" s="262"/>
      <c r="H5" s="262"/>
      <c r="I5" s="263"/>
      <c r="J5" s="2030"/>
      <c r="K5" s="2029"/>
      <c r="L5" s="2029"/>
      <c r="M5" s="2029"/>
      <c r="N5" s="2029"/>
      <c r="O5" s="2029"/>
      <c r="P5" s="2029"/>
      <c r="Q5" s="2029"/>
      <c r="R5" s="2029"/>
      <c r="S5" s="2029"/>
      <c r="T5" s="2029"/>
      <c r="U5" s="2029"/>
      <c r="V5" s="2029"/>
    </row>
    <row r="6" spans="1:22" ht="14.25">
      <c r="A6" s="3587"/>
      <c r="B6" s="3613"/>
      <c r="C6" s="3614"/>
      <c r="D6" s="3615"/>
      <c r="E6" s="261" t="s">
        <v>304</v>
      </c>
      <c r="F6" s="262"/>
      <c r="G6" s="262"/>
      <c r="H6" s="262"/>
      <c r="I6" s="263"/>
      <c r="J6" s="2030"/>
      <c r="K6" s="2029"/>
      <c r="L6" s="2029"/>
      <c r="M6" s="2029"/>
      <c r="N6" s="2029"/>
      <c r="O6" s="2029"/>
      <c r="P6" s="2029"/>
      <c r="Q6" s="2029"/>
      <c r="R6" s="2029"/>
      <c r="S6" s="2029"/>
      <c r="T6" s="2029"/>
      <c r="U6" s="2029"/>
      <c r="V6" s="2029"/>
    </row>
    <row r="7" spans="1:22" ht="14.25">
      <c r="A7" s="3587"/>
      <c r="B7" s="3613"/>
      <c r="C7" s="3612"/>
      <c r="D7" s="3615"/>
      <c r="E7" s="261" t="s">
        <v>305</v>
      </c>
      <c r="F7" s="262"/>
      <c r="G7" s="262"/>
      <c r="H7" s="262"/>
      <c r="I7" s="263"/>
      <c r="J7" s="2030"/>
      <c r="K7" s="2029"/>
      <c r="L7" s="2029"/>
      <c r="M7" s="2029"/>
      <c r="N7" s="2029"/>
      <c r="O7" s="2029"/>
      <c r="P7" s="2029"/>
      <c r="Q7" s="2029"/>
      <c r="R7" s="2029"/>
      <c r="S7" s="2029"/>
      <c r="T7" s="2029"/>
      <c r="U7" s="2029"/>
      <c r="V7" s="2029"/>
    </row>
    <row r="8" spans="1:22" ht="14.25">
      <c r="A8" s="3587" t="s">
        <v>306</v>
      </c>
      <c r="B8" s="3613">
        <v>15</v>
      </c>
      <c r="C8" s="3611"/>
      <c r="D8" s="3615"/>
      <c r="E8" s="261" t="s">
        <v>307</v>
      </c>
      <c r="F8" s="262"/>
      <c r="G8" s="262"/>
      <c r="H8" s="262"/>
      <c r="I8" s="263"/>
      <c r="J8" s="2030"/>
      <c r="K8" s="2029"/>
      <c r="L8" s="2029"/>
      <c r="M8" s="2029"/>
      <c r="N8" s="2029"/>
      <c r="O8" s="2029"/>
      <c r="P8" s="2029"/>
      <c r="Q8" s="2029"/>
      <c r="R8" s="2029"/>
      <c r="S8" s="2029"/>
      <c r="T8" s="2029"/>
      <c r="U8" s="2029"/>
      <c r="V8" s="2029"/>
    </row>
    <row r="9" spans="1:22" ht="14.25">
      <c r="A9" s="3587"/>
      <c r="B9" s="3613"/>
      <c r="C9" s="3612"/>
      <c r="D9" s="3615"/>
      <c r="E9" s="261" t="s">
        <v>308</v>
      </c>
      <c r="F9" s="262"/>
      <c r="G9" s="262"/>
      <c r="H9" s="262"/>
      <c r="I9" s="263"/>
      <c r="J9" s="2030"/>
      <c r="K9" s="2029"/>
      <c r="L9" s="2029"/>
      <c r="M9" s="2029"/>
      <c r="N9" s="2029"/>
      <c r="O9" s="2029"/>
      <c r="P9" s="2029"/>
      <c r="Q9" s="2029"/>
      <c r="R9" s="2029"/>
      <c r="S9" s="2029"/>
      <c r="T9" s="2029"/>
      <c r="U9" s="2029"/>
      <c r="V9" s="2029"/>
    </row>
    <row r="10" spans="1:22" ht="14.25">
      <c r="A10" s="3587" t="s">
        <v>309</v>
      </c>
      <c r="B10" s="3613">
        <v>15</v>
      </c>
      <c r="C10" s="3611"/>
      <c r="D10" s="3615"/>
      <c r="E10" s="261" t="s">
        <v>310</v>
      </c>
      <c r="F10" s="262"/>
      <c r="G10" s="262"/>
      <c r="H10" s="262"/>
      <c r="I10" s="263"/>
      <c r="J10" s="2030"/>
      <c r="K10" s="2029"/>
      <c r="L10" s="2029"/>
      <c r="M10" s="2029"/>
      <c r="N10" s="2029"/>
      <c r="O10" s="2029"/>
      <c r="P10" s="2029"/>
      <c r="Q10" s="2029"/>
      <c r="R10" s="2029"/>
      <c r="S10" s="2029"/>
      <c r="T10" s="2029"/>
      <c r="U10" s="2029"/>
      <c r="V10" s="2029"/>
    </row>
    <row r="11" spans="1:22" ht="14.25">
      <c r="A11" s="3587"/>
      <c r="B11" s="3613"/>
      <c r="C11" s="3612"/>
      <c r="D11" s="3615"/>
      <c r="E11" s="261" t="s">
        <v>311</v>
      </c>
      <c r="F11" s="262"/>
      <c r="G11" s="262"/>
      <c r="H11" s="262"/>
      <c r="I11" s="263"/>
      <c r="J11" s="2030"/>
      <c r="K11" s="2029"/>
      <c r="L11" s="2029"/>
      <c r="M11" s="2029"/>
      <c r="N11" s="2029"/>
      <c r="O11" s="2029"/>
      <c r="P11" s="2029"/>
      <c r="Q11" s="2029"/>
      <c r="R11" s="2029"/>
      <c r="S11" s="2029"/>
      <c r="T11" s="2029"/>
      <c r="U11" s="2029"/>
      <c r="V11" s="2029"/>
    </row>
    <row r="12" spans="1:22" ht="14.25">
      <c r="A12" s="3587" t="s">
        <v>312</v>
      </c>
      <c r="B12" s="3613">
        <v>15</v>
      </c>
      <c r="C12" s="3611"/>
      <c r="D12" s="3615"/>
      <c r="E12" s="261" t="s">
        <v>313</v>
      </c>
      <c r="F12" s="262"/>
      <c r="G12" s="262"/>
      <c r="H12" s="262"/>
      <c r="I12" s="263"/>
      <c r="J12" s="2030"/>
      <c r="K12" s="2029"/>
      <c r="L12" s="2029"/>
      <c r="M12" s="2029"/>
      <c r="N12" s="2029"/>
      <c r="O12" s="2029"/>
      <c r="P12" s="2029"/>
      <c r="Q12" s="2029"/>
      <c r="R12" s="2029"/>
      <c r="S12" s="2029"/>
      <c r="T12" s="2029"/>
      <c r="U12" s="2029"/>
      <c r="V12" s="2029"/>
    </row>
    <row r="13" spans="1:22" ht="14.25">
      <c r="A13" s="3587"/>
      <c r="B13" s="3613"/>
      <c r="C13" s="3612"/>
      <c r="D13" s="3615"/>
      <c r="E13" s="261" t="s">
        <v>314</v>
      </c>
      <c r="F13" s="262"/>
      <c r="G13" s="262"/>
      <c r="H13" s="262"/>
      <c r="I13" s="263"/>
      <c r="J13" s="2030"/>
      <c r="K13" s="2029"/>
      <c r="L13" s="2029"/>
      <c r="M13" s="2029"/>
      <c r="N13" s="2029"/>
      <c r="O13" s="2029"/>
      <c r="P13" s="2029"/>
      <c r="Q13" s="2029"/>
      <c r="R13" s="2029"/>
      <c r="S13" s="2029"/>
      <c r="T13" s="2029"/>
      <c r="U13" s="2029"/>
      <c r="V13" s="2029"/>
    </row>
    <row r="14" spans="1:22" ht="14.25">
      <c r="A14" s="3587" t="s">
        <v>315</v>
      </c>
      <c r="B14" s="3613">
        <v>30</v>
      </c>
      <c r="C14" s="3611">
        <v>5</v>
      </c>
      <c r="D14" s="3615">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587"/>
      <c r="B15" s="3613"/>
      <c r="C15" s="3614"/>
      <c r="D15" s="3615"/>
      <c r="E15" s="261" t="s">
        <v>317</v>
      </c>
      <c r="F15" s="262"/>
      <c r="G15" s="262"/>
      <c r="H15" s="262"/>
      <c r="I15" s="263"/>
      <c r="J15" s="2030"/>
      <c r="K15" s="2029"/>
      <c r="L15" s="2029"/>
      <c r="M15" s="2029"/>
      <c r="N15" s="2029"/>
      <c r="O15" s="2029"/>
      <c r="P15" s="2029"/>
      <c r="Q15" s="2029"/>
      <c r="R15" s="2029"/>
      <c r="S15" s="2029"/>
      <c r="T15" s="2029"/>
      <c r="U15" s="2029"/>
      <c r="V15" s="2029"/>
    </row>
    <row r="16" spans="1:22" ht="14.25">
      <c r="A16" s="3587"/>
      <c r="B16" s="3613"/>
      <c r="C16" s="3612"/>
      <c r="D16" s="361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286452</v>
      </c>
      <c r="D19" s="271">
        <f ca="1">SUMIF(INDIRECT("'"&amp;D4&amp;"'"&amp;"!A:A"),结果表!B19,INDIRECT("'"&amp;D4&amp;"'"&amp;"!B:B"))</f>
        <v>306489</v>
      </c>
      <c r="E19" s="268" t="s">
        <v>323</v>
      </c>
      <c r="F19" s="269" t="s">
        <v>322</v>
      </c>
      <c r="G19" s="272">
        <f ca="1">ROUND(C19*$C$18+D19*$D$18,0)</f>
        <v>296471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20192</v>
      </c>
      <c r="D20" s="277">
        <f ca="1">SUMIF(INDIRECT("'"&amp;D4&amp;"'"&amp;"!A:A"),结果表!B20,INDIRECT("'"&amp;D4&amp;"'"&amp;"!B:B"))</f>
        <v>21604</v>
      </c>
      <c r="E20" s="274"/>
      <c r="F20" s="275" t="s">
        <v>325</v>
      </c>
      <c r="G20" s="278">
        <f ca="1">ROUND(C20*$C$18+D20*$D$18,0)</f>
        <v>20898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50480</v>
      </c>
      <c r="D21" s="151">
        <f ca="1">SUMIF(INDIRECT("'"&amp;D4&amp;"'"&amp;"!A:A"),结果表!B21,INDIRECT("'"&amp;D4&amp;"'"&amp;"!B:B"))</f>
        <v>54011</v>
      </c>
      <c r="E21" s="274"/>
      <c r="F21" s="280" t="s">
        <v>327</v>
      </c>
      <c r="G21" s="282">
        <f ca="1">ROUND(C21*$C$18+D21*$D$18,0)</f>
        <v>52246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6.9948891960956772E-2</v>
      </c>
      <c r="E22" s="284"/>
      <c r="F22" s="285"/>
      <c r="G22" s="286">
        <f ca="1">ROUND(G19/('数据-汇总表'!D3/666.67),0)</f>
        <v>3483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59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594"/>
      <c r="B25" s="1321" t="s">
        <v>331</v>
      </c>
      <c r="C25" s="290">
        <f>IF(B30=0,0,C30)</f>
        <v>0</v>
      </c>
      <c r="D25" s="291"/>
      <c r="E25" s="311"/>
      <c r="F25" s="311"/>
      <c r="G25" s="311"/>
      <c r="H25" s="311"/>
      <c r="I25" s="311"/>
      <c r="J25" s="2029"/>
      <c r="K25" s="1255" t="str">
        <f ca="1">项目基本情况!B16&amp;"国有建设用地使用权价格："&amp;O38&amp;"万元"</f>
        <v>出让国有建设用地使用权价格：296471万元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大写金额：人民币贰拾玖亿陆仟肆佰柒拾壹万元整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单位面积地价：52246元/平方米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楼面地价：20898元/平方米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抵押价格：296471万元</v>
      </c>
      <c r="L29" s="1252"/>
      <c r="M29" s="1252"/>
      <c r="N29" s="1252"/>
      <c r="O29" s="1251"/>
      <c r="P29" s="2029"/>
      <c r="V29" s="2029"/>
    </row>
    <row r="30" spans="1:26" ht="18.75" thickBot="1">
      <c r="A30" s="3162" t="s">
        <v>336</v>
      </c>
      <c r="B30" s="309"/>
      <c r="C30" s="309"/>
      <c r="D30" s="310"/>
      <c r="E30" s="3163" t="s">
        <v>2970</v>
      </c>
      <c r="F30" s="311"/>
      <c r="G30" s="311"/>
      <c r="H30" s="311"/>
      <c r="I30" s="311"/>
      <c r="J30" s="2029"/>
      <c r="K30" s="1258" t="str">
        <f ca="1">IF(K29="——","——","大写金额：人民币"&amp;NUMBERSTRING(INT(O39*10000),2)&amp;"元整")</f>
        <v>大写金额：人民币贰拾玖亿陆仟肆佰柒拾壹万元整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1690</v>
      </c>
      <c r="C32" s="1383">
        <f ca="1">G19-C24</f>
        <v>296471</v>
      </c>
      <c r="D32" s="1384"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1692</v>
      </c>
      <c r="C33" s="264">
        <f ca="1">ROUND(C32*10000/'数据-汇总表'!E3,0)</f>
        <v>20898</v>
      </c>
      <c r="D33" s="1386" t="s">
        <v>1693</v>
      </c>
      <c r="E33" s="3593"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1694</v>
      </c>
      <c r="C34" s="264">
        <f ca="1">ROUND(C32*10000/'数据-汇总表'!D3,0)</f>
        <v>52246</v>
      </c>
      <c r="D34" s="1388" t="s">
        <v>1693</v>
      </c>
      <c r="E34" s="3634"/>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3483</v>
      </c>
      <c r="D35" s="1391" t="s">
        <v>1695</v>
      </c>
      <c r="E35" s="3635"/>
      <c r="F35" s="301" t="s">
        <v>342</v>
      </c>
      <c r="G35" s="982"/>
      <c r="H35" s="981" t="s">
        <v>343</v>
      </c>
      <c r="I35" s="311"/>
      <c r="J35" s="2029"/>
      <c r="K35" s="3608" t="s">
        <v>350</v>
      </c>
      <c r="L35" s="3608" t="s">
        <v>351</v>
      </c>
      <c r="M35" s="1264" t="s">
        <v>352</v>
      </c>
      <c r="N35" s="3608" t="s">
        <v>353</v>
      </c>
      <c r="O35" s="3608" t="s">
        <v>354</v>
      </c>
      <c r="P35" s="2029"/>
      <c r="V35" s="2029"/>
    </row>
    <row r="36" spans="1:26" ht="16.5" customHeight="1">
      <c r="A36" s="303" t="s">
        <v>344</v>
      </c>
      <c r="B36" s="304" t="s">
        <v>333</v>
      </c>
      <c r="C36" s="305" t="s">
        <v>345</v>
      </c>
      <c r="D36" s="305" t="s">
        <v>346</v>
      </c>
      <c r="E36" s="306" t="s">
        <v>347</v>
      </c>
      <c r="F36" s="311"/>
      <c r="G36" s="311"/>
      <c r="H36" s="311"/>
      <c r="I36" s="311"/>
      <c r="J36" s="2031"/>
      <c r="K36" s="3609"/>
      <c r="L36" s="3609"/>
      <c r="M36" s="1266" t="s">
        <v>355</v>
      </c>
      <c r="N36" s="3609"/>
      <c r="O36" s="3609"/>
      <c r="P36" s="2029"/>
      <c r="V36" s="2029"/>
    </row>
    <row r="37" spans="1:26" ht="16.5" customHeight="1" thickBot="1">
      <c r="A37" s="1260" t="s">
        <v>348</v>
      </c>
      <c r="B37" s="307"/>
      <c r="C37" s="294"/>
      <c r="D37" s="294"/>
      <c r="E37" s="295"/>
      <c r="F37" s="311"/>
      <c r="G37" s="311"/>
      <c r="H37" s="311"/>
      <c r="I37" s="311"/>
      <c r="J37" s="2031"/>
      <c r="K37" s="3610"/>
      <c r="L37" s="3610"/>
      <c r="M37" s="1267"/>
      <c r="N37" s="3610"/>
      <c r="O37" s="3610"/>
      <c r="P37" s="2029"/>
      <c r="V37" s="2029"/>
    </row>
    <row r="38" spans="1:26" ht="16.5" customHeight="1" thickBot="1">
      <c r="A38" s="1260" t="s">
        <v>349</v>
      </c>
      <c r="B38" s="307"/>
      <c r="C38" s="294"/>
      <c r="D38" s="294"/>
      <c r="E38" s="295"/>
      <c r="F38" s="311"/>
      <c r="G38" s="311"/>
      <c r="H38" s="311"/>
      <c r="I38" s="311"/>
      <c r="J38" s="2031"/>
      <c r="K38" s="1268">
        <f>'数据-汇总表'!D3</f>
        <v>56745.7</v>
      </c>
      <c r="L38" s="1269">
        <f>'数据-汇总表'!E3</f>
        <v>141864.26</v>
      </c>
      <c r="M38" s="1269">
        <f ca="1">C34</f>
        <v>52246</v>
      </c>
      <c r="N38" s="1269">
        <f ca="1">C33</f>
        <v>20898</v>
      </c>
      <c r="O38" s="1270">
        <f ca="1">C32</f>
        <v>296471</v>
      </c>
      <c r="P38" s="2029"/>
      <c r="V38" s="2029"/>
    </row>
    <row r="39" spans="1:26" ht="16.5" customHeight="1" thickBot="1">
      <c r="A39" s="1265"/>
      <c r="B39" s="308"/>
      <c r="C39" s="309"/>
      <c r="D39" s="309"/>
      <c r="E39" s="310"/>
      <c r="F39" s="311"/>
      <c r="G39" s="311"/>
      <c r="H39" s="311"/>
      <c r="I39" s="311"/>
      <c r="J39" s="2031"/>
      <c r="K39" s="3653" t="str">
        <f>MID(A44,3,LEN(A44)-2)</f>
        <v>抵押价格</v>
      </c>
      <c r="L39" s="3654"/>
      <c r="M39" s="3654"/>
      <c r="N39" s="3655"/>
      <c r="O39" s="1393">
        <f ca="1">C44</f>
        <v>296471</v>
      </c>
      <c r="P39" s="2029"/>
      <c r="V39" s="2029"/>
    </row>
    <row r="40" spans="1:26" ht="19.5" thickBot="1">
      <c r="A40" s="104" t="s">
        <v>874</v>
      </c>
      <c r="B40" s="311"/>
      <c r="C40" s="311"/>
      <c r="D40" s="311"/>
      <c r="E40" s="311"/>
      <c r="F40" s="311"/>
      <c r="G40" s="311"/>
      <c r="H40" s="311"/>
      <c r="I40" s="311"/>
      <c r="J40" s="2031"/>
      <c r="K40" s="3653" t="str">
        <f t="shared" ref="K40:K41" si="0">MID(A45,3,LEN(A45)-2)</f>
        <v/>
      </c>
      <c r="L40" s="3654"/>
      <c r="M40" s="3654"/>
      <c r="N40" s="3655"/>
      <c r="O40" s="1393" t="str">
        <f>C45</f>
        <v>——</v>
      </c>
      <c r="P40" s="2029"/>
      <c r="V40" s="2029"/>
    </row>
    <row r="41" spans="1:26" ht="16.5" thickBot="1">
      <c r="A41" s="312" t="s">
        <v>356</v>
      </c>
      <c r="B41" s="313"/>
      <c r="C41" s="314" t="s">
        <v>357</v>
      </c>
      <c r="D41" s="315" t="s">
        <v>358</v>
      </c>
      <c r="E41" s="315" t="s">
        <v>359</v>
      </c>
      <c r="F41" s="316" t="s">
        <v>360</v>
      </c>
      <c r="G41" s="311"/>
      <c r="H41" s="311"/>
      <c r="I41" s="311"/>
      <c r="J41" s="2031"/>
      <c r="K41" s="3653" t="str">
        <f t="shared" si="0"/>
        <v/>
      </c>
      <c r="L41" s="3654"/>
      <c r="M41" s="3654"/>
      <c r="N41" s="3655"/>
      <c r="O41" s="1393" t="str">
        <f>C46</f>
        <v>——</v>
      </c>
      <c r="P41" s="2029"/>
      <c r="V41" s="2029"/>
    </row>
    <row r="42" spans="1:26" ht="29.25">
      <c r="A42" s="3595" t="s">
        <v>2068</v>
      </c>
      <c r="B42" s="3596"/>
      <c r="C42" s="264">
        <f ca="1">C32</f>
        <v>296471</v>
      </c>
      <c r="D42" s="317">
        <f ca="1">C33</f>
        <v>20898</v>
      </c>
      <c r="E42" s="317">
        <f ca="1">C34</f>
        <v>52246</v>
      </c>
      <c r="F42" s="318">
        <f ca="1">C35</f>
        <v>3483</v>
      </c>
      <c r="G42" s="311"/>
      <c r="H42" s="311"/>
      <c r="I42" s="319"/>
      <c r="J42" s="2031"/>
      <c r="K42" s="1271" t="s">
        <v>361</v>
      </c>
      <c r="L42" s="2048" t="s">
        <v>362</v>
      </c>
      <c r="M42" s="1272" t="s">
        <v>363</v>
      </c>
      <c r="N42" s="2049" t="s">
        <v>364</v>
      </c>
      <c r="O42" s="2050" t="s">
        <v>365</v>
      </c>
      <c r="P42" s="2029"/>
      <c r="V42" s="2029"/>
    </row>
    <row r="43" spans="1:26" ht="30">
      <c r="A43" s="3606" t="s">
        <v>2732</v>
      </c>
      <c r="B43" s="3607"/>
      <c r="C43" s="264">
        <f>IF(H33="正常操作",G33+G34+G35,G34+G35)</f>
        <v>0</v>
      </c>
      <c r="D43" s="317" t="s">
        <v>43</v>
      </c>
      <c r="E43" s="317" t="s">
        <v>44</v>
      </c>
      <c r="F43" s="318" t="s">
        <v>44</v>
      </c>
      <c r="G43" s="2892" t="s">
        <v>953</v>
      </c>
      <c r="H43" s="311"/>
      <c r="I43" s="319"/>
      <c r="J43" s="2031"/>
      <c r="K43" s="1273" t="str">
        <f>C4</f>
        <v>比较法-住宅、综合</v>
      </c>
      <c r="L43" s="1274">
        <f ca="1">IF(L42="估价结果/万元",C19,C20)</f>
        <v>286452</v>
      </c>
      <c r="M43" s="1275">
        <f>C18</f>
        <v>0.5</v>
      </c>
      <c r="N43" s="1276">
        <f ca="1">IF(N42="测算结果/万元",G19,G20)</f>
        <v>296471</v>
      </c>
      <c r="O43" s="1277">
        <f ca="1">IF(O42="最终结果/万元",C32,C33)</f>
        <v>296471</v>
      </c>
      <c r="P43" s="2029"/>
      <c r="V43" s="2029"/>
    </row>
    <row r="44" spans="1:26" ht="30.75" thickBot="1">
      <c r="A44" s="3595" t="str">
        <f>IF(OR(项目基本情况!E8="抵押价格",项目基本情况!E8="已注销及未注销"),"3.抵押价格","——")</f>
        <v>3.抵押价格</v>
      </c>
      <c r="B44" s="3596"/>
      <c r="C44" s="264">
        <f ca="1">IF(A44="——","——",C42-C43)</f>
        <v>296471</v>
      </c>
      <c r="D44" s="317">
        <f ca="1">ROUND(C44*10000/'数据-汇总表'!E3,0)</f>
        <v>20898</v>
      </c>
      <c r="E44" s="317">
        <f ca="1">ROUND(C44*10000/'数据-汇总表'!D3,0)</f>
        <v>52246</v>
      </c>
      <c r="F44" s="318">
        <f ca="1">ROUND(C44/('数据-汇总表'!D3/666.67),0)</f>
        <v>3483</v>
      </c>
      <c r="G44" s="311"/>
      <c r="H44" s="311"/>
      <c r="I44" s="319"/>
      <c r="J44" s="2031"/>
      <c r="K44" s="1278" t="str">
        <f>D4</f>
        <v>剩余法-待开发</v>
      </c>
      <c r="L44" s="1279">
        <f ca="1">IF(L42="估价结果/万元",D19,D20)</f>
        <v>306489</v>
      </c>
      <c r="M44" s="1280">
        <f>D18</f>
        <v>0.5</v>
      </c>
      <c r="N44" s="1281"/>
      <c r="O44" s="1282"/>
      <c r="P44" s="2029"/>
      <c r="V44" s="2029"/>
    </row>
    <row r="45" spans="1:26" ht="15">
      <c r="A45" s="3601" t="str">
        <f>IF(项目基本情况!E8="已注销及未注销","4.抵押担保权已注销时的抵押价格",IF(项目基本情况!E8="已注销","3.抵押担保权已注销时的抵押价格","——"))</f>
        <v>——</v>
      </c>
      <c r="B45" s="360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597" t="str">
        <f>IF(项目基本情况!E9="抵押净值",IF(A45="——","4.抵押净值","5.抵押净值"),"——")</f>
        <v>——</v>
      </c>
      <c r="B46" s="359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42" t="s">
        <v>374</v>
      </c>
      <c r="B63" s="3643"/>
      <c r="C63" s="3644"/>
      <c r="D63" s="341">
        <f ca="1">ROUND(C42*F63,0)</f>
        <v>177883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603" t="s">
        <v>378</v>
      </c>
      <c r="B64" s="3604"/>
      <c r="C64" s="3604"/>
      <c r="D64" s="3604"/>
      <c r="E64" s="3604"/>
      <c r="F64" s="3604"/>
      <c r="G64" s="3605"/>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599" t="s">
        <v>386</v>
      </c>
      <c r="B66" s="3600"/>
      <c r="C66" s="3600"/>
      <c r="D66" s="261">
        <f ca="1">IF(H66="情况1",0,IF(H66="情况2",D70,IF(H66="情况3",D71,IF(H66="情况4",D72))))</f>
        <v>9487</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657" t="s">
        <v>385</v>
      </c>
      <c r="M66" s="3658"/>
      <c r="N66" s="2483"/>
      <c r="O66" s="2484"/>
      <c r="P66" s="2485"/>
      <c r="Q66" s="2029"/>
      <c r="R66" s="2029"/>
      <c r="S66" s="2029"/>
      <c r="T66" s="2029"/>
      <c r="U66" s="2029"/>
      <c r="V66" s="2029"/>
    </row>
    <row r="67" spans="1:22" ht="25.5" customHeight="1">
      <c r="A67" s="352" t="s">
        <v>390</v>
      </c>
      <c r="B67" s="3590" t="s">
        <v>391</v>
      </c>
      <c r="C67" s="3590"/>
      <c r="D67" s="353">
        <v>0</v>
      </c>
      <c r="E67" s="41" t="s">
        <v>392</v>
      </c>
      <c r="F67" s="62" t="s">
        <v>21</v>
      </c>
      <c r="G67" s="3645"/>
      <c r="H67" s="311"/>
      <c r="I67" s="1292"/>
      <c r="J67" s="2036"/>
      <c r="K67" s="1977">
        <v>2</v>
      </c>
      <c r="L67" s="3656" t="s">
        <v>389</v>
      </c>
      <c r="M67" s="3656"/>
      <c r="N67" s="1325">
        <f>'数据-取费表'!B2</f>
        <v>43159</v>
      </c>
      <c r="O67" s="1325"/>
      <c r="P67" s="1325"/>
      <c r="Q67" s="2029"/>
      <c r="R67" s="2029"/>
      <c r="S67" s="2029"/>
      <c r="T67" s="2029"/>
      <c r="U67" s="2029"/>
      <c r="V67" s="2029"/>
    </row>
    <row r="68" spans="1:22" ht="25.5" customHeight="1">
      <c r="A68" s="354"/>
      <c r="B68" s="3590" t="s">
        <v>394</v>
      </c>
      <c r="C68" s="3590"/>
      <c r="D68" s="355"/>
      <c r="E68" s="77"/>
      <c r="F68" s="356"/>
      <c r="G68" s="3646"/>
      <c r="H68" s="311"/>
      <c r="I68" s="1292"/>
      <c r="J68" s="2036"/>
      <c r="K68" s="1977">
        <v>3</v>
      </c>
      <c r="L68" s="3656" t="s">
        <v>393</v>
      </c>
      <c r="M68" s="3656"/>
      <c r="N68" s="1293">
        <f ca="1">C42</f>
        <v>296471</v>
      </c>
      <c r="O68" s="1293"/>
      <c r="P68" s="1293"/>
      <c r="Q68" s="2029"/>
      <c r="R68" s="2029"/>
      <c r="S68" s="2029"/>
      <c r="T68" s="2029"/>
      <c r="U68" s="2029"/>
      <c r="V68" s="2029"/>
    </row>
    <row r="69" spans="1:22" ht="12" customHeight="1">
      <c r="A69" s="357"/>
      <c r="B69" s="3590" t="s">
        <v>395</v>
      </c>
      <c r="C69" s="3590"/>
      <c r="D69" s="358"/>
      <c r="E69" s="73"/>
      <c r="F69" s="356"/>
      <c r="G69" s="3647"/>
      <c r="H69" s="311"/>
      <c r="I69" s="1292"/>
      <c r="J69" s="2036"/>
      <c r="K69" s="1294">
        <v>4</v>
      </c>
      <c r="L69" s="3661" t="s">
        <v>2885</v>
      </c>
      <c r="M69" s="3662"/>
      <c r="N69" s="1295">
        <f ca="1">C44</f>
        <v>296471</v>
      </c>
      <c r="O69" s="1295"/>
      <c r="P69" s="1295"/>
      <c r="Q69" s="2029"/>
      <c r="R69" s="2029"/>
      <c r="S69" s="2029"/>
      <c r="T69" s="2029"/>
      <c r="U69" s="2029"/>
      <c r="V69" s="2029"/>
    </row>
    <row r="70" spans="1:22" ht="24" customHeight="1">
      <c r="A70" s="359" t="s">
        <v>396</v>
      </c>
      <c r="B70" s="3590" t="s">
        <v>397</v>
      </c>
      <c r="C70" s="3590"/>
      <c r="D70" s="358">
        <f ca="1">ROUND(D63*'数据-取费表'!B41/(1+'数据-取费表'!C42),0)</f>
        <v>9487</v>
      </c>
      <c r="E70" s="17" t="s">
        <v>398</v>
      </c>
      <c r="F70" s="360">
        <f>'数据-取费表'!B41</f>
        <v>5.6000000000000001E-2</v>
      </c>
      <c r="G70" s="361"/>
      <c r="H70" s="311"/>
      <c r="I70" s="1292"/>
      <c r="J70" s="2036"/>
      <c r="K70" s="3088"/>
      <c r="L70" s="3089"/>
      <c r="M70" s="3089"/>
      <c r="N70" s="3090" t="s">
        <v>2890</v>
      </c>
      <c r="O70" s="3089"/>
      <c r="P70" s="3091"/>
      <c r="Q70" s="2029"/>
      <c r="R70" s="2029"/>
      <c r="S70" s="2029"/>
      <c r="T70" s="2029"/>
      <c r="U70" s="2029"/>
      <c r="V70" s="2029"/>
    </row>
    <row r="71" spans="1:22" ht="12" customHeight="1">
      <c r="A71" s="359" t="s">
        <v>404</v>
      </c>
      <c r="B71" s="3591" t="s">
        <v>405</v>
      </c>
      <c r="C71" s="3592"/>
      <c r="D71" s="358">
        <f ca="1">ROUND(D63*'数据-取费表'!B41/(1+'数据-取费表'!C42),0)</f>
        <v>9487</v>
      </c>
      <c r="E71" s="17" t="s">
        <v>398</v>
      </c>
      <c r="F71" s="360">
        <f>'数据-取费表'!B41</f>
        <v>5.6000000000000001E-2</v>
      </c>
      <c r="G71" s="361"/>
      <c r="H71" s="311"/>
      <c r="I71" s="1292"/>
      <c r="J71" s="2036"/>
      <c r="K71" s="3087" t="s">
        <v>399</v>
      </c>
      <c r="L71" s="3663" t="s">
        <v>400</v>
      </c>
      <c r="M71" s="3663"/>
      <c r="N71" s="3087" t="s">
        <v>401</v>
      </c>
      <c r="O71" s="3087" t="s">
        <v>402</v>
      </c>
      <c r="P71" s="3087" t="s">
        <v>403</v>
      </c>
      <c r="Q71" s="2029"/>
      <c r="R71" s="2029"/>
      <c r="S71" s="2029"/>
      <c r="T71" s="2029"/>
      <c r="U71" s="2029"/>
      <c r="V71" s="2029"/>
    </row>
    <row r="72" spans="1:22" ht="12" customHeight="1">
      <c r="A72" s="359" t="s">
        <v>407</v>
      </c>
      <c r="B72" s="3591" t="s">
        <v>408</v>
      </c>
      <c r="C72" s="3592"/>
      <c r="D72" s="358">
        <f ca="1">C86</f>
        <v>9375</v>
      </c>
      <c r="E72" s="73" t="s">
        <v>409</v>
      </c>
      <c r="F72" s="360">
        <f>'数据-取费表'!B41</f>
        <v>5.6000000000000001E-2</v>
      </c>
      <c r="G72" s="361"/>
      <c r="H72" s="1298"/>
      <c r="I72" s="1292"/>
      <c r="J72" s="2036"/>
      <c r="K72" s="1977">
        <v>1</v>
      </c>
      <c r="L72" s="3638" t="s">
        <v>406</v>
      </c>
      <c r="M72" s="3638"/>
      <c r="N72" s="1296">
        <f ca="1">D66</f>
        <v>9487</v>
      </c>
      <c r="O72" s="1860" t="str">
        <f>E66</f>
        <v>销售额×税（费）率</v>
      </c>
      <c r="P72" s="1297">
        <f>F66</f>
        <v>5.6000000000000001E-2</v>
      </c>
      <c r="Q72" s="2029"/>
      <c r="R72" s="2029"/>
      <c r="S72" s="2029"/>
      <c r="T72" s="2029"/>
      <c r="U72" s="2029"/>
      <c r="V72" s="2029"/>
    </row>
    <row r="73" spans="1:22" ht="24" customHeight="1">
      <c r="A73" s="3632" t="s">
        <v>411</v>
      </c>
      <c r="B73" s="3600"/>
      <c r="C73" s="3600"/>
      <c r="D73" s="362">
        <f>IF(H73="个人住宅",0,ROUND(D63*I73,0))</f>
        <v>0</v>
      </c>
      <c r="E73" s="17" t="s">
        <v>412</v>
      </c>
      <c r="F73" s="360" t="str">
        <f>IF(H73="正常",I73,"免征")</f>
        <v>免征</v>
      </c>
      <c r="G73" s="361"/>
      <c r="H73" s="191" t="s">
        <v>2456</v>
      </c>
      <c r="I73" s="360">
        <f>'数据-取费表'!B49</f>
        <v>5.0000000000000001E-4</v>
      </c>
      <c r="J73" s="2036"/>
      <c r="K73" s="1977">
        <v>2</v>
      </c>
      <c r="L73" s="3638" t="s">
        <v>410</v>
      </c>
      <c r="M73" s="3638"/>
      <c r="N73" s="1296">
        <f t="shared" ref="N73:P74" si="1">D73</f>
        <v>0</v>
      </c>
      <c r="O73" s="1860" t="str">
        <f t="shared" si="1"/>
        <v>销售额×税（费）率</v>
      </c>
      <c r="P73" s="1297" t="str">
        <f t="shared" si="1"/>
        <v>免征</v>
      </c>
      <c r="Q73" s="2029"/>
      <c r="R73" s="2029"/>
      <c r="S73" s="2029"/>
      <c r="T73" s="2029"/>
      <c r="U73" s="2029"/>
      <c r="V73" s="2029"/>
    </row>
    <row r="74" spans="1:22" ht="24.75">
      <c r="A74" s="3632" t="s">
        <v>415</v>
      </c>
      <c r="B74" s="3600"/>
      <c r="C74" s="3600"/>
      <c r="D74" s="362">
        <f ca="1">IF(H74="个人住宅",D75,D76)</f>
        <v>100027</v>
      </c>
      <c r="E74" s="17" t="s">
        <v>416</v>
      </c>
      <c r="F74" s="360" t="str">
        <f>IF(H74="正常",F76,"免征")</f>
        <v>——</v>
      </c>
      <c r="G74" s="983" t="s">
        <v>417</v>
      </c>
      <c r="H74" s="363" t="s">
        <v>413</v>
      </c>
      <c r="I74" s="42"/>
      <c r="J74" s="2036"/>
      <c r="K74" s="1977">
        <v>3</v>
      </c>
      <c r="L74" s="3638" t="s">
        <v>414</v>
      </c>
      <c r="M74" s="3638"/>
      <c r="N74" s="1296">
        <f t="shared" ca="1" si="1"/>
        <v>100027</v>
      </c>
      <c r="O74" s="1860" t="str">
        <f t="shared" si="1"/>
        <v>增值额×税（费）率</v>
      </c>
      <c r="P74" s="1299" t="str">
        <f t="shared" si="1"/>
        <v>——</v>
      </c>
      <c r="Q74" s="2029"/>
      <c r="R74" s="2029"/>
      <c r="S74" s="2029"/>
      <c r="T74" s="2029"/>
      <c r="U74" s="2029"/>
      <c r="V74" s="2029"/>
    </row>
    <row r="75" spans="1:22" ht="24">
      <c r="A75" s="359" t="s">
        <v>418</v>
      </c>
      <c r="B75" s="3588" t="s">
        <v>419</v>
      </c>
      <c r="C75" s="3618"/>
      <c r="D75" s="364">
        <v>0</v>
      </c>
      <c r="E75" s="41" t="s">
        <v>420</v>
      </c>
      <c r="F75" s="365"/>
      <c r="G75" s="361"/>
      <c r="H75" s="42"/>
      <c r="I75" s="42"/>
      <c r="J75" s="2036"/>
      <c r="K75" s="3080">
        <f>IF(H77="非个人房产","",4)</f>
        <v>4</v>
      </c>
      <c r="L75" s="3638" t="str">
        <f>IF(H77="非个人房产","——","个人所得税")</f>
        <v>个人所得税</v>
      </c>
      <c r="M75" s="3638"/>
      <c r="N75" s="1300">
        <f ca="1">D77</f>
        <v>1779</v>
      </c>
      <c r="O75" s="1873" t="str">
        <f>E77</f>
        <v>销售额×税（费）率</v>
      </c>
      <c r="P75" s="1301">
        <f>F77</f>
        <v>0.01</v>
      </c>
      <c r="Q75" s="2029"/>
      <c r="R75" s="2029"/>
      <c r="S75" s="2029"/>
      <c r="T75" s="2029"/>
      <c r="U75" s="2029"/>
      <c r="V75" s="2029"/>
    </row>
    <row r="76" spans="1:22" ht="24.75">
      <c r="A76" s="359" t="s">
        <v>396</v>
      </c>
      <c r="B76" s="3588" t="s">
        <v>422</v>
      </c>
      <c r="C76" s="3589"/>
      <c r="D76" s="362">
        <f ca="1">IF(H76="转让取得",C99,C115)</f>
        <v>100027</v>
      </c>
      <c r="E76" s="17" t="s">
        <v>423</v>
      </c>
      <c r="F76" s="53" t="s">
        <v>21</v>
      </c>
      <c r="G76" s="361"/>
      <c r="H76" s="363" t="s">
        <v>424</v>
      </c>
      <c r="I76" s="42"/>
      <c r="J76" s="2036"/>
      <c r="K76" s="3080" t="str">
        <f>IF(项目基本情况!K6="上海银行",IF(K75="",4,K75+1),"")</f>
        <v/>
      </c>
      <c r="L76" s="3649" t="str">
        <f>IF(项目基本情况!K6="上海银行","其他处置费用","")</f>
        <v/>
      </c>
      <c r="M76" s="3650"/>
      <c r="N76" s="1296" t="str">
        <f>IF(项目基本情况!K6="上海银行",N89,"")</f>
        <v/>
      </c>
      <c r="O76" s="3651" t="str">
        <f>IF(项目基本情况!K6="上海银行","包含处置中涉及的律师、诉讼、拍卖、评估等费用","")</f>
        <v/>
      </c>
      <c r="P76" s="3652"/>
      <c r="Q76" s="2029"/>
      <c r="R76" s="2029"/>
      <c r="S76" s="2029"/>
      <c r="T76" s="2029"/>
      <c r="U76" s="2029"/>
      <c r="V76" s="2029"/>
    </row>
    <row r="77" spans="1:22" ht="26.25" thickBot="1">
      <c r="A77" s="3640" t="s">
        <v>426</v>
      </c>
      <c r="B77" s="3641"/>
      <c r="C77" s="3641"/>
      <c r="D77" s="366">
        <f ca="1">IF(H77="非个人房产","——",IF(H77="个人住宅",0,ROUND(D63*I77,0)))</f>
        <v>1779</v>
      </c>
      <c r="E77" s="367" t="str">
        <f>IF(H77="非个人房产","——","销售额×税（费）率")</f>
        <v>销售额×税（费）率</v>
      </c>
      <c r="F77" s="368">
        <f>IF(H77="非个人房产","——",IF(H77="个人住宅","免征",I77))</f>
        <v>0.01</v>
      </c>
      <c r="G77" s="984" t="s">
        <v>417</v>
      </c>
      <c r="H77" s="363" t="s">
        <v>2886</v>
      </c>
      <c r="I77" s="369">
        <v>0.01</v>
      </c>
      <c r="J77" s="2036"/>
      <c r="K77" s="3639">
        <f>IF(AND(K75="",K76=""),4,IF(项目基本情况!K6="上海银行",K76+1,K75+1))</f>
        <v>5</v>
      </c>
      <c r="L77" s="3638" t="s">
        <v>2887</v>
      </c>
      <c r="M77" s="3086" t="s">
        <v>421</v>
      </c>
      <c r="N77" s="1302"/>
      <c r="O77" s="1303">
        <f ca="1">SUMIF(N72:N76,"&lt;9e307")</f>
        <v>111293</v>
      </c>
      <c r="P77" s="1304"/>
      <c r="Q77" s="3084">
        <f ca="1">O77/N69</f>
        <v>0.37539253417703589</v>
      </c>
      <c r="R77" s="2029"/>
      <c r="S77" s="2029"/>
      <c r="T77" s="2029"/>
      <c r="U77" s="2029"/>
      <c r="V77" s="2029"/>
    </row>
    <row r="78" spans="1:22" ht="12" customHeight="1">
      <c r="A78" s="1305"/>
      <c r="B78" s="311"/>
      <c r="C78" s="311"/>
      <c r="D78" s="311"/>
      <c r="E78" s="42"/>
      <c r="F78" s="42"/>
      <c r="G78" s="42"/>
      <c r="H78" s="1003"/>
      <c r="I78" s="311"/>
      <c r="J78" s="2036"/>
      <c r="K78" s="3639"/>
      <c r="L78" s="3638"/>
      <c r="M78" s="3086" t="s">
        <v>425</v>
      </c>
      <c r="N78" s="1302"/>
      <c r="O78" s="1303" t="str">
        <f ca="1">NUMBERSTRING(INT(O77*10000),2)&amp;"元整"</f>
        <v>壹拾壹亿壹仟贰佰玖拾叁万元整</v>
      </c>
      <c r="P78" s="1304"/>
      <c r="Q78" s="2029"/>
      <c r="R78" s="2029"/>
      <c r="S78" s="2029"/>
      <c r="T78" s="2029"/>
      <c r="U78" s="2029"/>
      <c r="V78" s="2029"/>
    </row>
    <row r="79" spans="1:22" ht="13.5" thickBot="1">
      <c r="A79" s="3633" t="s">
        <v>427</v>
      </c>
      <c r="B79" s="3633"/>
      <c r="C79" s="3633"/>
      <c r="D79" s="3633"/>
      <c r="E79" s="3633"/>
      <c r="F79" s="42"/>
      <c r="G79" s="42"/>
      <c r="H79" s="1003"/>
      <c r="I79" s="311"/>
      <c r="J79" s="2036"/>
      <c r="K79" s="3659">
        <f>K77+1</f>
        <v>6</v>
      </c>
      <c r="L79" s="3638" t="s">
        <v>2888</v>
      </c>
      <c r="M79" s="3086" t="s">
        <v>421</v>
      </c>
      <c r="N79" s="1302"/>
      <c r="O79" s="1303">
        <f ca="1">N69-O77</f>
        <v>185178</v>
      </c>
      <c r="P79" s="1304"/>
      <c r="Q79" s="2029"/>
      <c r="R79" s="2029"/>
      <c r="S79" s="2029"/>
      <c r="T79" s="2029"/>
      <c r="U79" s="2029"/>
      <c r="V79" s="2029"/>
    </row>
    <row r="80" spans="1:22" ht="25.5">
      <c r="A80" s="3628" t="s">
        <v>428</v>
      </c>
      <c r="B80" s="3629"/>
      <c r="C80" s="994"/>
      <c r="D80" s="994" t="s">
        <v>429</v>
      </c>
      <c r="E80" s="370" t="s">
        <v>430</v>
      </c>
      <c r="F80" s="42"/>
      <c r="G80" s="42"/>
      <c r="H80" s="1003"/>
      <c r="I80" s="311"/>
      <c r="J80" s="2029"/>
      <c r="K80" s="3660"/>
      <c r="L80" s="3638"/>
      <c r="M80" s="3086" t="s">
        <v>425</v>
      </c>
      <c r="N80" s="1302"/>
      <c r="O80" s="1303" t="str">
        <f ca="1">NUMBERSTRING(INT(O79*10000),2)&amp;"元整"</f>
        <v>壹拾捌亿伍仟壹佰柒拾捌万元整</v>
      </c>
      <c r="P80" s="1304"/>
      <c r="Q80" s="2029"/>
      <c r="R80" s="2029"/>
      <c r="S80" s="2029"/>
      <c r="T80" s="2029"/>
      <c r="U80" s="2029"/>
      <c r="V80" s="2029"/>
    </row>
    <row r="81" spans="1:26" ht="13.5" thickBot="1">
      <c r="A81" s="381" t="s">
        <v>1825</v>
      </c>
      <c r="B81" s="371" t="s">
        <v>431</v>
      </c>
      <c r="C81" s="372">
        <f ca="1">ROUND((C82+C83)/(1+'数据-取费表'!C42),0)</f>
        <v>169412</v>
      </c>
      <c r="D81" s="373"/>
      <c r="E81" s="374"/>
      <c r="F81" s="42"/>
      <c r="G81" s="42"/>
      <c r="H81" s="1003"/>
      <c r="I81" s="311"/>
      <c r="J81" s="2029"/>
      <c r="K81" s="3080">
        <f>K79+1</f>
        <v>7</v>
      </c>
      <c r="L81" s="3636" t="s">
        <v>2889</v>
      </c>
      <c r="M81" s="3637"/>
      <c r="N81" s="1306"/>
      <c r="O81" s="1307">
        <f ca="1">ROUND(O79*10000/'数据-汇总表'!E3,0)</f>
        <v>13053</v>
      </c>
      <c r="P81" s="1308"/>
      <c r="Q81" s="2029"/>
      <c r="R81" s="2029"/>
      <c r="S81" s="2029"/>
      <c r="T81" s="2029"/>
      <c r="U81" s="2029"/>
      <c r="V81" s="2029"/>
    </row>
    <row r="82" spans="1:26" ht="13.5" thickTop="1">
      <c r="A82" s="375" t="s">
        <v>1826</v>
      </c>
      <c r="B82" s="376" t="s">
        <v>432</v>
      </c>
      <c r="C82" s="377">
        <f ca="1">D63</f>
        <v>177883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648" t="s">
        <v>2876</v>
      </c>
      <c r="L83" s="3092" t="s">
        <v>2877</v>
      </c>
      <c r="M83" s="3082">
        <f ca="1">IF(N69&gt;10000,N69*0.5%,IF(AND(N69&gt;1000,N69&lt;=10000),N69*1%,IF(AND(N69&gt;100,N69&lt;=1000),N69*3%,IF(AND(N69&gt;10,N69&lt;=100),N69*5%,N69*8%))))</f>
        <v>1482.355</v>
      </c>
      <c r="N83" s="53">
        <f ca="1">ROUND(M83,1)</f>
        <v>1482.4</v>
      </c>
      <c r="O83" s="3085"/>
      <c r="P83" s="2029"/>
      <c r="Q83" s="2029"/>
      <c r="R83" s="2029"/>
      <c r="S83" s="2029"/>
      <c r="T83" s="2029"/>
      <c r="U83" s="2029"/>
      <c r="V83" s="2029"/>
    </row>
    <row r="84" spans="1:26" ht="12.75">
      <c r="A84" s="381" t="s">
        <v>1828</v>
      </c>
      <c r="B84" s="382" t="s">
        <v>434</v>
      </c>
      <c r="C84" s="383">
        <v>2000</v>
      </c>
      <c r="D84" s="384" t="s">
        <v>19</v>
      </c>
      <c r="E84" s="3127" t="s">
        <v>2941</v>
      </c>
      <c r="F84" s="42"/>
      <c r="G84" s="42"/>
      <c r="H84" s="1003"/>
      <c r="I84" s="311"/>
      <c r="J84" s="2029"/>
      <c r="K84" s="3648"/>
      <c r="L84" s="3092" t="s">
        <v>2878</v>
      </c>
      <c r="M84" s="3082">
        <f ca="1">IF(N69&gt;2000,N69*0.5%,IF(AND(N69&gt;1000,N69&lt;=2000),N69*0.6%,IF(AND(N69&gt;500,N69&lt;=1000),N69*0.7%,IF(AND(N69&gt;200,N69&lt;=500),N69*0.8%,IF(AND(N69&gt;100,N69&lt;=200),N69*0.9%,IF(AND(N69&gt;50,N69&lt;=100),N69*1%,IF(AND(N69&gt;20,N69&lt;=50),N69*1.5%,IF(AND(N69&gt;10,N69&lt;=20),N69*2%,IF(AND(N69&gt;1,N69&lt;=10),N69*2.5%)))))))))</f>
        <v>1482.355</v>
      </c>
      <c r="N84" s="53">
        <f t="shared" ref="N84:N85" ca="1" si="2">ROUND(M84,1)</f>
        <v>1482.4</v>
      </c>
      <c r="O84" s="2029" t="s">
        <v>2879</v>
      </c>
      <c r="P84" s="2029"/>
      <c r="Q84" s="2029"/>
      <c r="R84" s="2029"/>
      <c r="S84" s="2029"/>
      <c r="T84" s="2029"/>
      <c r="U84" s="2029"/>
      <c r="V84" s="2029"/>
    </row>
    <row r="85" spans="1:26" ht="12.75">
      <c r="A85" s="381" t="s">
        <v>1829</v>
      </c>
      <c r="B85" s="382" t="s">
        <v>435</v>
      </c>
      <c r="C85" s="385">
        <f ca="1">C81-C84</f>
        <v>167412</v>
      </c>
      <c r="D85" s="378" t="s">
        <v>19</v>
      </c>
      <c r="E85" s="379"/>
      <c r="F85" s="42"/>
      <c r="G85" s="42"/>
      <c r="H85" s="1003"/>
      <c r="I85" s="311"/>
      <c r="J85" s="2029"/>
      <c r="K85" s="3648"/>
      <c r="L85" s="3092" t="s">
        <v>2880</v>
      </c>
      <c r="M85" s="3082">
        <f ca="1">IF(N69&gt;1000,N69*0.1%,IF(AND(N69&gt;500,N69&lt;=1000),N69*0.5%,IF(AND(N69&gt;50,N69&lt;=500),N69*1%,IF(AND(N69&gt;1,N69&lt;=50),N69*1.5%))))</f>
        <v>296.471</v>
      </c>
      <c r="N85" s="53">
        <f t="shared" ca="1" si="2"/>
        <v>296.5</v>
      </c>
      <c r="O85" s="2029" t="s">
        <v>2879</v>
      </c>
      <c r="P85" s="2029"/>
      <c r="Q85" s="2029"/>
      <c r="R85" s="2029"/>
      <c r="S85" s="2029"/>
      <c r="T85" s="2029"/>
      <c r="U85" s="2029"/>
      <c r="V85" s="2029"/>
    </row>
    <row r="86" spans="1:26" ht="13.5" thickBot="1">
      <c r="A86" s="386" t="s">
        <v>1830</v>
      </c>
      <c r="B86" s="387" t="s">
        <v>436</v>
      </c>
      <c r="C86" s="388">
        <f ca="1">IF(C85&lt;=0,0,ROUND(C85*D86,0))</f>
        <v>9375</v>
      </c>
      <c r="D86" s="389">
        <f>'数据-取费表'!B41</f>
        <v>5.6000000000000001E-2</v>
      </c>
      <c r="E86" s="390"/>
      <c r="F86" s="42"/>
      <c r="G86" s="42"/>
      <c r="H86" s="1003"/>
      <c r="I86" s="311"/>
      <c r="J86" s="2029"/>
      <c r="K86" s="3648"/>
      <c r="L86" s="3092" t="s">
        <v>2881</v>
      </c>
      <c r="M86" s="3082">
        <f ca="1">N69*0.5%</f>
        <v>1482.355</v>
      </c>
      <c r="N86" s="53">
        <f ca="1">IF(M86&gt;0.5,0.5,ROUND(M86,0))</f>
        <v>0.5</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48"/>
      <c r="L87" s="3092" t="s">
        <v>2883</v>
      </c>
      <c r="M87" s="3082">
        <f ca="1">IF(N69&gt;=10000,(8.25+(N69-10000)*0.01%),IF(AND(N69&gt;=8000,N69&lt;10000),(7.85+(N69-8000)*0.02%),IF(AND(N69&gt;=5000,N69&lt;8000),(6.65+(N69-5000)*0.04%),IF(AND(N69&gt;=2000,N69&lt;5000),(4.25+(PN69-2000)*0.08%),IF(AND(N69&gt;=1000,N69&lt;2000),(2.75+(N69-1000)*0.15%),IF(AND(N69&gt;=100,N69&lt;1000),(0.5+(N69-100)*0.25%),IF(AND(N69&gt;0,N69&lt;100),N69*0.5%)))))))</f>
        <v>36.897100000000002</v>
      </c>
      <c r="N87" s="53">
        <f ca="1">ROUND(M87*0.9,1)</f>
        <v>33.200000000000003</v>
      </c>
      <c r="O87" s="3085"/>
      <c r="P87" s="311"/>
      <c r="Q87" s="2029"/>
      <c r="R87" s="2029"/>
      <c r="S87" s="2029"/>
      <c r="T87" s="2029"/>
      <c r="U87" s="2029"/>
      <c r="V87" s="2029"/>
      <c r="W87" s="292"/>
      <c r="X87" s="292"/>
      <c r="Y87" s="292"/>
      <c r="Z87" s="292"/>
    </row>
    <row r="88" spans="1:26" s="1314" customFormat="1" ht="15" thickBot="1">
      <c r="A88" s="3630" t="s">
        <v>437</v>
      </c>
      <c r="B88" s="3631"/>
      <c r="C88" s="3631"/>
      <c r="D88" s="3631"/>
      <c r="E88" s="3631"/>
      <c r="F88" s="3631"/>
      <c r="G88" s="3631"/>
      <c r="H88" s="3631"/>
      <c r="I88" s="1315"/>
      <c r="J88" s="2037"/>
      <c r="K88" s="3648"/>
      <c r="L88" s="3092" t="s">
        <v>2884</v>
      </c>
      <c r="M88" s="3082">
        <f ca="1">IF(N69&gt;10000,N69*0.5%,IF(AND(N69&gt;5000,N69&lt;=10000),N69*1%,IF(AND(N69&gt;1000,N69&lt;=5000),N69*2%,IF(AND(N69&gt;200,N69&lt;=1000),N69*3%,N69*5%))))</f>
        <v>1482.355</v>
      </c>
      <c r="N88" s="53">
        <f ca="1">ROUND(M88,1)</f>
        <v>1482.4</v>
      </c>
      <c r="O88" s="3085"/>
      <c r="P88" s="11"/>
      <c r="Q88" s="2034"/>
      <c r="R88" s="2034"/>
      <c r="S88" s="2034"/>
      <c r="T88" s="2034"/>
      <c r="U88" s="2034"/>
      <c r="V88" s="2034"/>
      <c r="W88" s="2038"/>
      <c r="X88" s="2038"/>
      <c r="Y88" s="2038"/>
      <c r="Z88" s="2038"/>
    </row>
    <row r="89" spans="1:26" s="1314" customFormat="1" ht="14.25">
      <c r="A89" s="3628" t="s">
        <v>428</v>
      </c>
      <c r="B89" s="3629"/>
      <c r="C89" s="994"/>
      <c r="D89" s="994" t="s">
        <v>429</v>
      </c>
      <c r="E89" s="391" t="s">
        <v>438</v>
      </c>
      <c r="F89" s="392"/>
      <c r="G89" s="392"/>
      <c r="H89" s="393"/>
      <c r="I89" s="1316"/>
      <c r="J89" s="2039"/>
      <c r="K89" s="3648"/>
      <c r="L89" s="3092" t="s">
        <v>27</v>
      </c>
      <c r="M89" s="3083"/>
      <c r="N89" s="53">
        <f ca="1">ROUND(SUM(N83:N88),0)</f>
        <v>4777</v>
      </c>
      <c r="O89" s="3093">
        <f ca="1">N89/N69</f>
        <v>1.6112874446404538E-2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169412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3577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591" t="s">
        <v>447</v>
      </c>
      <c r="F94" s="3590"/>
      <c r="G94" s="3590"/>
      <c r="H94" s="362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1016</v>
      </c>
      <c r="D96" s="406">
        <f>'数据-取费表'!B43</f>
        <v>6.000000000000001E-3</v>
      </c>
      <c r="E96" s="3619" t="s">
        <v>2428</v>
      </c>
      <c r="F96" s="3620"/>
      <c r="G96" s="3620"/>
      <c r="H96" s="3621"/>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1837</v>
      </c>
      <c r="B97" s="382" t="s">
        <v>451</v>
      </c>
      <c r="C97" s="385">
        <f ca="1">C90-C91</f>
        <v>165835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1838</v>
      </c>
      <c r="B98" s="382" t="s">
        <v>452</v>
      </c>
      <c r="C98" s="407">
        <f ca="1">IF(C97&lt;=0,0,C97/C91)</f>
        <v>46.361476097288232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1839</v>
      </c>
      <c r="B99" s="387" t="s">
        <v>453</v>
      </c>
      <c r="C99" s="408">
        <f ca="1">ROUND(IF(C97&lt;=0,0,IF(C98&gt;=200%,C97*60%-C91*35%,IF(C98&gt;=100%,C97*50%-C91*15%,IF(C98&gt;=50%,C97*40%-C91*5%,IF(C98&lt;50%,C97*30%,0))))),0)</f>
        <v>98249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30" t="s">
        <v>454</v>
      </c>
      <c r="B101" s="3631"/>
      <c r="C101" s="3631"/>
      <c r="D101" s="3631"/>
      <c r="E101" s="3631"/>
      <c r="F101" s="3631"/>
      <c r="G101" s="3631"/>
      <c r="H101" s="3631"/>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28" t="s">
        <v>428</v>
      </c>
      <c r="B102" s="362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169412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1706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1840</v>
      </c>
      <c r="B109" s="376" t="s">
        <v>461</v>
      </c>
      <c r="C109" s="405">
        <f>IF(H109="——",IF(F1="现房",'剩余法-现房'!C18,'剩余法-待开发'!C18),I109)</f>
        <v>55</v>
      </c>
      <c r="D109" s="406"/>
      <c r="E109" s="3622" t="s">
        <v>462</v>
      </c>
      <c r="F109" s="3620"/>
      <c r="G109" s="3620"/>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1841</v>
      </c>
      <c r="B110" s="376" t="s">
        <v>463</v>
      </c>
      <c r="C110" s="405">
        <f>ROUND((C105+C108+C109)*D110,0)</f>
        <v>63</v>
      </c>
      <c r="D110" s="406">
        <v>0.1</v>
      </c>
      <c r="E110" s="3622" t="s">
        <v>464</v>
      </c>
      <c r="F110" s="3620"/>
      <c r="G110" s="3620"/>
      <c r="H110" s="3621"/>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1842</v>
      </c>
      <c r="B111" s="376" t="s">
        <v>450</v>
      </c>
      <c r="C111" s="405">
        <f ca="1">ROUND(D63*D111/(1+'数据-取费表'!C42),0)</f>
        <v>1016</v>
      </c>
      <c r="D111" s="406">
        <f>'数据-取费表'!B43</f>
        <v>6.000000000000001E-3</v>
      </c>
      <c r="E111" s="3619" t="s">
        <v>2428</v>
      </c>
      <c r="F111" s="3620"/>
      <c r="G111" s="3620"/>
      <c r="H111" s="3621"/>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1843</v>
      </c>
      <c r="B112" s="376" t="s">
        <v>465</v>
      </c>
      <c r="C112" s="405">
        <f>ROUND(C108*D112,0)</f>
        <v>0</v>
      </c>
      <c r="D112" s="406">
        <v>0.2</v>
      </c>
      <c r="E112" s="3622" t="s">
        <v>2453</v>
      </c>
      <c r="F112" s="3620"/>
      <c r="G112" s="3620"/>
      <c r="H112" s="3621"/>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1837</v>
      </c>
      <c r="B113" s="382" t="s">
        <v>451</v>
      </c>
      <c r="C113" s="385">
        <f ca="1">ROUND(C103-C104,0)</f>
        <v>167706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1838</v>
      </c>
      <c r="B114" s="382" t="s">
        <v>452</v>
      </c>
      <c r="C114" s="407">
        <f ca="1">IF(C113&lt;=0,0,C113/C104)</f>
        <v>98.303634232121922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1839</v>
      </c>
      <c r="B115" s="387" t="s">
        <v>453</v>
      </c>
      <c r="C115" s="408">
        <f ca="1">ROUND(IF(C113&lt;=0,0,IF(C114&gt;=200%,C113*60%-C104*35%,IF(C114&gt;=100%,C113*50%-C104*15%,IF(C114&gt;=50%,C113*40%-C104*5%,IF(C114&lt;50%,C113*30%,0))))),0)</f>
        <v>100027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3" zoomScale="80" zoomScaleNormal="95" zoomScaleSheetLayoutView="80" workbookViewId="0">
      <selection activeCell="N17" sqref="N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286452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20192</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50480</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3365</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673" t="s">
        <v>523</v>
      </c>
      <c r="D6" s="3674"/>
      <c r="E6" s="3673" t="s">
        <v>524</v>
      </c>
      <c r="F6" s="3674"/>
      <c r="G6" s="3673" t="s">
        <v>525</v>
      </c>
      <c r="H6" s="3674"/>
      <c r="I6" s="3673" t="s">
        <v>526</v>
      </c>
      <c r="J6" s="3674"/>
      <c r="K6" s="514" t="s">
        <v>527</v>
      </c>
      <c r="L6" s="2134"/>
      <c r="M6" s="2133"/>
      <c r="N6" s="2133"/>
      <c r="O6" s="2135"/>
      <c r="P6" s="3675" t="s">
        <v>528</v>
      </c>
      <c r="Q6" s="3676"/>
      <c r="R6" s="3681" t="s">
        <v>524</v>
      </c>
      <c r="S6" s="3682"/>
      <c r="T6" s="3681" t="s">
        <v>525</v>
      </c>
      <c r="U6" s="3682"/>
      <c r="V6" s="3668" t="s">
        <v>526</v>
      </c>
      <c r="W6" s="3668"/>
      <c r="X6" s="1568"/>
      <c r="Y6" s="3681" t="s">
        <v>528</v>
      </c>
      <c r="Z6" s="3682"/>
      <c r="AA6" s="3670" t="s">
        <v>524</v>
      </c>
      <c r="AB6" s="3671" t="s">
        <v>525</v>
      </c>
      <c r="AC6" s="3670" t="s">
        <v>526</v>
      </c>
    </row>
    <row r="7" spans="1:30" ht="20.25">
      <c r="A7" s="515"/>
      <c r="B7" s="516"/>
      <c r="C7" s="3691" t="s">
        <v>2928</v>
      </c>
      <c r="D7" s="3690"/>
      <c r="E7" s="3689" t="s">
        <v>3310</v>
      </c>
      <c r="F7" s="3690"/>
      <c r="G7" s="3689" t="s">
        <v>3313</v>
      </c>
      <c r="H7" s="3690"/>
      <c r="I7" s="3689" t="s">
        <v>3315</v>
      </c>
      <c r="J7" s="3690"/>
      <c r="K7" s="514"/>
      <c r="L7" s="2134"/>
      <c r="M7" s="2133"/>
      <c r="N7" s="2133"/>
      <c r="O7" s="2135"/>
      <c r="P7" s="3677"/>
      <c r="Q7" s="3678"/>
      <c r="R7" s="3683"/>
      <c r="S7" s="3684"/>
      <c r="T7" s="3683"/>
      <c r="U7" s="3684"/>
      <c r="V7" s="3668"/>
      <c r="W7" s="3668"/>
      <c r="X7" s="1568"/>
      <c r="Y7" s="3683"/>
      <c r="Z7" s="3684"/>
      <c r="AA7" s="3671"/>
      <c r="AB7" s="3671"/>
      <c r="AC7" s="3671"/>
    </row>
    <row r="8" spans="1:30" ht="21" thickBot="1">
      <c r="A8" s="515"/>
      <c r="B8" s="516"/>
      <c r="C8" s="3692" t="s">
        <v>2932</v>
      </c>
      <c r="D8" s="3693"/>
      <c r="E8" s="3694" t="s">
        <v>3309</v>
      </c>
      <c r="F8" s="3693"/>
      <c r="G8" s="3687" t="s">
        <v>3312</v>
      </c>
      <c r="H8" s="3688"/>
      <c r="I8" s="3687" t="s">
        <v>3314</v>
      </c>
      <c r="J8" s="3688"/>
      <c r="K8" s="514" t="s">
        <v>529</v>
      </c>
      <c r="L8" s="2134"/>
      <c r="M8" s="2133"/>
      <c r="N8" s="2133"/>
      <c r="O8" s="2135"/>
      <c r="P8" s="3679"/>
      <c r="Q8" s="3680"/>
      <c r="R8" s="3683"/>
      <c r="S8" s="3684"/>
      <c r="T8" s="3685"/>
      <c r="U8" s="3686"/>
      <c r="V8" s="3668"/>
      <c r="W8" s="3668"/>
      <c r="X8" s="1568"/>
      <c r="Y8" s="3685"/>
      <c r="Z8" s="3686"/>
      <c r="AA8" s="3672"/>
      <c r="AB8" s="3672"/>
      <c r="AC8" s="3672"/>
    </row>
    <row r="9" spans="1:30" s="1220" customFormat="1" ht="21" thickBot="1">
      <c r="A9" s="2938"/>
      <c r="B9" s="2945" t="s">
        <v>530</v>
      </c>
      <c r="C9" s="2937">
        <f>'数据-取费表'!B2</f>
        <v>43159</v>
      </c>
      <c r="D9" s="520">
        <v>100</v>
      </c>
      <c r="E9" s="521">
        <v>43108</v>
      </c>
      <c r="F9" s="522">
        <f>SUMIF(72:72,YEAR(E9)&amp;"-"&amp;INT((MONTH(E9)+2)/3),73:73)</f>
        <v>100</v>
      </c>
      <c r="G9" s="523">
        <v>43132</v>
      </c>
      <c r="H9" s="520">
        <f>SUMIF(72:72,YEAR(G9)&amp;"-"&amp;INT((MONTH(G9)+2)/3),73:73)</f>
        <v>100</v>
      </c>
      <c r="I9" s="523">
        <v>43132</v>
      </c>
      <c r="J9" s="520">
        <f>SUMIF(72:72,YEAR(I9)&amp;"-"&amp;INT((MONTH(I9)+2)/3),73:73)</f>
        <v>100</v>
      </c>
      <c r="K9" s="524"/>
      <c r="L9" s="2136"/>
      <c r="M9" s="2133"/>
      <c r="N9" s="2133"/>
      <c r="O9" s="2137"/>
      <c r="P9" s="3700" t="s">
        <v>531</v>
      </c>
      <c r="Q9" s="3702"/>
      <c r="R9" s="1569" t="s">
        <v>8</v>
      </c>
      <c r="S9" s="1570">
        <f t="shared" ref="S9:S17" si="0">F9</f>
        <v>100</v>
      </c>
      <c r="T9" s="1569" t="s">
        <v>8</v>
      </c>
      <c r="U9" s="1570">
        <f t="shared" ref="U9:U17" si="1">H9</f>
        <v>100</v>
      </c>
      <c r="V9" s="1569" t="s">
        <v>8</v>
      </c>
      <c r="W9" s="1570">
        <f t="shared" ref="W9:W17" si="2">J9</f>
        <v>100</v>
      </c>
      <c r="X9" s="1571"/>
      <c r="Y9" s="3700" t="s">
        <v>531</v>
      </c>
      <c r="Z9" s="3701"/>
      <c r="AA9" s="1572">
        <f>D9/F9</f>
        <v>1</v>
      </c>
      <c r="AB9" s="1572">
        <f>D9/H9</f>
        <v>1</v>
      </c>
      <c r="AC9" s="1572">
        <f>D9/J9</f>
        <v>1</v>
      </c>
    </row>
    <row r="10" spans="1:30" s="1220" customFormat="1" ht="21" thickBot="1">
      <c r="A10" s="2939"/>
      <c r="B10" s="2946" t="s">
        <v>532</v>
      </c>
      <c r="C10" s="856" t="s">
        <v>533</v>
      </c>
      <c r="D10" s="520">
        <v>100</v>
      </c>
      <c r="E10" s="525" t="s">
        <v>3259</v>
      </c>
      <c r="F10" s="522">
        <f>SUMIF(75:75,E10,76:76)-SUMIF(75:75,C10,76:76)+100</f>
        <v>100</v>
      </c>
      <c r="G10" s="525" t="s">
        <v>3259</v>
      </c>
      <c r="H10" s="520">
        <f>SUMIF(75:75,G10,76:76)-SUMIF(75:75,C10,76:76)+100</f>
        <v>100</v>
      </c>
      <c r="I10" s="525" t="s">
        <v>3259</v>
      </c>
      <c r="J10" s="520">
        <f>SUMIF(75:75,I10,76:76)-SUMIF(75:75,C10,76:76)+100</f>
        <v>100</v>
      </c>
      <c r="K10" s="524"/>
      <c r="L10" s="2136"/>
      <c r="M10" s="2133"/>
      <c r="N10" s="2133"/>
      <c r="O10" s="2137"/>
      <c r="P10" s="3700" t="s">
        <v>534</v>
      </c>
      <c r="Q10" s="3701"/>
      <c r="R10" s="1569" t="s">
        <v>8</v>
      </c>
      <c r="S10" s="1570">
        <f t="shared" si="0"/>
        <v>100</v>
      </c>
      <c r="T10" s="1569" t="s">
        <v>8</v>
      </c>
      <c r="U10" s="1570">
        <f t="shared" si="1"/>
        <v>100</v>
      </c>
      <c r="V10" s="1569" t="s">
        <v>8</v>
      </c>
      <c r="W10" s="1570">
        <f t="shared" si="2"/>
        <v>100</v>
      </c>
      <c r="X10" s="1571"/>
      <c r="Y10" s="3700" t="s">
        <v>534</v>
      </c>
      <c r="Z10" s="3701"/>
      <c r="AA10" s="1572">
        <f t="shared" ref="AA10:AA47" si="3">D10/F10</f>
        <v>1</v>
      </c>
      <c r="AB10" s="1572">
        <f t="shared" ref="AB10:AB47" si="4">D10/H10</f>
        <v>1</v>
      </c>
      <c r="AC10" s="1572">
        <f t="shared" ref="AC10:AC47" si="5">D10/J10</f>
        <v>1</v>
      </c>
    </row>
    <row r="11" spans="1:30" s="1220" customFormat="1" ht="20.25">
      <c r="A11" s="2940"/>
      <c r="B11" s="2947" t="s">
        <v>2758</v>
      </c>
      <c r="C11" s="2934" t="s">
        <v>3226</v>
      </c>
      <c r="D11" s="254">
        <v>100</v>
      </c>
      <c r="E11" s="526" t="s">
        <v>3226</v>
      </c>
      <c r="F11" s="254">
        <f>SUMIF(77:77,E11,78:78)-SUMIF(77:77,C11,78:78)+100</f>
        <v>100</v>
      </c>
      <c r="G11" s="526" t="s">
        <v>3226</v>
      </c>
      <c r="H11" s="254">
        <f>SUMIF(77:77,G11,78:78)-SUMIF(77:77,C11,78:78)+100</f>
        <v>100</v>
      </c>
      <c r="I11" s="526" t="s">
        <v>3226</v>
      </c>
      <c r="J11" s="254">
        <f>SUMIF(77:77,I11,78:78)-SUMIF(77:77,C11,78:78)+100</f>
        <v>100</v>
      </c>
      <c r="K11" s="524"/>
      <c r="L11" s="2136"/>
      <c r="M11" s="2133"/>
      <c r="N11" s="2133"/>
      <c r="O11" s="2138"/>
      <c r="P11" s="3667" t="s">
        <v>536</v>
      </c>
      <c r="Q11" s="1151" t="str">
        <f t="shared" ref="Q11:Q17" si="6">B11</f>
        <v>用途</v>
      </c>
      <c r="R11" s="1569" t="s">
        <v>8</v>
      </c>
      <c r="S11" s="1570">
        <f t="shared" si="0"/>
        <v>100</v>
      </c>
      <c r="T11" s="1569" t="s">
        <v>8</v>
      </c>
      <c r="U11" s="1570">
        <f t="shared" si="1"/>
        <v>100</v>
      </c>
      <c r="V11" s="1569" t="s">
        <v>8</v>
      </c>
      <c r="W11" s="1570">
        <f t="shared" si="2"/>
        <v>100</v>
      </c>
      <c r="X11" s="1571"/>
      <c r="Y11" s="3613" t="s">
        <v>537</v>
      </c>
      <c r="Z11" s="1150" t="str">
        <f t="shared" ref="Z11:Z17" si="7">Q11</f>
        <v>用途</v>
      </c>
      <c r="AA11" s="1572">
        <f t="shared" si="3"/>
        <v>1</v>
      </c>
      <c r="AB11" s="1572">
        <f t="shared" si="4"/>
        <v>1</v>
      </c>
      <c r="AC11" s="1572">
        <f t="shared" si="5"/>
        <v>1</v>
      </c>
    </row>
    <row r="12" spans="1:30" s="1338" customFormat="1" ht="27">
      <c r="A12" s="2941"/>
      <c r="B12" s="2946" t="s">
        <v>2759</v>
      </c>
      <c r="C12" s="910" t="s">
        <v>3260</v>
      </c>
      <c r="D12" s="255">
        <v>100</v>
      </c>
      <c r="E12" s="529" t="s">
        <v>3260</v>
      </c>
      <c r="F12" s="255">
        <f>ROUND(100/'数据-取费表'!G16,0)</f>
        <v>100</v>
      </c>
      <c r="G12" s="530" t="s">
        <v>3260</v>
      </c>
      <c r="H12" s="255">
        <f>ROUND(100/'数据-取费表'!G16,0)</f>
        <v>100</v>
      </c>
      <c r="I12" s="530" t="s">
        <v>3260</v>
      </c>
      <c r="J12" s="255">
        <f>ROUND(100/'数据-取费表'!G16,0)</f>
        <v>100</v>
      </c>
      <c r="K12" s="531"/>
      <c r="L12" s="2139"/>
      <c r="M12" s="2133"/>
      <c r="N12" s="2133"/>
      <c r="O12" s="2140"/>
      <c r="P12" s="3667"/>
      <c r="Q12" s="1151" t="str">
        <f t="shared" si="6"/>
        <v>土地使用年限（年）</v>
      </c>
      <c r="R12" s="1569" t="s">
        <v>8</v>
      </c>
      <c r="S12" s="1570">
        <f t="shared" si="0"/>
        <v>100</v>
      </c>
      <c r="T12" s="1569" t="s">
        <v>8</v>
      </c>
      <c r="U12" s="1570">
        <f t="shared" si="1"/>
        <v>100</v>
      </c>
      <c r="V12" s="1569" t="s">
        <v>8</v>
      </c>
      <c r="W12" s="1570">
        <f t="shared" si="2"/>
        <v>100</v>
      </c>
      <c r="X12" s="1571"/>
      <c r="Y12" s="3613"/>
      <c r="Z12" s="1150" t="str">
        <f t="shared" si="7"/>
        <v>土地使用年限（年）</v>
      </c>
      <c r="AA12" s="1572">
        <f t="shared" si="3"/>
        <v>1</v>
      </c>
      <c r="AB12" s="1572">
        <f t="shared" si="4"/>
        <v>1</v>
      </c>
      <c r="AC12" s="1572">
        <f t="shared" si="5"/>
        <v>1</v>
      </c>
    </row>
    <row r="13" spans="1:30" ht="21" thickBot="1">
      <c r="A13" s="2942"/>
      <c r="B13" s="2946" t="s">
        <v>2760</v>
      </c>
      <c r="C13" s="534">
        <v>2.5</v>
      </c>
      <c r="D13" s="255">
        <v>100</v>
      </c>
      <c r="E13" s="533">
        <v>1.1000000000000001</v>
      </c>
      <c r="F13" s="255">
        <f>LOOKUP(E13,82:82,83:83)-LOOKUP(C13,82:82,83:83)+100</f>
        <v>105</v>
      </c>
      <c r="G13" s="534">
        <v>1.1000000000000001</v>
      </c>
      <c r="H13" s="255">
        <f>LOOKUP(G13,82:82,83:83)-LOOKUP(C13,82:82,83:83)+100</f>
        <v>105</v>
      </c>
      <c r="I13" s="533">
        <v>1.1000000000000001</v>
      </c>
      <c r="J13" s="255">
        <f>LOOKUP(I13,82:82,83:83)-LOOKUP(C13,82:82,83:83)+100</f>
        <v>105</v>
      </c>
      <c r="K13" s="535">
        <v>5</v>
      </c>
      <c r="L13" s="2141"/>
      <c r="M13" s="2133"/>
      <c r="N13" s="2133"/>
      <c r="O13" s="2142"/>
      <c r="P13" s="3667"/>
      <c r="Q13" s="1151" t="str">
        <f t="shared" si="6"/>
        <v>容积率</v>
      </c>
      <c r="R13" s="1569" t="s">
        <v>8</v>
      </c>
      <c r="S13" s="1570">
        <f t="shared" si="0"/>
        <v>105</v>
      </c>
      <c r="T13" s="1569" t="s">
        <v>8</v>
      </c>
      <c r="U13" s="1570">
        <f t="shared" si="1"/>
        <v>105</v>
      </c>
      <c r="V13" s="1569" t="s">
        <v>8</v>
      </c>
      <c r="W13" s="1570">
        <f t="shared" si="2"/>
        <v>105</v>
      </c>
      <c r="X13" s="1571"/>
      <c r="Y13" s="3613"/>
      <c r="Z13" s="1150" t="str">
        <f t="shared" si="7"/>
        <v>容积率</v>
      </c>
      <c r="AA13" s="1572">
        <f t="shared" si="3"/>
        <v>0.95238095238095233</v>
      </c>
      <c r="AB13" s="1572">
        <f t="shared" si="4"/>
        <v>0.95238095238095233</v>
      </c>
      <c r="AC13" s="1572">
        <f t="shared" si="5"/>
        <v>0.95238095238095233</v>
      </c>
    </row>
    <row r="14" spans="1:30" s="1220" customFormat="1" ht="20.25" hidden="1">
      <c r="A14" s="2939"/>
      <c r="B14" s="2948" t="s">
        <v>2761</v>
      </c>
      <c r="C14" s="2935"/>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667"/>
      <c r="Q14" s="1151" t="str">
        <f t="shared" si="6"/>
        <v>配建</v>
      </c>
      <c r="R14" s="1569" t="s">
        <v>8</v>
      </c>
      <c r="S14" s="1570">
        <f t="shared" si="0"/>
        <v>100</v>
      </c>
      <c r="T14" s="1569" t="s">
        <v>8</v>
      </c>
      <c r="U14" s="1570">
        <f t="shared" si="1"/>
        <v>100</v>
      </c>
      <c r="V14" s="1569" t="s">
        <v>8</v>
      </c>
      <c r="W14" s="1570">
        <f t="shared" si="2"/>
        <v>100</v>
      </c>
      <c r="X14" s="1571"/>
      <c r="Y14" s="3613"/>
      <c r="Z14" s="1150" t="str">
        <f t="shared" si="7"/>
        <v>配建</v>
      </c>
      <c r="AA14" s="1572">
        <f>D14/F14</f>
        <v>1</v>
      </c>
      <c r="AB14" s="1572">
        <f>D14/H14</f>
        <v>1</v>
      </c>
      <c r="AC14" s="1572">
        <f>D14/J14</f>
        <v>1</v>
      </c>
    </row>
    <row r="15" spans="1:30" ht="20.25" hidden="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67"/>
      <c r="Q15" s="1151">
        <f t="shared" si="6"/>
        <v>111</v>
      </c>
      <c r="R15" s="1569" t="s">
        <v>8</v>
      </c>
      <c r="S15" s="1570">
        <f t="shared" si="0"/>
        <v>100</v>
      </c>
      <c r="T15" s="1569" t="s">
        <v>8</v>
      </c>
      <c r="U15" s="1570">
        <f t="shared" si="1"/>
        <v>100</v>
      </c>
      <c r="V15" s="1569" t="s">
        <v>8</v>
      </c>
      <c r="W15" s="1570">
        <f t="shared" si="2"/>
        <v>100</v>
      </c>
      <c r="X15" s="1571"/>
      <c r="Y15" s="3613"/>
      <c r="Z15" s="1150">
        <f t="shared" si="7"/>
        <v>111</v>
      </c>
      <c r="AA15" s="1572">
        <f>D15/F15</f>
        <v>1</v>
      </c>
      <c r="AB15" s="1572">
        <f>D15/H15</f>
        <v>1</v>
      </c>
      <c r="AC15" s="1572">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67"/>
      <c r="Q16" s="1151">
        <f t="shared" si="6"/>
        <v>111</v>
      </c>
      <c r="R16" s="1569" t="s">
        <v>8</v>
      </c>
      <c r="S16" s="1570">
        <f t="shared" si="0"/>
        <v>100</v>
      </c>
      <c r="T16" s="1569" t="s">
        <v>8</v>
      </c>
      <c r="U16" s="1570">
        <f t="shared" si="1"/>
        <v>100</v>
      </c>
      <c r="V16" s="1569" t="s">
        <v>8</v>
      </c>
      <c r="W16" s="1570">
        <f t="shared" si="2"/>
        <v>100</v>
      </c>
      <c r="X16" s="1571"/>
      <c r="Y16" s="3613"/>
      <c r="Z16" s="1150">
        <f t="shared" si="7"/>
        <v>111</v>
      </c>
      <c r="AA16" s="1572">
        <f>D16/F16</f>
        <v>1</v>
      </c>
      <c r="AB16" s="1572">
        <f>D16/H16</f>
        <v>1</v>
      </c>
      <c r="AC16" s="1572">
        <f>D16/J16</f>
        <v>1</v>
      </c>
    </row>
    <row r="17" spans="1:29" ht="99.75">
      <c r="A17" s="2936"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102</v>
      </c>
      <c r="K17" s="535">
        <v>2</v>
      </c>
      <c r="L17" s="2143"/>
      <c r="M17" s="2133"/>
      <c r="N17" s="2133"/>
      <c r="O17" s="2142"/>
      <c r="P17" s="3703" t="s">
        <v>541</v>
      </c>
      <c r="Q17" s="1573" t="str">
        <f t="shared" si="6"/>
        <v>居住社区成熟度</v>
      </c>
      <c r="R17" s="1574" t="s">
        <v>8</v>
      </c>
      <c r="S17" s="1575">
        <f t="shared" si="0"/>
        <v>102</v>
      </c>
      <c r="T17" s="1574" t="s">
        <v>8</v>
      </c>
      <c r="U17" s="1575">
        <f t="shared" si="1"/>
        <v>102</v>
      </c>
      <c r="V17" s="1574" t="s">
        <v>8</v>
      </c>
      <c r="W17" s="1575">
        <f t="shared" si="2"/>
        <v>102</v>
      </c>
      <c r="X17" s="1568"/>
      <c r="Y17" s="3703" t="s">
        <v>541</v>
      </c>
      <c r="Z17" s="1576" t="str">
        <f t="shared" si="7"/>
        <v>居住社区成熟度</v>
      </c>
      <c r="AA17" s="1577">
        <f t="shared" si="3"/>
        <v>0.98039215686274506</v>
      </c>
      <c r="AB17" s="1577">
        <f t="shared" si="4"/>
        <v>0.98039215686274506</v>
      </c>
      <c r="AC17" s="1577">
        <f t="shared" si="5"/>
        <v>0.98039215686274506</v>
      </c>
    </row>
    <row r="18" spans="1:29" ht="20.25">
      <c r="A18" s="532"/>
      <c r="B18" s="553"/>
      <c r="C18" s="554" t="s">
        <v>3237</v>
      </c>
      <c r="D18" s="557"/>
      <c r="E18" s="558" t="s">
        <v>3235</v>
      </c>
      <c r="F18" s="555"/>
      <c r="G18" s="556" t="s">
        <v>3235</v>
      </c>
      <c r="H18" s="559"/>
      <c r="I18" s="558" t="s">
        <v>3235</v>
      </c>
      <c r="J18" s="555"/>
      <c r="K18" s="531"/>
      <c r="L18" s="2143"/>
      <c r="M18" s="2133"/>
      <c r="N18" s="2133"/>
      <c r="O18" s="2142"/>
      <c r="P18" s="3704"/>
      <c r="Q18" s="1573"/>
      <c r="R18" s="1574"/>
      <c r="S18" s="1575"/>
      <c r="T18" s="1574"/>
      <c r="U18" s="1575"/>
      <c r="V18" s="1574"/>
      <c r="W18" s="1575"/>
      <c r="X18" s="1568"/>
      <c r="Y18" s="3704"/>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704"/>
      <c r="Q19" s="1573" t="str">
        <f>B19</f>
        <v>商业繁华度</v>
      </c>
      <c r="R19" s="1574" t="s">
        <v>8</v>
      </c>
      <c r="S19" s="1575">
        <f>F19</f>
        <v>100</v>
      </c>
      <c r="T19" s="1574" t="s">
        <v>8</v>
      </c>
      <c r="U19" s="1575">
        <f>H19</f>
        <v>100</v>
      </c>
      <c r="V19" s="1574" t="s">
        <v>8</v>
      </c>
      <c r="W19" s="1575">
        <f>J19</f>
        <v>100</v>
      </c>
      <c r="X19" s="1568"/>
      <c r="Y19" s="3704"/>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3"/>
      <c r="M20" s="2133"/>
      <c r="N20" s="2133"/>
      <c r="O20" s="2142"/>
      <c r="P20" s="3704"/>
      <c r="Q20" s="1573"/>
      <c r="R20" s="1574"/>
      <c r="S20" s="1575"/>
      <c r="T20" s="1574"/>
      <c r="U20" s="1575"/>
      <c r="V20" s="1574"/>
      <c r="W20" s="1575"/>
      <c r="X20" s="1568"/>
      <c r="Y20" s="3704"/>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704"/>
      <c r="Q21" s="1573" t="str">
        <f>B21</f>
        <v>办公集聚程度</v>
      </c>
      <c r="R21" s="1574" t="s">
        <v>8</v>
      </c>
      <c r="S21" s="1575">
        <f>F21</f>
        <v>100</v>
      </c>
      <c r="T21" s="1574" t="s">
        <v>8</v>
      </c>
      <c r="U21" s="1575">
        <f>H21</f>
        <v>100</v>
      </c>
      <c r="V21" s="1574" t="s">
        <v>8</v>
      </c>
      <c r="W21" s="1575">
        <f>J21</f>
        <v>100</v>
      </c>
      <c r="X21" s="1568"/>
      <c r="Y21" s="3704"/>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704"/>
      <c r="Q22" s="1573"/>
      <c r="R22" s="1574"/>
      <c r="S22" s="1575"/>
      <c r="T22" s="1574"/>
      <c r="U22" s="1575"/>
      <c r="V22" s="1574"/>
      <c r="W22" s="1575"/>
      <c r="X22" s="1568"/>
      <c r="Y22" s="3704"/>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3"/>
      <c r="M23" s="2133"/>
      <c r="N23" s="2133"/>
      <c r="O23" s="2142"/>
      <c r="P23" s="3704"/>
      <c r="Q23" s="1573" t="str">
        <f>B23</f>
        <v>交通便捷度</v>
      </c>
      <c r="R23" s="1574" t="s">
        <v>8</v>
      </c>
      <c r="S23" s="1575">
        <f>F23</f>
        <v>102</v>
      </c>
      <c r="T23" s="1574" t="s">
        <v>8</v>
      </c>
      <c r="U23" s="1575">
        <f>H23</f>
        <v>102</v>
      </c>
      <c r="V23" s="1574" t="s">
        <v>8</v>
      </c>
      <c r="W23" s="1575">
        <f>J23</f>
        <v>102</v>
      </c>
      <c r="X23" s="1568"/>
      <c r="Y23" s="3704"/>
      <c r="Z23" s="1576" t="str">
        <f>Q23</f>
        <v>交通便捷度</v>
      </c>
      <c r="AA23" s="1577">
        <f t="shared" si="3"/>
        <v>0.98039215686274506</v>
      </c>
      <c r="AB23" s="1577">
        <f t="shared" si="4"/>
        <v>0.98039215686274506</v>
      </c>
      <c r="AC23" s="1577">
        <f t="shared" si="5"/>
        <v>0.98039215686274506</v>
      </c>
    </row>
    <row r="24" spans="1:29" ht="20.25">
      <c r="A24" s="532"/>
      <c r="B24" s="578"/>
      <c r="C24" s="554" t="s">
        <v>3237</v>
      </c>
      <c r="D24" s="557"/>
      <c r="E24" s="558" t="s">
        <v>3235</v>
      </c>
      <c r="F24" s="555"/>
      <c r="G24" s="556" t="s">
        <v>3235</v>
      </c>
      <c r="H24" s="555"/>
      <c r="I24" s="558" t="s">
        <v>3235</v>
      </c>
      <c r="J24" s="555"/>
      <c r="K24" s="531"/>
      <c r="L24" s="2143"/>
      <c r="M24" s="2133"/>
      <c r="N24" s="2133"/>
      <c r="O24" s="2142"/>
      <c r="P24" s="3704"/>
      <c r="Q24" s="1573"/>
      <c r="R24" s="1574"/>
      <c r="S24" s="1575"/>
      <c r="T24" s="1574"/>
      <c r="U24" s="1575"/>
      <c r="V24" s="1574"/>
      <c r="W24" s="1575"/>
      <c r="X24" s="1568"/>
      <c r="Y24" s="3704"/>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704"/>
      <c r="Q25" s="1573" t="str">
        <f t="shared" ref="Q25:Q39" si="8">B25</f>
        <v>区域土地利用方向</v>
      </c>
      <c r="R25" s="1574" t="s">
        <v>8</v>
      </c>
      <c r="S25" s="1575">
        <f>F25</f>
        <v>100</v>
      </c>
      <c r="T25" s="1574" t="s">
        <v>8</v>
      </c>
      <c r="U25" s="1575">
        <f>H25</f>
        <v>100</v>
      </c>
      <c r="V25" s="1574" t="s">
        <v>8</v>
      </c>
      <c r="W25" s="1575">
        <f>J25</f>
        <v>100</v>
      </c>
      <c r="X25" s="1568"/>
      <c r="Y25" s="3704"/>
      <c r="Z25" s="1576" t="str">
        <f>Q25</f>
        <v>区域土地利用方向</v>
      </c>
      <c r="AA25" s="1577">
        <f t="shared" si="3"/>
        <v>1</v>
      </c>
      <c r="AB25" s="1577">
        <f t="shared" si="4"/>
        <v>1</v>
      </c>
      <c r="AC25" s="1577">
        <f t="shared" si="5"/>
        <v>1</v>
      </c>
    </row>
    <row r="26" spans="1:29" ht="20.25">
      <c r="A26" s="515"/>
      <c r="B26" s="1007"/>
      <c r="C26" s="554" t="s">
        <v>3235</v>
      </c>
      <c r="D26" s="557"/>
      <c r="E26" s="558" t="s">
        <v>3235</v>
      </c>
      <c r="F26" s="555"/>
      <c r="G26" s="556" t="s">
        <v>3235</v>
      </c>
      <c r="H26" s="555"/>
      <c r="I26" s="558" t="s">
        <v>3235</v>
      </c>
      <c r="J26" s="555"/>
      <c r="K26" s="531"/>
      <c r="L26" s="2143"/>
      <c r="M26" s="2133"/>
      <c r="N26" s="2133"/>
      <c r="O26" s="2142"/>
      <c r="P26" s="3704"/>
      <c r="Q26" s="1573"/>
      <c r="R26" s="1574"/>
      <c r="S26" s="1575"/>
      <c r="T26" s="1574"/>
      <c r="U26" s="1575"/>
      <c r="V26" s="1574"/>
      <c r="W26" s="1575"/>
      <c r="X26" s="1568"/>
      <c r="Y26" s="3704"/>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704"/>
      <c r="Q27" s="1573" t="str">
        <f t="shared" si="8"/>
        <v>自然及人文环境状况</v>
      </c>
      <c r="R27" s="1574" t="s">
        <v>8</v>
      </c>
      <c r="S27" s="1575">
        <f>F27</f>
        <v>100</v>
      </c>
      <c r="T27" s="1574" t="s">
        <v>8</v>
      </c>
      <c r="U27" s="1575">
        <f>H27</f>
        <v>100</v>
      </c>
      <c r="V27" s="1574" t="s">
        <v>8</v>
      </c>
      <c r="W27" s="1575">
        <f>J27</f>
        <v>100</v>
      </c>
      <c r="X27" s="1568"/>
      <c r="Y27" s="3704"/>
      <c r="Z27" s="1576" t="str">
        <f>Q27</f>
        <v>自然及人文环境状况</v>
      </c>
      <c r="AA27" s="1577">
        <f t="shared" si="3"/>
        <v>1</v>
      </c>
      <c r="AB27" s="1577">
        <f t="shared" si="4"/>
        <v>1</v>
      </c>
      <c r="AC27" s="1577">
        <f t="shared" si="5"/>
        <v>1</v>
      </c>
    </row>
    <row r="28" spans="1:29" ht="20.25">
      <c r="A28" s="515"/>
      <c r="B28" s="566"/>
      <c r="C28" s="554" t="s">
        <v>3235</v>
      </c>
      <c r="D28" s="557"/>
      <c r="E28" s="576" t="s">
        <v>3235</v>
      </c>
      <c r="F28" s="555"/>
      <c r="G28" s="554" t="s">
        <v>3235</v>
      </c>
      <c r="H28" s="555"/>
      <c r="I28" s="576" t="s">
        <v>3235</v>
      </c>
      <c r="J28" s="555"/>
      <c r="K28" s="531"/>
      <c r="L28" s="2143"/>
      <c r="M28" s="2133"/>
      <c r="N28" s="2133"/>
      <c r="O28" s="2142"/>
      <c r="P28" s="3704"/>
      <c r="Q28" s="1573"/>
      <c r="R28" s="1574"/>
      <c r="S28" s="1575"/>
      <c r="T28" s="1574"/>
      <c r="U28" s="1575"/>
      <c r="V28" s="1574"/>
      <c r="W28" s="1575"/>
      <c r="X28" s="1568"/>
      <c r="Y28" s="3704"/>
      <c r="Z28" s="1576"/>
      <c r="AA28" s="1577">
        <v>1</v>
      </c>
      <c r="AB28" s="1577">
        <v>1</v>
      </c>
      <c r="AC28" s="1577">
        <v>1</v>
      </c>
    </row>
    <row r="29" spans="1:29" s="1220" customFormat="1" ht="42.75">
      <c r="A29" s="577"/>
      <c r="B29" s="2616" t="s">
        <v>2550</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6"/>
      <c r="M29" s="2133"/>
      <c r="N29" s="2133"/>
      <c r="O29" s="2138"/>
      <c r="P29" s="3704"/>
      <c r="Q29" s="1151" t="str">
        <f t="shared" si="8"/>
        <v>公共配套设施</v>
      </c>
      <c r="R29" s="1569" t="s">
        <v>8</v>
      </c>
      <c r="S29" s="1570">
        <f>F29</f>
        <v>102</v>
      </c>
      <c r="T29" s="1569" t="s">
        <v>8</v>
      </c>
      <c r="U29" s="1570">
        <f>H29</f>
        <v>102</v>
      </c>
      <c r="V29" s="1569" t="s">
        <v>8</v>
      </c>
      <c r="W29" s="1570">
        <f>J29</f>
        <v>102</v>
      </c>
      <c r="X29" s="1571"/>
      <c r="Y29" s="3704"/>
      <c r="Z29" s="1150" t="str">
        <f>Q29</f>
        <v>公共配套设施</v>
      </c>
      <c r="AA29" s="1577">
        <f>D29/F29</f>
        <v>0.98039215686274506</v>
      </c>
      <c r="AB29" s="1577">
        <f>D29/H29</f>
        <v>0.98039215686274506</v>
      </c>
      <c r="AC29" s="1577">
        <f>D29/J29</f>
        <v>0.98039215686274506</v>
      </c>
    </row>
    <row r="30" spans="1:29" s="1220" customFormat="1" ht="20.25">
      <c r="A30" s="577"/>
      <c r="B30" s="566"/>
      <c r="C30" s="579" t="s">
        <v>3237</v>
      </c>
      <c r="D30" s="557"/>
      <c r="E30" s="576" t="s">
        <v>3235</v>
      </c>
      <c r="F30" s="555"/>
      <c r="G30" s="554" t="s">
        <v>3235</v>
      </c>
      <c r="H30" s="555"/>
      <c r="I30" s="576" t="s">
        <v>3235</v>
      </c>
      <c r="J30" s="555"/>
      <c r="K30" s="531"/>
      <c r="L30" s="2136"/>
      <c r="M30" s="2133"/>
      <c r="N30" s="2133"/>
      <c r="O30" s="2138"/>
      <c r="P30" s="3704"/>
      <c r="Q30" s="1151"/>
      <c r="R30" s="1569"/>
      <c r="S30" s="1570"/>
      <c r="T30" s="1569"/>
      <c r="U30" s="1570"/>
      <c r="V30" s="1569"/>
      <c r="W30" s="1570"/>
      <c r="X30" s="1571"/>
      <c r="Y30" s="3704"/>
      <c r="Z30" s="1150"/>
      <c r="AA30" s="1577">
        <v>1</v>
      </c>
      <c r="AB30" s="1577">
        <v>1</v>
      </c>
      <c r="AC30" s="1577">
        <v>1</v>
      </c>
    </row>
    <row r="31" spans="1:29" s="1220" customFormat="1" ht="28.5">
      <c r="A31" s="577"/>
      <c r="B31" s="2616"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704"/>
      <c r="Q31" s="2603" t="str">
        <f t="shared" ref="Q31" si="9">B31</f>
        <v>基础设施水平</v>
      </c>
      <c r="R31" s="1569" t="s">
        <v>8</v>
      </c>
      <c r="S31" s="1570">
        <f>F31</f>
        <v>100</v>
      </c>
      <c r="T31" s="1569" t="s">
        <v>8</v>
      </c>
      <c r="U31" s="1570">
        <f>H31</f>
        <v>100</v>
      </c>
      <c r="V31" s="1569" t="s">
        <v>8</v>
      </c>
      <c r="W31" s="1570">
        <f>J31</f>
        <v>100</v>
      </c>
      <c r="X31" s="1571"/>
      <c r="Y31" s="3704"/>
      <c r="Z31" s="2600" t="str">
        <f>Q31</f>
        <v>基础设施水平</v>
      </c>
      <c r="AA31" s="1577">
        <f>D31/F31</f>
        <v>1</v>
      </c>
      <c r="AB31" s="1577">
        <f>D31/H31</f>
        <v>1</v>
      </c>
      <c r="AC31" s="1577">
        <f>D31/J31</f>
        <v>1</v>
      </c>
    </row>
    <row r="32" spans="1:29" s="1220" customFormat="1" ht="20.25">
      <c r="A32" s="577"/>
      <c r="B32" s="566"/>
      <c r="C32" s="579" t="s">
        <v>3242</v>
      </c>
      <c r="D32" s="557"/>
      <c r="E32" s="2617" t="s">
        <v>3242</v>
      </c>
      <c r="F32" s="555"/>
      <c r="G32" s="579" t="s">
        <v>3242</v>
      </c>
      <c r="H32" s="555"/>
      <c r="I32" s="579" t="s">
        <v>3242</v>
      </c>
      <c r="J32" s="555"/>
      <c r="K32" s="531"/>
      <c r="L32" s="2136"/>
      <c r="M32" s="2133"/>
      <c r="N32" s="2133"/>
      <c r="O32" s="2138"/>
      <c r="P32" s="3704"/>
      <c r="Q32" s="2603"/>
      <c r="R32" s="1569"/>
      <c r="S32" s="1570"/>
      <c r="T32" s="1569"/>
      <c r="U32" s="1570"/>
      <c r="V32" s="1569"/>
      <c r="W32" s="1570"/>
      <c r="X32" s="1571"/>
      <c r="Y32" s="3704"/>
      <c r="Z32" s="2600"/>
      <c r="AA32" s="1577">
        <v>1</v>
      </c>
      <c r="AB32" s="1577">
        <v>1</v>
      </c>
      <c r="AC32" s="1577">
        <v>1</v>
      </c>
    </row>
    <row r="33" spans="1:29" ht="20.25">
      <c r="A33" s="532"/>
      <c r="B33" s="566" t="s">
        <v>548</v>
      </c>
      <c r="C33" s="580" t="s">
        <v>3261</v>
      </c>
      <c r="D33" s="575">
        <v>100</v>
      </c>
      <c r="E33" s="583" t="s">
        <v>3262</v>
      </c>
      <c r="F33" s="540">
        <f>SUMIF(106:106,E33,107:107)-SUMIF(106:106,C33,107:107)+100</f>
        <v>99</v>
      </c>
      <c r="G33" s="580" t="s">
        <v>3262</v>
      </c>
      <c r="H33" s="540">
        <f>SUMIF(106:106,G33,107:107)-SUMIF(106:106,C33,107:107)+100</f>
        <v>99</v>
      </c>
      <c r="I33" s="580" t="s">
        <v>3262</v>
      </c>
      <c r="J33" s="540">
        <f>SUMIF(106:106,I33,107:107)-SUMIF(106:106,C33,107:107)+100</f>
        <v>99</v>
      </c>
      <c r="K33" s="535">
        <v>1</v>
      </c>
      <c r="L33" s="2143"/>
      <c r="M33" s="2133"/>
      <c r="N33" s="2133"/>
      <c r="O33" s="2142"/>
      <c r="P33" s="3704"/>
      <c r="Q33" s="1573" t="str">
        <f t="shared" si="8"/>
        <v>临街状况</v>
      </c>
      <c r="R33" s="1574" t="s">
        <v>8</v>
      </c>
      <c r="S33" s="1575">
        <f t="shared" ref="S33:S47" si="10">F33</f>
        <v>99</v>
      </c>
      <c r="T33" s="1574" t="s">
        <v>8</v>
      </c>
      <c r="U33" s="1575">
        <f t="shared" ref="U33:U47" si="11">H33</f>
        <v>99</v>
      </c>
      <c r="V33" s="1574" t="s">
        <v>8</v>
      </c>
      <c r="W33" s="1575">
        <f t="shared" ref="W33:W47" si="12">J33</f>
        <v>99</v>
      </c>
      <c r="X33" s="1568"/>
      <c r="Y33" s="3704"/>
      <c r="Z33" s="1576" t="str">
        <f t="shared" ref="Z33:Z47" si="13">Q33</f>
        <v>临街状况</v>
      </c>
      <c r="AA33" s="1577">
        <f t="shared" si="3"/>
        <v>1.0101010101010102</v>
      </c>
      <c r="AB33" s="1577">
        <f t="shared" si="4"/>
        <v>1.0101010101010102</v>
      </c>
      <c r="AC33" s="1577">
        <f t="shared" si="5"/>
        <v>1.0101010101010102</v>
      </c>
    </row>
    <row r="34" spans="1:29" ht="27">
      <c r="A34" s="532"/>
      <c r="B34" s="578" t="s">
        <v>549</v>
      </c>
      <c r="C34" s="562"/>
      <c r="D34" s="563">
        <v>100</v>
      </c>
      <c r="E34" s="564"/>
      <c r="F34" s="559">
        <f>SUMIF(108:108,E35,109:109)-SUMIF(108:108,C35,109:109)+100</f>
        <v>98</v>
      </c>
      <c r="G34" s="562"/>
      <c r="H34" s="559">
        <f>SUMIF(108:108,G35,109:109)-SUMIF(108:108,C35,109:109)+100</f>
        <v>98</v>
      </c>
      <c r="I34" s="564"/>
      <c r="J34" s="559">
        <f>SUMIF(108:108,I35,109:109)-SUMIF(108:108,C35,109:109)+100</f>
        <v>98</v>
      </c>
      <c r="K34" s="535">
        <v>2</v>
      </c>
      <c r="L34" s="2143"/>
      <c r="M34" s="2133"/>
      <c r="N34" s="2133"/>
      <c r="O34" s="2142"/>
      <c r="P34" s="3704"/>
      <c r="Q34" s="1573" t="str">
        <f t="shared" si="8"/>
        <v>毗邻道路的类型与等级</v>
      </c>
      <c r="R34" s="1574" t="s">
        <v>8</v>
      </c>
      <c r="S34" s="1575">
        <f t="shared" si="10"/>
        <v>98</v>
      </c>
      <c r="T34" s="1574" t="s">
        <v>8</v>
      </c>
      <c r="U34" s="1575">
        <f t="shared" si="11"/>
        <v>98</v>
      </c>
      <c r="V34" s="1574" t="s">
        <v>8</v>
      </c>
      <c r="W34" s="1575">
        <f t="shared" si="12"/>
        <v>98</v>
      </c>
      <c r="X34" s="1568"/>
      <c r="Y34" s="3704"/>
      <c r="Z34" s="1576" t="str">
        <f t="shared" si="13"/>
        <v>毗邻道路的类型与等级</v>
      </c>
      <c r="AA34" s="1577">
        <f t="shared" si="3"/>
        <v>1.0204081632653061</v>
      </c>
      <c r="AB34" s="1577">
        <f t="shared" si="4"/>
        <v>1.0204081632653061</v>
      </c>
      <c r="AC34" s="1577">
        <f t="shared" si="5"/>
        <v>1.0204081632653061</v>
      </c>
    </row>
    <row r="35" spans="1:29" ht="21" thickBot="1">
      <c r="A35" s="532"/>
      <c r="B35" s="566"/>
      <c r="C35" s="554" t="s">
        <v>3249</v>
      </c>
      <c r="D35" s="557"/>
      <c r="E35" s="576" t="s">
        <v>3311</v>
      </c>
      <c r="F35" s="555"/>
      <c r="G35" s="554" t="s">
        <v>3311</v>
      </c>
      <c r="H35" s="555"/>
      <c r="I35" s="576" t="s">
        <v>3311</v>
      </c>
      <c r="J35" s="555"/>
      <c r="K35" s="581"/>
      <c r="L35" s="2143"/>
      <c r="M35" s="2133"/>
      <c r="N35" s="2133"/>
      <c r="O35" s="2142"/>
      <c r="P35" s="3704"/>
      <c r="Q35" s="1573"/>
      <c r="R35" s="1574"/>
      <c r="S35" s="1575"/>
      <c r="T35" s="1574"/>
      <c r="U35" s="1575"/>
      <c r="V35" s="1574"/>
      <c r="W35" s="1575"/>
      <c r="X35" s="1568"/>
      <c r="Y35" s="3704"/>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704"/>
      <c r="Q36" s="1573" t="str">
        <f t="shared" si="8"/>
        <v>土地级别</v>
      </c>
      <c r="R36" s="1574" t="s">
        <v>8</v>
      </c>
      <c r="S36" s="1575">
        <f t="shared" si="10"/>
        <v>100</v>
      </c>
      <c r="T36" s="1574" t="s">
        <v>8</v>
      </c>
      <c r="U36" s="1575">
        <f t="shared" si="11"/>
        <v>100</v>
      </c>
      <c r="V36" s="1574" t="s">
        <v>8</v>
      </c>
      <c r="W36" s="1575">
        <f t="shared" si="12"/>
        <v>100</v>
      </c>
      <c r="X36" s="1568"/>
      <c r="Y36" s="3704"/>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704"/>
      <c r="Q37" s="1573">
        <f t="shared" si="8"/>
        <v>111</v>
      </c>
      <c r="R37" s="1574" t="s">
        <v>8</v>
      </c>
      <c r="S37" s="1575">
        <f t="shared" si="10"/>
        <v>100</v>
      </c>
      <c r="T37" s="1574" t="s">
        <v>8</v>
      </c>
      <c r="U37" s="1575">
        <f t="shared" si="11"/>
        <v>100</v>
      </c>
      <c r="V37" s="1574" t="s">
        <v>8</v>
      </c>
      <c r="W37" s="1575">
        <f t="shared" si="12"/>
        <v>100</v>
      </c>
      <c r="X37" s="1568"/>
      <c r="Y37" s="3704"/>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705" t="s">
        <v>551</v>
      </c>
      <c r="Q38" s="1573">
        <f t="shared" si="8"/>
        <v>111</v>
      </c>
      <c r="R38" s="1574" t="s">
        <v>8</v>
      </c>
      <c r="S38" s="1575">
        <f t="shared" si="10"/>
        <v>100</v>
      </c>
      <c r="T38" s="1574" t="s">
        <v>8</v>
      </c>
      <c r="U38" s="1575">
        <f t="shared" si="11"/>
        <v>100</v>
      </c>
      <c r="V38" s="1574" t="s">
        <v>8</v>
      </c>
      <c r="W38" s="1575">
        <f t="shared" si="12"/>
        <v>100</v>
      </c>
      <c r="X38" s="1568"/>
      <c r="Y38" s="3706"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706"/>
      <c r="Q39" s="1573">
        <f t="shared" si="8"/>
        <v>111</v>
      </c>
      <c r="R39" s="1578" t="s">
        <v>8</v>
      </c>
      <c r="S39" s="1579">
        <f t="shared" si="10"/>
        <v>100</v>
      </c>
      <c r="T39" s="1578" t="s">
        <v>8</v>
      </c>
      <c r="U39" s="1579">
        <f t="shared" si="11"/>
        <v>100</v>
      </c>
      <c r="V39" s="1578" t="s">
        <v>8</v>
      </c>
      <c r="W39" s="1579">
        <f t="shared" si="12"/>
        <v>100</v>
      </c>
      <c r="X39" s="1580"/>
      <c r="Y39" s="3706"/>
      <c r="Z39" s="1581">
        <f t="shared" si="13"/>
        <v>111</v>
      </c>
      <c r="AA39" s="1577">
        <f t="shared" si="3"/>
        <v>1</v>
      </c>
      <c r="AB39" s="1577">
        <f t="shared" si="4"/>
        <v>1</v>
      </c>
      <c r="AC39" s="1577">
        <f t="shared" si="5"/>
        <v>1</v>
      </c>
    </row>
    <row r="40" spans="1:29" ht="20.25">
      <c r="A40" s="2933" t="s">
        <v>2757</v>
      </c>
      <c r="B40" s="595" t="s">
        <v>553</v>
      </c>
      <c r="C40" s="596">
        <f>'数据-基础表'!A3</f>
        <v>56745.7</v>
      </c>
      <c r="D40" s="597">
        <v>100</v>
      </c>
      <c r="E40" s="596">
        <v>5156.7</v>
      </c>
      <c r="F40" s="597">
        <f>LOOKUP(E40,119:119,120:120)-LOOKUP(C40,119:119,120:120)+100</f>
        <v>98</v>
      </c>
      <c r="G40" s="596">
        <v>10063</v>
      </c>
      <c r="H40" s="597">
        <f>LOOKUP(G40,119:119,120:120)-LOOKUP(C40,119:119,120:120)+100</f>
        <v>98</v>
      </c>
      <c r="I40" s="598">
        <v>7161.4</v>
      </c>
      <c r="J40" s="597">
        <f>LOOKUP(I40,119:119,120:120)-LOOKUP(C40,119:119,120:120)+100</f>
        <v>98</v>
      </c>
      <c r="K40" s="581"/>
      <c r="L40" s="2143"/>
      <c r="M40" s="2133"/>
      <c r="N40" s="2133"/>
      <c r="O40" s="2142"/>
      <c r="P40" s="3706"/>
      <c r="Q40" s="1573" t="str">
        <f>B40</f>
        <v>宗地面积</v>
      </c>
      <c r="R40" s="1574" t="s">
        <v>8</v>
      </c>
      <c r="S40" s="1575">
        <f t="shared" si="10"/>
        <v>98</v>
      </c>
      <c r="T40" s="1574" t="s">
        <v>8</v>
      </c>
      <c r="U40" s="1575">
        <f t="shared" si="11"/>
        <v>98</v>
      </c>
      <c r="V40" s="1574" t="s">
        <v>8</v>
      </c>
      <c r="W40" s="1575">
        <f t="shared" si="12"/>
        <v>98</v>
      </c>
      <c r="X40" s="1568"/>
      <c r="Y40" s="3706"/>
      <c r="Z40" s="1576" t="str">
        <f t="shared" si="13"/>
        <v>宗地面积</v>
      </c>
      <c r="AA40" s="1577">
        <f t="shared" si="3"/>
        <v>1.0204081632653061</v>
      </c>
      <c r="AB40" s="1577">
        <f t="shared" si="4"/>
        <v>1.0204081632653061</v>
      </c>
      <c r="AC40" s="1577">
        <f t="shared" si="5"/>
        <v>1.0204081632653061</v>
      </c>
    </row>
    <row r="41" spans="1:29" ht="20.25">
      <c r="A41" s="594"/>
      <c r="B41" s="527" t="s">
        <v>554</v>
      </c>
      <c r="C41" s="599" t="s">
        <v>3228</v>
      </c>
      <c r="D41" s="540">
        <v>100</v>
      </c>
      <c r="E41" s="599" t="s">
        <v>3230</v>
      </c>
      <c r="F41" s="540">
        <f>SUMIF(121:121,E41,122:122)-SUMIF(121:121,C41,122:122)+100</f>
        <v>98</v>
      </c>
      <c r="G41" s="599" t="s">
        <v>3230</v>
      </c>
      <c r="H41" s="540">
        <f>SUMIF(121:121,G41,122:122)-SUMIF(121:121,C41,122:122)+100</f>
        <v>98</v>
      </c>
      <c r="I41" s="599" t="s">
        <v>3230</v>
      </c>
      <c r="J41" s="540">
        <f>SUMIF(121:121,I41,122:122)-SUMIF(121:121,C41,122:122)+100</f>
        <v>98</v>
      </c>
      <c r="K41" s="584">
        <v>2</v>
      </c>
      <c r="L41" s="2143"/>
      <c r="M41" s="2133"/>
      <c r="N41" s="2133"/>
      <c r="O41" s="2142"/>
      <c r="P41" s="3706"/>
      <c r="Q41" s="1573" t="str">
        <f t="shared" ref="Q41:Q47" si="14">B41</f>
        <v>宗地形状</v>
      </c>
      <c r="R41" s="1574" t="s">
        <v>8</v>
      </c>
      <c r="S41" s="1575">
        <f t="shared" si="10"/>
        <v>98</v>
      </c>
      <c r="T41" s="1574" t="s">
        <v>8</v>
      </c>
      <c r="U41" s="1575">
        <f t="shared" si="11"/>
        <v>98</v>
      </c>
      <c r="V41" s="1574" t="s">
        <v>8</v>
      </c>
      <c r="W41" s="1575">
        <f t="shared" si="12"/>
        <v>98</v>
      </c>
      <c r="X41" s="1568"/>
      <c r="Y41" s="3706"/>
      <c r="Z41" s="1576" t="str">
        <f t="shared" si="13"/>
        <v>宗地形状</v>
      </c>
      <c r="AA41" s="1577">
        <f t="shared" si="3"/>
        <v>1.0204081632653061</v>
      </c>
      <c r="AB41" s="1577">
        <f t="shared" si="4"/>
        <v>1.0204081632653061</v>
      </c>
      <c r="AC41" s="1577">
        <f t="shared" si="5"/>
        <v>1.0204081632653061</v>
      </c>
    </row>
    <row r="42" spans="1:29" ht="20.25">
      <c r="A42" s="594"/>
      <c r="B42" s="527" t="s">
        <v>555</v>
      </c>
      <c r="C42" s="599" t="s">
        <v>3235</v>
      </c>
      <c r="D42" s="540">
        <v>100</v>
      </c>
      <c r="E42" s="599" t="s">
        <v>3235</v>
      </c>
      <c r="F42" s="540">
        <f>SUMIF(123:123,E42,124:124)-SUMIF(123:123,C42,124:124)+100</f>
        <v>100</v>
      </c>
      <c r="G42" s="599" t="s">
        <v>3235</v>
      </c>
      <c r="H42" s="540">
        <f>SUMIF(123:123,G42,124:124)-SUMIF(123:123,C42,124:124)+100</f>
        <v>100</v>
      </c>
      <c r="I42" s="599" t="s">
        <v>3235</v>
      </c>
      <c r="J42" s="540">
        <f>SUMIF(123:123,I42,124:124)-SUMIF(123:123,C42,124:124)+100</f>
        <v>100</v>
      </c>
      <c r="K42" s="584">
        <v>2</v>
      </c>
      <c r="L42" s="2143"/>
      <c r="M42" s="2133"/>
      <c r="N42" s="2133"/>
      <c r="O42" s="2142"/>
      <c r="P42" s="3706"/>
      <c r="Q42" s="1573" t="str">
        <f t="shared" si="14"/>
        <v>临街宽度及深度</v>
      </c>
      <c r="R42" s="1574" t="s">
        <v>8</v>
      </c>
      <c r="S42" s="1575">
        <f t="shared" si="10"/>
        <v>100</v>
      </c>
      <c r="T42" s="1574" t="s">
        <v>8</v>
      </c>
      <c r="U42" s="1575">
        <f t="shared" si="11"/>
        <v>100</v>
      </c>
      <c r="V42" s="1574" t="s">
        <v>8</v>
      </c>
      <c r="W42" s="1575">
        <f t="shared" si="12"/>
        <v>100</v>
      </c>
      <c r="X42" s="1568"/>
      <c r="Y42" s="3706"/>
      <c r="Z42" s="1576" t="str">
        <f t="shared" si="13"/>
        <v>临街宽度及深度</v>
      </c>
      <c r="AA42" s="1577">
        <f t="shared" si="3"/>
        <v>1</v>
      </c>
      <c r="AB42" s="1577">
        <f t="shared" si="4"/>
        <v>1</v>
      </c>
      <c r="AC42" s="1577">
        <f t="shared" si="5"/>
        <v>1</v>
      </c>
    </row>
    <row r="43" spans="1:29" s="1220" customFormat="1" ht="20.25">
      <c r="A43" s="600"/>
      <c r="B43" s="1896" t="s">
        <v>2424</v>
      </c>
      <c r="C43" s="601" t="s">
        <v>3242</v>
      </c>
      <c r="D43" s="255">
        <v>100</v>
      </c>
      <c r="E43" s="601" t="s">
        <v>3242</v>
      </c>
      <c r="F43" s="540">
        <f>SUMIF(125:125,E43,126:126)-SUMIF(125:125,C43,126:126)+100</f>
        <v>100</v>
      </c>
      <c r="G43" s="601" t="s">
        <v>3242</v>
      </c>
      <c r="H43" s="540">
        <f>SUMIF(125:125,G43,126:126)-SUMIF(125:125,C43,126:126)+100</f>
        <v>100</v>
      </c>
      <c r="I43" s="601" t="s">
        <v>3242</v>
      </c>
      <c r="J43" s="540">
        <f>SUMIF(125:125,I43,126:126)-SUMIF(125:125,C43,126:126)+100</f>
        <v>100</v>
      </c>
      <c r="K43" s="584">
        <v>1</v>
      </c>
      <c r="L43" s="2136"/>
      <c r="M43" s="2133"/>
      <c r="N43" s="2133"/>
      <c r="O43" s="2138"/>
      <c r="P43" s="3706"/>
      <c r="Q43" s="1573" t="str">
        <f t="shared" si="14"/>
        <v>宗地开发程度</v>
      </c>
      <c r="R43" s="1569" t="s">
        <v>8</v>
      </c>
      <c r="S43" s="1570">
        <f t="shared" si="10"/>
        <v>100</v>
      </c>
      <c r="T43" s="1569" t="s">
        <v>8</v>
      </c>
      <c r="U43" s="1570">
        <f t="shared" si="11"/>
        <v>100</v>
      </c>
      <c r="V43" s="1569" t="s">
        <v>8</v>
      </c>
      <c r="W43" s="1570">
        <f t="shared" si="12"/>
        <v>100</v>
      </c>
      <c r="X43" s="1571"/>
      <c r="Y43" s="3706"/>
      <c r="Z43" s="1150" t="str">
        <f t="shared" si="13"/>
        <v>宗地开发程度</v>
      </c>
      <c r="AA43" s="1572">
        <f t="shared" si="3"/>
        <v>1</v>
      </c>
      <c r="AB43" s="1572">
        <f t="shared" si="4"/>
        <v>1</v>
      </c>
      <c r="AC43" s="1572">
        <f t="shared" si="5"/>
        <v>1</v>
      </c>
    </row>
    <row r="44" spans="1:29" ht="21" thickBot="1">
      <c r="A44" s="594"/>
      <c r="B44" s="527" t="s">
        <v>556</v>
      </c>
      <c r="C44" s="599" t="s">
        <v>3235</v>
      </c>
      <c r="D44" s="540">
        <v>100</v>
      </c>
      <c r="E44" s="599" t="s">
        <v>3235</v>
      </c>
      <c r="F44" s="540">
        <f>SUMIF(127:127,E44,128:128)-SUMIF(127:127,C44,128:128)+100</f>
        <v>100</v>
      </c>
      <c r="G44" s="599" t="s">
        <v>3235</v>
      </c>
      <c r="H44" s="540">
        <f>SUMIF(127:127,G44,128:128)-SUMIF(127:127,C44,128:128)+100</f>
        <v>100</v>
      </c>
      <c r="I44" s="599" t="s">
        <v>3235</v>
      </c>
      <c r="J44" s="540">
        <f>SUMIF(127:127,I44,128:128)-SUMIF(127:127,C44,128:128)+100</f>
        <v>100</v>
      </c>
      <c r="K44" s="584">
        <v>2</v>
      </c>
      <c r="L44" s="2143"/>
      <c r="M44" s="2133"/>
      <c r="N44" s="2133"/>
      <c r="O44" s="2142"/>
      <c r="P44" s="3706" t="s">
        <v>551</v>
      </c>
      <c r="Q44" s="1573" t="str">
        <f t="shared" si="14"/>
        <v>工程地质条件</v>
      </c>
      <c r="R44" s="1574" t="s">
        <v>8</v>
      </c>
      <c r="S44" s="1575">
        <f t="shared" si="10"/>
        <v>100</v>
      </c>
      <c r="T44" s="1574" t="s">
        <v>8</v>
      </c>
      <c r="U44" s="1575">
        <f t="shared" si="11"/>
        <v>100</v>
      </c>
      <c r="V44" s="1574" t="s">
        <v>8</v>
      </c>
      <c r="W44" s="1575">
        <f t="shared" si="12"/>
        <v>100</v>
      </c>
      <c r="X44" s="1568"/>
      <c r="Y44" s="3706" t="s">
        <v>551</v>
      </c>
      <c r="Z44" s="1576" t="str">
        <f t="shared" si="13"/>
        <v>工程地质条件</v>
      </c>
      <c r="AA44" s="1577">
        <f t="shared" si="3"/>
        <v>1</v>
      </c>
      <c r="AB44" s="1577">
        <f t="shared" si="4"/>
        <v>1</v>
      </c>
      <c r="AC44" s="1577">
        <f t="shared" si="5"/>
        <v>1</v>
      </c>
    </row>
    <row r="45" spans="1:29" ht="21" hidden="1" customHeight="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706"/>
      <c r="Q45" s="1573">
        <f t="shared" si="14"/>
        <v>111</v>
      </c>
      <c r="R45" s="1574" t="s">
        <v>8</v>
      </c>
      <c r="S45" s="1575">
        <f t="shared" si="10"/>
        <v>100</v>
      </c>
      <c r="T45" s="1574" t="s">
        <v>8</v>
      </c>
      <c r="U45" s="1575">
        <f t="shared" si="11"/>
        <v>100</v>
      </c>
      <c r="V45" s="1574" t="s">
        <v>8</v>
      </c>
      <c r="W45" s="1575">
        <f t="shared" si="12"/>
        <v>100</v>
      </c>
      <c r="X45" s="1568"/>
      <c r="Y45" s="3706"/>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706"/>
      <c r="Q46" s="1573">
        <f t="shared" si="14"/>
        <v>111</v>
      </c>
      <c r="R46" s="1574" t="s">
        <v>8</v>
      </c>
      <c r="S46" s="1575">
        <f t="shared" si="10"/>
        <v>100</v>
      </c>
      <c r="T46" s="1574" t="s">
        <v>8</v>
      </c>
      <c r="U46" s="1575">
        <f t="shared" si="11"/>
        <v>100</v>
      </c>
      <c r="V46" s="1574" t="s">
        <v>8</v>
      </c>
      <c r="W46" s="1575">
        <f t="shared" si="12"/>
        <v>100</v>
      </c>
      <c r="X46" s="1568"/>
      <c r="Y46" s="3706"/>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706"/>
      <c r="Q47" s="1573">
        <f t="shared" si="14"/>
        <v>111</v>
      </c>
      <c r="R47" s="1578" t="s">
        <v>8</v>
      </c>
      <c r="S47" s="1579">
        <f t="shared" si="10"/>
        <v>100</v>
      </c>
      <c r="T47" s="1578" t="s">
        <v>8</v>
      </c>
      <c r="U47" s="1579">
        <f t="shared" si="11"/>
        <v>100</v>
      </c>
      <c r="V47" s="1578" t="s">
        <v>8</v>
      </c>
      <c r="W47" s="1579">
        <f t="shared" si="12"/>
        <v>100</v>
      </c>
      <c r="X47" s="1580"/>
      <c r="Y47" s="3706"/>
      <c r="Z47" s="1581">
        <f t="shared" si="13"/>
        <v>111</v>
      </c>
      <c r="AA47" s="1577">
        <f t="shared" si="3"/>
        <v>1</v>
      </c>
      <c r="AB47" s="1577">
        <f t="shared" si="4"/>
        <v>1</v>
      </c>
      <c r="AC47" s="1577">
        <f t="shared" si="5"/>
        <v>1</v>
      </c>
    </row>
    <row r="48" spans="1:29" ht="20.25">
      <c r="A48" s="607" t="s">
        <v>557</v>
      </c>
      <c r="B48" s="608" t="s">
        <v>3258</v>
      </c>
      <c r="C48" s="609" t="s">
        <v>1</v>
      </c>
      <c r="D48" s="610"/>
      <c r="E48" s="611">
        <v>20369</v>
      </c>
      <c r="F48" s="612"/>
      <c r="G48" s="613">
        <v>21271</v>
      </c>
      <c r="H48" s="614"/>
      <c r="I48" s="611">
        <v>21254</v>
      </c>
      <c r="J48" s="614"/>
      <c r="K48" s="1340"/>
      <c r="L48" s="2145"/>
      <c r="M48" s="2133"/>
      <c r="N48" s="2133"/>
      <c r="O48" s="2146"/>
      <c r="P48" s="3667" t="str">
        <f>A48</f>
        <v>成交单价</v>
      </c>
      <c r="Q48" s="3667"/>
      <c r="R48" s="3668">
        <f>E48</f>
        <v>20369</v>
      </c>
      <c r="S48" s="3668"/>
      <c r="T48" s="3668">
        <f>G48</f>
        <v>21271</v>
      </c>
      <c r="U48" s="3668"/>
      <c r="V48" s="3668">
        <f>I48</f>
        <v>21254</v>
      </c>
      <c r="W48" s="3668"/>
      <c r="X48" s="1560"/>
      <c r="Y48" s="1582"/>
      <c r="Z48" s="1560"/>
      <c r="AA48" s="1560"/>
      <c r="AB48" s="1560"/>
      <c r="AC48" s="1560"/>
    </row>
    <row r="49" spans="1:29" ht="21" thickBot="1">
      <c r="A49" s="615" t="s">
        <v>2695</v>
      </c>
      <c r="B49" s="616"/>
      <c r="C49" s="617">
        <f>R50</f>
        <v>20192</v>
      </c>
      <c r="D49" s="618"/>
      <c r="E49" s="617">
        <f>R49</f>
        <v>19619</v>
      </c>
      <c r="F49" s="619"/>
      <c r="G49" s="620">
        <f>T49</f>
        <v>20487</v>
      </c>
      <c r="H49" s="618"/>
      <c r="I49" s="617">
        <f>V49</f>
        <v>20471</v>
      </c>
      <c r="J49" s="618"/>
      <c r="K49" s="1341"/>
      <c r="L49" s="2145"/>
      <c r="M49" s="2133"/>
      <c r="N49" s="2133"/>
      <c r="O49" s="2146"/>
      <c r="P49" s="3667" t="str">
        <f>A49</f>
        <v>比较价格（元/平方米）</v>
      </c>
      <c r="Q49" s="3667"/>
      <c r="R49" s="3669">
        <f>ROUND(PRODUCT(R48,AA9:AA47),0)</f>
        <v>19619</v>
      </c>
      <c r="S49" s="3669"/>
      <c r="T49" s="3669">
        <f>ROUND(PRODUCT(T48,AB9:AB47),0)</f>
        <v>20487</v>
      </c>
      <c r="U49" s="3669"/>
      <c r="V49" s="3669">
        <f>ROUND(PRODUCT(V48,AC9:AC47),0)</f>
        <v>20471</v>
      </c>
      <c r="W49" s="3669"/>
      <c r="X49" s="1560"/>
      <c r="Y49" s="1560"/>
      <c r="Z49" s="1560"/>
      <c r="AA49" s="1560"/>
      <c r="AB49" s="1560"/>
      <c r="AC49" s="1560"/>
    </row>
    <row r="50" spans="1:29" ht="21" thickBot="1">
      <c r="A50" s="621" t="s">
        <v>2934</v>
      </c>
      <c r="B50" s="622"/>
      <c r="C50" s="623">
        <f>R50</f>
        <v>20192</v>
      </c>
      <c r="D50" s="623"/>
      <c r="E50" s="623"/>
      <c r="F50" s="623"/>
      <c r="G50" s="623"/>
      <c r="H50" s="623"/>
      <c r="I50" s="623"/>
      <c r="J50" s="623"/>
      <c r="K50" s="1342"/>
      <c r="L50" s="2145"/>
      <c r="M50" s="2133"/>
      <c r="N50" s="2133"/>
      <c r="O50" s="2146"/>
      <c r="P50" s="3664" t="str">
        <f>A50</f>
        <v>估价对象XX用房的比较价格（楼面单价，元/平方米）</v>
      </c>
      <c r="Q50" s="3665"/>
      <c r="R50" s="3666">
        <f>ROUND(AVERAGE(R49:V49),0)</f>
        <v>20192</v>
      </c>
      <c r="S50" s="3666"/>
      <c r="T50" s="3666"/>
      <c r="U50" s="3666"/>
      <c r="V50" s="3666"/>
      <c r="W50" s="366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3.8228248126815911E-2</v>
      </c>
      <c r="F53" s="627" t="str">
        <f>IF(OR(E53&gt;=0.3,E53&lt;=-0.3),"超过30%","")</f>
        <v/>
      </c>
      <c r="G53" s="626">
        <f>IF(G48&lt;G49,G49/G48-1,G48/G49-1)</f>
        <v>3.8268170059061912E-2</v>
      </c>
      <c r="H53" s="627" t="str">
        <f>IF(OR(G53&gt;=0.3,G53&lt;=-0.3),"超过30%","")</f>
        <v/>
      </c>
      <c r="I53" s="626">
        <f>IF(I48&lt;I49,I49/I48-1,I48/I49-1)</f>
        <v>3.8249230618924379E-2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4.4242825832101484E-2</v>
      </c>
      <c r="F54" s="627" t="str">
        <f>IF(OR(E54&gt;=0.2,E54&lt;=-0.2),"超过20%","")</f>
        <v/>
      </c>
      <c r="G54" s="626">
        <f>IF(G49&lt;I49,I49/G49-1,G49/I49-1)</f>
        <v>7.815934736945529E-4</v>
      </c>
      <c r="H54" s="627" t="str">
        <f>IF(OR(G54&gt;=0.2,G54&lt;=-0.2),"超过20%","")</f>
        <v/>
      </c>
      <c r="I54" s="626">
        <f>IF(I49&lt;E49,E49/I49-1,I49/E49-1)</f>
        <v>4.3427289872062902E-2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4.4282979036771586E-2</v>
      </c>
      <c r="F55" s="627" t="str">
        <f>IF(OR(E55&gt;=0.3,E55&lt;=-0.3),"超过30%","")</f>
        <v/>
      </c>
      <c r="G55" s="626">
        <f>IF(G48&lt;I48,I48/G48-1,G48/I48-1)</f>
        <v>7.9984944010536019E-4</v>
      </c>
      <c r="H55" s="627" t="str">
        <f>IF(OR(G55&gt;=0.3,G55&lt;=-0.3),"超过30%","")</f>
        <v/>
      </c>
      <c r="I55" s="626">
        <f>IF(I48&lt;E48,E48/I48-1,I48/E48-1)</f>
        <v>4.3448377436300367E-2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1726</v>
      </c>
      <c r="D57" s="2228" t="s">
        <v>2294</v>
      </c>
      <c r="E57" s="631" t="s">
        <v>563</v>
      </c>
      <c r="F57" s="632" t="s">
        <v>564</v>
      </c>
      <c r="G57" s="3695" t="s">
        <v>2282</v>
      </c>
      <c r="H57" s="3696"/>
      <c r="I57" s="1556" t="s">
        <v>1724</v>
      </c>
      <c r="J57" s="1556" t="str">
        <f>项目基本情况!F41</f>
        <v>苏州市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20192</v>
      </c>
      <c r="C58" s="635">
        <v>1</v>
      </c>
      <c r="D58" s="2229">
        <v>1</v>
      </c>
      <c r="E58" s="635">
        <f>'数据-汇总表'!E8+'数据-汇总表'!E9</f>
        <v>141864.26</v>
      </c>
      <c r="F58" s="636">
        <f t="shared" ref="F58:F67" si="15">ROUND(B58*E58/10000,0)</f>
        <v>286452</v>
      </c>
      <c r="G58" s="3697"/>
      <c r="H58" s="3698"/>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699"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699"/>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699"/>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699"/>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2327</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2295</v>
      </c>
      <c r="E68" s="643">
        <f>IF(B48="楼面地价",SUM(E58:E67),'数据-汇总表'!D3)</f>
        <v>141864.26</v>
      </c>
      <c r="F68" s="644">
        <f>IF(B48="楼面地价",SUM(F58:F67),ROUND(C50*E68/10000,0))</f>
        <v>286452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2018-2-1</v>
      </c>
      <c r="D70" s="2825">
        <f>EDATE(C70,-3)</f>
        <v>43040</v>
      </c>
      <c r="E70" s="2825">
        <f t="shared" ref="E70:N70" si="18">EDATE(D70,-3)</f>
        <v>42948</v>
      </c>
      <c r="F70" s="2825">
        <f t="shared" si="18"/>
        <v>42856</v>
      </c>
      <c r="G70" s="2825">
        <f t="shared" si="18"/>
        <v>42767</v>
      </c>
      <c r="H70" s="2825">
        <f t="shared" si="18"/>
        <v>42675</v>
      </c>
      <c r="I70" s="2825">
        <f t="shared" si="18"/>
        <v>42583</v>
      </c>
      <c r="J70" s="2825">
        <f t="shared" si="18"/>
        <v>42491</v>
      </c>
      <c r="K70" s="2825">
        <f t="shared" si="18"/>
        <v>42401</v>
      </c>
      <c r="L70" s="2825">
        <f t="shared" si="18"/>
        <v>42309</v>
      </c>
      <c r="M70" s="2825">
        <f t="shared" si="18"/>
        <v>42217</v>
      </c>
      <c r="N70" s="2825">
        <f t="shared" si="18"/>
        <v>42125</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2534</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2" t="s">
        <v>2649</v>
      </c>
      <c r="B73" s="479" t="str">
        <f>"北京市平均增长率"&amp;TEXT(SUMIF(基准地价!N21:N25,A73,基准地价!P21:P25),"0.00%")</f>
        <v>北京市平均增长率2.30%</v>
      </c>
      <c r="C73" s="894">
        <v>100</v>
      </c>
      <c r="D73" s="730">
        <f>C73-3.5</f>
        <v>96.5</v>
      </c>
      <c r="E73" s="730">
        <f>D73-3.5</f>
        <v>93</v>
      </c>
      <c r="F73" s="730">
        <f>E73-3.5</f>
        <v>89.5</v>
      </c>
      <c r="G73" s="730">
        <f>F73-3.5</f>
        <v>86</v>
      </c>
      <c r="H73" s="730"/>
      <c r="I73" s="730"/>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2" t="s">
        <v>2648</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479" t="s">
        <v>3227</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hidden="1"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2550</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2552</v>
      </c>
      <c r="C104" s="2623" t="s">
        <v>2553</v>
      </c>
      <c r="D104" s="2623" t="s">
        <v>2554</v>
      </c>
      <c r="E104" s="2623" t="s">
        <v>2555</v>
      </c>
      <c r="F104" s="2623" t="s">
        <v>2556</v>
      </c>
      <c r="G104" s="2623"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481" t="s">
        <v>3247</v>
      </c>
      <c r="D108" s="3481" t="s">
        <v>3248</v>
      </c>
      <c r="E108" s="3481" t="s">
        <v>3250</v>
      </c>
      <c r="F108" s="3481" t="s">
        <v>3251</v>
      </c>
      <c r="G108" s="3481" t="s">
        <v>3252</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480" t="s">
        <v>3229</v>
      </c>
      <c r="D121" s="3480" t="s">
        <v>3231</v>
      </c>
      <c r="E121" s="3480" t="s">
        <v>3232</v>
      </c>
      <c r="F121" s="3480" t="s">
        <v>3233</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481" t="s">
        <v>3234</v>
      </c>
      <c r="D123" s="3481" t="s">
        <v>3236</v>
      </c>
      <c r="E123" s="3481" t="s">
        <v>3238</v>
      </c>
      <c r="F123" s="3480" t="s">
        <v>3239</v>
      </c>
      <c r="G123" s="3480" t="s">
        <v>3240</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3241</v>
      </c>
      <c r="D125" s="1376" t="s">
        <v>3243</v>
      </c>
      <c r="E125" s="1376" t="s">
        <v>3244</v>
      </c>
      <c r="F125" s="1376" t="s">
        <v>3245</v>
      </c>
      <c r="G125" s="1376" t="s">
        <v>3246</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81" t="s">
        <v>3234</v>
      </c>
      <c r="D127" s="3481" t="s">
        <v>3236</v>
      </c>
      <c r="E127" s="3481" t="s">
        <v>3238</v>
      </c>
      <c r="F127" s="3480" t="s">
        <v>3239</v>
      </c>
      <c r="G127" s="3480" t="s">
        <v>3240</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2658</v>
      </c>
      <c r="B1" s="2917" t="s">
        <v>2755</v>
      </c>
    </row>
    <row r="2" spans="1:55" s="2921" customFormat="1" ht="15" thickTop="1">
      <c r="A2" s="2919" t="s">
        <v>2662</v>
      </c>
      <c r="B2" s="2920" t="str">
        <f>'预评函-封皮'!B37</f>
        <v>苏州市姑苏区永方路以东、合兴路以南1宗住宅用途出让国有建设用地使用权市场价格预评估</v>
      </c>
      <c r="AX2" s="2922"/>
      <c r="AZ2" s="2922"/>
      <c r="BA2" s="2923"/>
      <c r="BC2" s="2923"/>
    </row>
    <row r="3" spans="1:55" s="2924" customFormat="1">
      <c r="A3" s="2903" t="s">
        <v>2663</v>
      </c>
      <c r="B3" s="2906" t="str">
        <f>'预评函-封皮'!B40</f>
        <v>苏州金俊房地产开发有限公司</v>
      </c>
    </row>
    <row r="4" spans="1:55" s="2905" customFormat="1">
      <c r="A4" s="2903" t="s">
        <v>2664</v>
      </c>
      <c r="B4" s="2904" t="str">
        <f>'预评函-封皮'!B46</f>
        <v>梁津、王鹏</v>
      </c>
      <c r="N4" s="2905" t="str">
        <f>'预评函-1'!A28</f>
        <v>——</v>
      </c>
    </row>
    <row r="5" spans="1:55" s="2918" customFormat="1" ht="15" thickBot="1">
      <c r="A5" s="2925" t="s">
        <v>2665</v>
      </c>
      <c r="B5" s="2926" t="str">
        <f>'预评函-封皮'!B49</f>
        <v>康正预评字2018-1-0131号</v>
      </c>
    </row>
    <row r="6" spans="1:55" s="2927" customFormat="1" ht="15" thickTop="1">
      <c r="A6" s="2919" t="s">
        <v>2707</v>
      </c>
      <c r="B6" s="2920" t="str">
        <f>'预评函-1'!A4</f>
        <v>受贵公司委托，我公司对苏州市姑苏区永方路以东、合兴路以南1宗住宅用途出让国有建设用地使用权市场价格进行了预评估。</v>
      </c>
      <c r="AM6" s="2928"/>
    </row>
    <row r="7" spans="1:55" s="2902" customFormat="1">
      <c r="A7" s="2903" t="s">
        <v>2659</v>
      </c>
      <c r="B7" s="2904" t="str">
        <f>'预评函-1'!A6</f>
        <v>估价对象为使用的、位于苏州市姑苏区永方路以东、合兴路以南1宗住宅用途出让国有建设用地使用权。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141864.26平方米。</v>
      </c>
    </row>
    <row r="8" spans="1:55" s="2902" customFormat="1">
      <c r="A8" s="2903" t="s">
        <v>2660</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2710</v>
      </c>
      <c r="B9" s="2904" t="str">
        <f>'预评函-1'!A9</f>
        <v>本次评估为委托估价方了解标的物之市场价格提供参考依据而评估出让国有建设用地使用权市场价格。</v>
      </c>
    </row>
    <row r="10" spans="1:55" s="2902" customFormat="1">
      <c r="A10" s="2903" t="s">
        <v>2661</v>
      </c>
      <c r="B10" s="2904" t="str">
        <f>'预评函-1'!A11</f>
        <v>2018年2月28日（评估专业人员勘察现场之日）</v>
      </c>
    </row>
    <row r="11" spans="1:55" s="2902" customFormat="1">
      <c r="A11" s="2903" t="s">
        <v>2667</v>
      </c>
      <c r="B11" s="2904" t="str">
        <f>'预评函-1'!A14</f>
        <v>根据《国有建设用地使用权网上挂牌出让成交确认书》[编号：苏地2017-WG-48号]，本次评估估价对象证载（地类）用途为住宅。</v>
      </c>
    </row>
    <row r="12" spans="1:55" s="2902" customFormat="1">
      <c r="A12" s="2903" t="s">
        <v>2668</v>
      </c>
      <c r="B12" s="2904" t="str">
        <f>'预评函-1'!A15</f>
        <v>本次评估设定用途即为证载用途住宅。</v>
      </c>
    </row>
    <row r="13" spans="1:55" s="2902" customFormat="1">
      <c r="A13" s="2903" t="s">
        <v>2669</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2670</v>
      </c>
      <c r="B14" s="2904" t="str">
        <f>'预评函-1'!A18</f>
        <v>本次评估设定土地开发程度为红线外市政基础设施达“七通”、宗地红线内场地平整。</v>
      </c>
    </row>
    <row r="15" spans="1:55" s="2902" customFormat="1">
      <c r="A15" s="2903" t="s">
        <v>2666</v>
      </c>
      <c r="B15" s="2904" t="str">
        <f>'预评函-1'!A20</f>
        <v>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141864.26平方米。</v>
      </c>
    </row>
    <row r="16" spans="1:55" s="2902" customFormat="1">
      <c r="A16" s="2903" t="s">
        <v>2671</v>
      </c>
      <c r="B16" s="2904" t="str">
        <f>'预评函-1'!A22</f>
        <v>本次估价对象为出让国有建设用地使用权，《国有建设用地使用权网上挂牌出让成交确认书》[编号：苏地2017-WG-48号]证载土地终止日期为住宅2088年2月28日、商业2058年2月28日。截至估价期日，出让国有建设用地使用权剩余土地使用年限为住宅70年。</v>
      </c>
    </row>
    <row r="17" spans="1:48" s="2902" customFormat="1">
      <c r="A17" s="2903" t="s">
        <v>2672</v>
      </c>
      <c r="B17" s="2904" t="str">
        <f>'预评函-1'!A23</f>
        <v>本次评估设定估价对象剩余土地使用年限为住宅70年。</v>
      </c>
    </row>
    <row r="18" spans="1:48" s="2902" customFormat="1">
      <c r="A18" s="2903" t="s">
        <v>2673</v>
      </c>
      <c r="B18" s="2904" t="str">
        <f>'预评函-1'!A25</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row>
    <row r="19" spans="1:48" s="2902" customFormat="1">
      <c r="A19" s="2903" t="s">
        <v>2674</v>
      </c>
      <c r="B19" s="2904" t="str">
        <f>'预评函-1'!A26</f>
        <v>——</v>
      </c>
    </row>
    <row r="20" spans="1:48" s="2902" customFormat="1">
      <c r="A20" s="2903" t="s">
        <v>2675</v>
      </c>
      <c r="B20" s="2904" t="str">
        <f>'预评函-1'!A27</f>
        <v>——</v>
      </c>
    </row>
    <row r="21" spans="1:48" s="2918" customFormat="1" ht="15" thickBot="1">
      <c r="A21" s="2925" t="s">
        <v>2676</v>
      </c>
      <c r="B21" s="2926" t="str">
        <f>'预评函-1'!A28</f>
        <v>——</v>
      </c>
    </row>
    <row r="22" spans="1:48" ht="15" thickTop="1">
      <c r="A22" s="2914" t="s">
        <v>2677</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2678</v>
      </c>
      <c r="B23" s="2904" t="str">
        <f>'预评函-2'!K2</f>
        <v>估价期日：2018年2月28日</v>
      </c>
    </row>
    <row r="24" spans="1:48">
      <c r="A24" s="2903" t="s">
        <v>2679</v>
      </c>
      <c r="B24" s="2904" t="str">
        <f>'预评函-2'!R2</f>
        <v>估价期日的国有建设用地使用权性质：出让</v>
      </c>
    </row>
    <row r="25" spans="1:48">
      <c r="A25" s="2903" t="s">
        <v>2735</v>
      </c>
      <c r="B25" s="2904" t="str">
        <f>'预评函-2'!A3</f>
        <v>估价期日土地使用者</v>
      </c>
    </row>
    <row r="26" spans="1:48">
      <c r="A26" s="2903" t="s">
        <v>2711</v>
      </c>
      <c r="B26" s="2904" t="str">
        <f>'预评函-2'!A5</f>
        <v>中信开发</v>
      </c>
    </row>
    <row r="27" spans="1:48">
      <c r="A27" s="2903" t="s">
        <v>2736</v>
      </c>
      <c r="B27" s="2904" t="str">
        <f>'预评函-2'!B3</f>
        <v>宗地编号/不动产单元号</v>
      </c>
    </row>
    <row r="28" spans="1:48">
      <c r="A28" s="2903" t="s">
        <v>2712</v>
      </c>
      <c r="B28" s="2904" t="str">
        <f>'预评函-2'!B5</f>
        <v>11111111111</v>
      </c>
    </row>
    <row r="29" spans="1:48">
      <c r="A29" s="2903" t="s">
        <v>2738</v>
      </c>
      <c r="B29" s="2904">
        <f>'预评函-2'!C5</f>
        <v>22</v>
      </c>
    </row>
    <row r="30" spans="1:48">
      <c r="A30" s="2903" t="s">
        <v>2739</v>
      </c>
      <c r="B30" s="2904" t="str">
        <f>'预评函-2'!D3</f>
        <v>土地使用证编号/不动产权证书编号</v>
      </c>
    </row>
    <row r="31" spans="1:48">
      <c r="A31" s="2903" t="s">
        <v>2713</v>
      </c>
      <c r="B31" s="2904" t="str">
        <f>'预评函-2'!D5</f>
        <v>京国土字第111号</v>
      </c>
    </row>
    <row r="32" spans="1:48">
      <c r="A32" s="2903" t="s">
        <v>2714</v>
      </c>
      <c r="B32" s="2904" t="str">
        <f>'预评函-2'!E5</f>
        <v>住宅</v>
      </c>
      <c r="AV32" s="2908"/>
    </row>
    <row r="33" spans="1:2">
      <c r="A33" s="2903" t="s">
        <v>2715</v>
      </c>
      <c r="B33" s="2904">
        <f>'预评函-2'!F5</f>
        <v>258</v>
      </c>
    </row>
    <row r="34" spans="1:2">
      <c r="A34" s="2903" t="s">
        <v>2716</v>
      </c>
      <c r="B34" s="2904" t="str">
        <f>'预评函-2'!G5</f>
        <v>住宅</v>
      </c>
    </row>
    <row r="35" spans="1:2">
      <c r="A35" s="2903" t="s">
        <v>2717</v>
      </c>
      <c r="B35" s="2904">
        <f>'预评函-2'!H5</f>
        <v>1.5</v>
      </c>
    </row>
    <row r="36" spans="1:2">
      <c r="A36" s="2903" t="s">
        <v>2718</v>
      </c>
      <c r="B36" s="2904">
        <f>'预评函-2'!I5</f>
        <v>1.5</v>
      </c>
    </row>
    <row r="37" spans="1:2">
      <c r="A37" s="2903" t="s">
        <v>2719</v>
      </c>
      <c r="B37" s="2904">
        <f>'预评函-2'!J5</f>
        <v>1.5</v>
      </c>
    </row>
    <row r="38" spans="1:2">
      <c r="A38" s="2903" t="s">
        <v>2720</v>
      </c>
      <c r="B38" s="2904" t="str">
        <f>'预评函-2'!K5</f>
        <v>红线外七通、宗地红线内场地平整</v>
      </c>
    </row>
    <row r="39" spans="1:2">
      <c r="A39" s="2903" t="s">
        <v>2721</v>
      </c>
      <c r="B39" s="2904" t="str">
        <f>'预评函-2'!L5</f>
        <v>红线外七通、宗地红线内场地平整</v>
      </c>
    </row>
    <row r="40" spans="1:2">
      <c r="A40" s="2903" t="s">
        <v>2740</v>
      </c>
      <c r="B40" s="2904" t="str">
        <f>'预评函-2'!M3</f>
        <v>（剩余）土地使用年限/年</v>
      </c>
    </row>
    <row r="41" spans="1:2">
      <c r="A41" s="2903" t="s">
        <v>2722</v>
      </c>
      <c r="B41" s="2904" t="str">
        <f>'预评函-2'!M5</f>
        <v>住宅70年</v>
      </c>
    </row>
    <row r="42" spans="1:2">
      <c r="A42" s="2903" t="s">
        <v>2741</v>
      </c>
      <c r="B42" s="2904" t="str">
        <f>'预评函-2'!N3</f>
        <v>（分摊）出让国有建设用地使用权面积/㎡</v>
      </c>
    </row>
    <row r="43" spans="1:2">
      <c r="A43" s="2903" t="s">
        <v>2723</v>
      </c>
      <c r="B43" s="2904">
        <f>'预评函-2'!N5</f>
        <v>56745.7</v>
      </c>
    </row>
    <row r="44" spans="1:2">
      <c r="A44" s="2903" t="s">
        <v>2742</v>
      </c>
      <c r="B44" s="2904" t="str">
        <f>'预评函-2'!O3</f>
        <v>规划建筑面积/㎡</v>
      </c>
    </row>
    <row r="45" spans="1:2">
      <c r="A45" s="2903" t="s">
        <v>2724</v>
      </c>
      <c r="B45" s="2904">
        <f>'预评函-2'!O5</f>
        <v>141864.26</v>
      </c>
    </row>
    <row r="46" spans="1:2">
      <c r="A46" s="2903" t="s">
        <v>2725</v>
      </c>
      <c r="B46" s="2904">
        <f ca="1">'预评函-2'!P5</f>
        <v>52246</v>
      </c>
    </row>
    <row r="47" spans="1:2">
      <c r="A47" s="2903" t="s">
        <v>2726</v>
      </c>
      <c r="B47" s="2904">
        <f ca="1">'预评函-2'!Q5</f>
        <v>20898</v>
      </c>
    </row>
    <row r="48" spans="1:2">
      <c r="A48" s="2903" t="s">
        <v>2727</v>
      </c>
      <c r="B48" s="2904">
        <f ca="1">'预评函-2'!R5</f>
        <v>296471</v>
      </c>
    </row>
    <row r="49" spans="1:2">
      <c r="A49" s="2903" t="s">
        <v>2743</v>
      </c>
      <c r="B49" s="2904" t="str">
        <f>'预评函-2'!A6</f>
        <v>——</v>
      </c>
    </row>
    <row r="50" spans="1:2">
      <c r="A50" s="2903" t="s">
        <v>2728</v>
      </c>
      <c r="B50" s="2904">
        <f ca="1">'预评函-2'!R6</f>
        <v>296471</v>
      </c>
    </row>
    <row r="51" spans="1:2">
      <c r="A51" s="2903" t="s">
        <v>2744</v>
      </c>
      <c r="B51" s="2904" t="str">
        <f>'预评函-2'!A7</f>
        <v>——</v>
      </c>
    </row>
    <row r="52" spans="1:2">
      <c r="A52" s="2903" t="s">
        <v>2729</v>
      </c>
      <c r="B52" s="2904" t="str">
        <f>'预评函-2'!R7</f>
        <v>——</v>
      </c>
    </row>
    <row r="53" spans="1:2">
      <c r="A53" s="2903" t="s">
        <v>2745</v>
      </c>
      <c r="B53" s="2904" t="str">
        <f>'预评函-2'!A8</f>
        <v>——</v>
      </c>
    </row>
    <row r="54" spans="1:2" s="2918" customFormat="1" ht="15" thickBot="1">
      <c r="A54" s="2925" t="s">
        <v>2730</v>
      </c>
      <c r="B54" s="2926" t="str">
        <f>'预评函-2'!R8</f>
        <v>——</v>
      </c>
    </row>
    <row r="55" spans="1:2" ht="15" thickTop="1">
      <c r="A55" s="2914" t="s">
        <v>2680</v>
      </c>
      <c r="B55" s="2915" t="str">
        <f>'预评函-3'!A2</f>
        <v>1.权利限制：根据估价对象————，截至估价期日，估价对象抵押权未见登记。未设定租赁等其他他项权利。</v>
      </c>
    </row>
    <row r="56" spans="1:2">
      <c r="A56" s="2903" t="s">
        <v>2681</v>
      </c>
      <c r="B56" s="2904" t="str">
        <f>'预评函-3'!A3</f>
        <v>2.基础设施条件：估价对象实际开发程度为红线外七通、宗地红线内场地平整；本次评估设定开发程度为红线外七通、宗地红线内场地平整。</v>
      </c>
    </row>
    <row r="57" spans="1:2">
      <c r="A57" s="2903" t="s">
        <v>2682</v>
      </c>
      <c r="B57" s="2904" t="str">
        <f>'预评函-3'!A4</f>
        <v>3.估价规划限制条件：详见《国有建设用地使用权网上挂牌出让成交确认书》[编号：苏地2017-WG-48号]、《估价对象清单》。</v>
      </c>
    </row>
    <row r="58" spans="1:2" s="2918" customFormat="1" ht="15" thickBot="1">
      <c r="A58" s="2925" t="s">
        <v>2731</v>
      </c>
      <c r="B58" s="2926" t="str">
        <f>'预评函-3'!A5</f>
        <v>4.影响价格的其他限定条件：无。</v>
      </c>
    </row>
    <row r="59" spans="1:2" ht="15" thickTop="1">
      <c r="A59" s="2914" t="s">
        <v>2683</v>
      </c>
      <c r="B59" s="2915" t="str">
        <f>'预评函-3'!A8</f>
        <v>2.本次评估设定估价对象宗地权属无争议，未被查封或者以其他形式限制其房地产权利，未设定抵押权等他项权利，不涉及第三方权利义务。</v>
      </c>
    </row>
    <row r="60" spans="1:2">
      <c r="A60" s="2903" t="s">
        <v>2684</v>
      </c>
      <c r="B60" s="2904" t="str">
        <f>'预评函-3'!A9</f>
        <v>——</v>
      </c>
    </row>
    <row r="61" spans="1:2">
      <c r="A61" s="2903" t="s">
        <v>2686</v>
      </c>
      <c r="B61" s="2904" t="str">
        <f>'预评函-3'!A10</f>
        <v>——</v>
      </c>
    </row>
    <row r="62" spans="1:2">
      <c r="A62" s="2903" t="s">
        <v>2685</v>
      </c>
      <c r="B62" s="2904" t="str">
        <f>'预评函-3'!A11</f>
        <v>——</v>
      </c>
    </row>
    <row r="63" spans="1:2">
      <c r="A63" s="2903" t="s">
        <v>2687</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2688</v>
      </c>
      <c r="B64" s="2909" t="str">
        <f>'预评函-3'!A13</f>
        <v>（3）。</v>
      </c>
    </row>
    <row r="65" spans="1:2">
      <c r="A65" s="2903" t="s">
        <v>2689</v>
      </c>
      <c r="B65" s="2910" t="str">
        <f>'预评函-3'!A14</f>
        <v>——</v>
      </c>
    </row>
    <row r="66" spans="1:2">
      <c r="A66" s="2903" t="s">
        <v>2690</v>
      </c>
      <c r="B66" s="291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2691</v>
      </c>
      <c r="B67" s="291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2694</v>
      </c>
      <c r="B68" s="2929">
        <f>'预评函-3'!D30</f>
        <v>42558</v>
      </c>
    </row>
    <row r="69" spans="1:2" ht="15" thickTop="1">
      <c r="A69" s="2914" t="s">
        <v>2692</v>
      </c>
      <c r="B69" s="2915" t="str">
        <f>'预评函-3'!A20</f>
        <v>梁津</v>
      </c>
    </row>
    <row r="70" spans="1:2">
      <c r="A70" s="2903" t="s">
        <v>2692</v>
      </c>
      <c r="B70" s="2910">
        <f ca="1">'预评函-3'!B20</f>
        <v>96010014</v>
      </c>
    </row>
    <row r="71" spans="1:2">
      <c r="A71" s="2903" t="s">
        <v>2693</v>
      </c>
      <c r="B71" s="2904" t="str">
        <f>'预评函-3'!A21</f>
        <v>王鹏</v>
      </c>
    </row>
    <row r="72" spans="1:2" s="2918" customFormat="1" ht="15" thickBot="1">
      <c r="A72" s="2925" t="s">
        <v>2693</v>
      </c>
      <c r="B72" s="2931">
        <f ca="1">'预评函-3'!B21</f>
        <v>2002110030</v>
      </c>
    </row>
    <row r="73" spans="1:2" ht="15" thickTop="1">
      <c r="A73" s="2914" t="s">
        <v>2752</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2753</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2754</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2789</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7"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8</v>
      </c>
    </row>
    <row r="2" spans="1:31" s="2042" customFormat="1" ht="18" customHeight="1">
      <c r="A2" s="2102" t="s">
        <v>467</v>
      </c>
      <c r="B2" s="2106">
        <f ca="1">C36</f>
        <v>306489</v>
      </c>
      <c r="C2" s="2105"/>
      <c r="D2" s="2105"/>
      <c r="E2" s="2105"/>
      <c r="F2" s="2105"/>
      <c r="G2" s="2105"/>
      <c r="H2" s="2105"/>
      <c r="I2" s="2105"/>
      <c r="J2" s="2105"/>
      <c r="K2" s="2105"/>
    </row>
    <row r="3" spans="1:31" s="2042" customFormat="1" ht="18" customHeight="1">
      <c r="A3" s="2107" t="s">
        <v>1686</v>
      </c>
      <c r="B3" s="2108">
        <f ca="1">ROUND(B2*10000/IF(B1="",'数据-汇总表'!E3,INDIRECT("'数据-取费表'!K"&amp;$K$1)),0)</f>
        <v>21604</v>
      </c>
      <c r="C3" s="2105"/>
      <c r="D3" s="2105"/>
      <c r="E3" s="2105"/>
      <c r="F3" s="2105"/>
      <c r="G3" s="2105"/>
      <c r="H3" s="2105"/>
      <c r="I3" s="2105"/>
      <c r="J3" s="2105"/>
      <c r="K3" s="2105"/>
    </row>
    <row r="4" spans="1:31" s="2042" customFormat="1" ht="18" customHeight="1">
      <c r="A4" s="426" t="s">
        <v>468</v>
      </c>
      <c r="B4" s="427">
        <f ca="1">ROUND(B2*10000/IF(B1="",'数据-汇总表'!D3,INDIRECT("'数据-取费表'!R"&amp;$K$1)),0)</f>
        <v>54011</v>
      </c>
      <c r="C4" s="428"/>
      <c r="D4" s="422"/>
      <c r="E4" s="422"/>
      <c r="F4" s="422"/>
      <c r="G4" s="422"/>
      <c r="H4" s="422"/>
      <c r="I4" s="422"/>
      <c r="J4" s="422"/>
      <c r="K4" s="422"/>
    </row>
    <row r="5" spans="1:31" s="2042" customFormat="1" ht="18" customHeight="1" thickBot="1">
      <c r="A5" s="429"/>
      <c r="B5" s="430">
        <f ca="1">ROUND(B2/(IF(B1="",'数据-汇总表'!D3,INDIRECT("'数据-取费表'!R"&amp;$K$1))/666.67),0)</f>
        <v>3601</v>
      </c>
      <c r="C5" s="431" t="s">
        <v>469</v>
      </c>
      <c r="D5" s="422"/>
      <c r="E5" s="422"/>
      <c r="F5" s="422"/>
      <c r="G5" s="422"/>
      <c r="H5" s="422"/>
      <c r="I5" s="422"/>
      <c r="J5" s="422"/>
      <c r="K5" s="422"/>
    </row>
    <row r="6" spans="1:31" s="2112" customFormat="1" ht="16.5" customHeight="1">
      <c r="A6" s="2854" t="s">
        <v>1844</v>
      </c>
      <c r="B6" s="2855"/>
      <c r="C6" s="2856">
        <f ca="1">SUM(C10:K10)</f>
        <v>444132</v>
      </c>
      <c r="D6" s="2855"/>
      <c r="E6" s="2855"/>
      <c r="F6" s="2855"/>
      <c r="G6" s="2855"/>
      <c r="H6" s="2855"/>
      <c r="I6" s="2855"/>
      <c r="J6" s="2855"/>
      <c r="K6" s="2857"/>
    </row>
    <row r="7" spans="1:31" s="2114" customFormat="1" ht="15">
      <c r="A7" s="2858" t="s">
        <v>470</v>
      </c>
      <c r="B7" s="2859" t="s">
        <v>471</v>
      </c>
      <c r="C7" s="436" t="s">
        <v>924</v>
      </c>
      <c r="D7" s="436" t="s">
        <v>3303</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f>'不动产比较法-住宅'!B3</f>
        <v>29949</v>
      </c>
      <c r="D8" s="2860">
        <f ca="1">不动产收益法!B3</f>
        <v>43528</v>
      </c>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127677.83</v>
      </c>
      <c r="D9" s="441">
        <f>SUMIF('数据-汇总表'!$C19:$C33,'剩余法-待开发'!D7,'数据-汇总表'!$E19:$E33)</f>
        <v>14186.43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f>'不动产比较法-住宅'!B2</f>
        <v>382382</v>
      </c>
      <c r="D10" s="3055">
        <f ca="1">不动产收益法!B2</f>
        <v>61750</v>
      </c>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33055</v>
      </c>
      <c r="D13" s="2870"/>
      <c r="E13" s="2871"/>
      <c r="F13" s="2872"/>
      <c r="G13" s="2838"/>
      <c r="H13" s="2839"/>
      <c r="I13" s="2839"/>
      <c r="J13" s="2839"/>
      <c r="K13" s="2840"/>
    </row>
    <row r="14" spans="1:31" s="2117" customFormat="1" ht="13.5" customHeight="1">
      <c r="A14" s="2868" t="s">
        <v>1851</v>
      </c>
      <c r="B14" s="2869" t="s">
        <v>480</v>
      </c>
      <c r="C14" s="53">
        <f ca="1">ROUND(C13*F14,0)</f>
        <v>992</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1532</v>
      </c>
      <c r="D15" s="2870"/>
      <c r="E15" s="2871"/>
      <c r="F15" s="2873">
        <f>'数据-取费表'!B34</f>
        <v>0.05</v>
      </c>
      <c r="G15" s="2838" t="s">
        <v>483</v>
      </c>
      <c r="H15" s="2839"/>
      <c r="I15" s="2839"/>
      <c r="J15" s="2839"/>
      <c r="K15" s="2840"/>
    </row>
    <row r="16" spans="1:31" s="2118" customFormat="1" ht="13.5" customHeight="1">
      <c r="A16" s="2868" t="s">
        <v>1853</v>
      </c>
      <c r="B16" s="2869" t="s">
        <v>484</v>
      </c>
      <c r="C16" s="53">
        <f ca="1">ROUND(D16*E16/10000,0)</f>
        <v>2837</v>
      </c>
      <c r="D16" s="2870">
        <f ca="1">IF(B1="",'数据-汇总表'!E3,INDIRECT("'数据-取费表'!K"&amp;$K$1)+INDIRECT("'数据-取费表'!S"&amp;$K$1))</f>
        <v>141864.26</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496</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38912</v>
      </c>
      <c r="D18" s="2879"/>
      <c r="E18" s="468"/>
      <c r="F18" s="468"/>
      <c r="G18" s="2842" t="s">
        <v>2430</v>
      </c>
      <c r="H18" s="2843"/>
      <c r="I18" s="2843"/>
      <c r="J18" s="2843"/>
      <c r="K18" s="2844"/>
    </row>
    <row r="19" spans="1:14" s="2117" customFormat="1" ht="13.5" customHeight="1">
      <c r="A19" s="2876" t="s">
        <v>1856</v>
      </c>
      <c r="B19" s="2877" t="s">
        <v>488</v>
      </c>
      <c r="C19" s="2834">
        <f ca="1">ROUND(D19*E19/10000,0)</f>
        <v>0</v>
      </c>
      <c r="D19" s="2880">
        <f ca="1">D16</f>
        <v>141864.26</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1490</v>
      </c>
      <c r="D20" s="2880"/>
      <c r="E20" s="2834"/>
      <c r="F20" s="2881"/>
      <c r="G20" s="3115"/>
      <c r="H20" s="2836"/>
      <c r="I20" s="2837" t="s">
        <v>2653</v>
      </c>
      <c r="J20" s="2843"/>
      <c r="K20" s="2844"/>
    </row>
    <row r="21" spans="1:14" s="2117" customFormat="1" ht="13.5" customHeight="1">
      <c r="A21" s="2868" t="s">
        <v>1858</v>
      </c>
      <c r="B21" s="2869" t="s">
        <v>491</v>
      </c>
      <c r="C21" s="53">
        <f ca="1">ROUND(D21*E21/10000,0)</f>
        <v>1341</v>
      </c>
      <c r="D21" s="2870">
        <f ca="1">IF(B1="",'数据-汇总表'!E5,IF(INDIRECT("'数据-取费表'!c"&amp;$K$1)="住宅",INDIRECT("'数据-取费表'!k"&amp;$K$1),0))</f>
        <v>127677.83</v>
      </c>
      <c r="E21" s="53">
        <f>'数据-取费表'!B27</f>
        <v>105</v>
      </c>
      <c r="F21" s="2873"/>
      <c r="G21" s="26"/>
      <c r="H21" s="51"/>
      <c r="I21" s="51"/>
      <c r="J21" s="51"/>
      <c r="K21" s="2845"/>
    </row>
    <row r="22" spans="1:14" s="2117" customFormat="1" ht="13.5" customHeight="1">
      <c r="A22" s="2868" t="s">
        <v>1859</v>
      </c>
      <c r="B22" s="2869" t="s">
        <v>492</v>
      </c>
      <c r="C22" s="53">
        <f ca="1">ROUND(D22*E22/10000,0)</f>
        <v>149</v>
      </c>
      <c r="D22" s="2870">
        <f ca="1">IF(B1="",'数据-汇总表'!E6,IF(INDIRECT("'数据-取费表'!c"&amp;$K$1)="住宅",INDIRECT("'数据-取费表'!s"&amp;$K$1),INDIRECT("'数据-取费表'!k"&amp;$K$1)+INDIRECT("'数据-取费表'!s"&amp;$K$1)))</f>
        <v>14186.430000000008</v>
      </c>
      <c r="E22" s="53">
        <f>'数据-取费表'!B28</f>
        <v>105</v>
      </c>
      <c r="F22" s="2873"/>
      <c r="G22" s="26"/>
      <c r="H22" s="51"/>
      <c r="I22" s="51"/>
      <c r="J22" s="51"/>
      <c r="K22" s="2845"/>
    </row>
    <row r="23" spans="1:14" s="2117" customFormat="1" ht="13.5" customHeight="1">
      <c r="A23" s="2876" t="s">
        <v>1860</v>
      </c>
      <c r="B23" s="3061" t="s">
        <v>2836</v>
      </c>
      <c r="C23" s="2878">
        <f ca="1">ROUND((C18+C19+C20)*F23,0)</f>
        <v>808</v>
      </c>
      <c r="D23" s="468"/>
      <c r="E23" s="468"/>
      <c r="F23" s="2882">
        <f>'数据-取费表'!B37</f>
        <v>0.02</v>
      </c>
      <c r="G23" s="2838" t="s">
        <v>2431</v>
      </c>
      <c r="H23" s="2839"/>
      <c r="I23" s="2839"/>
      <c r="J23" s="2839"/>
      <c r="K23" s="2840"/>
      <c r="L23" s="2119"/>
      <c r="M23" s="2119"/>
      <c r="N23" s="2119"/>
    </row>
    <row r="24" spans="1:14" s="2117" customFormat="1" ht="13.5" customHeight="1">
      <c r="A24" s="2876" t="s">
        <v>1861</v>
      </c>
      <c r="B24" s="3061" t="s">
        <v>2839</v>
      </c>
      <c r="C24" s="2878">
        <f ca="1">ROUND(C6*F24,0)</f>
        <v>8883</v>
      </c>
      <c r="D24" s="475"/>
      <c r="E24" s="473"/>
      <c r="F24" s="2882">
        <f>'数据-取费表'!B38</f>
        <v>0.02</v>
      </c>
      <c r="G24" s="2847" t="s">
        <v>499</v>
      </c>
      <c r="H24" s="2841"/>
      <c r="I24" s="2841"/>
      <c r="J24" s="2841"/>
      <c r="K24" s="279"/>
      <c r="L24" s="2119"/>
      <c r="M24" s="2119"/>
      <c r="N24" s="2119"/>
    </row>
    <row r="25" spans="1:14" s="2120" customFormat="1" ht="13.5" customHeight="1">
      <c r="A25" s="2876" t="s">
        <v>1862</v>
      </c>
      <c r="B25" s="3061" t="s">
        <v>2837</v>
      </c>
      <c r="C25" s="467">
        <f>ROUND(F25/(1+'数据-取费表'!C42),4)</f>
        <v>2.9000000000000001E-2</v>
      </c>
      <c r="D25" s="462" t="s">
        <v>2831</v>
      </c>
      <c r="E25" s="469"/>
      <c r="F25" s="2882">
        <f>'数据-取费表'!B48+'数据-取费表'!B49</f>
        <v>3.0499999999999999E-2</v>
      </c>
      <c r="G25" s="2846" t="s">
        <v>2290</v>
      </c>
      <c r="H25" s="2839"/>
      <c r="I25" s="2839"/>
      <c r="J25" s="2839"/>
      <c r="K25" s="2840"/>
    </row>
    <row r="26" spans="1:14" s="2119" customFormat="1" ht="13.5" customHeight="1">
      <c r="A26" s="2876" t="s">
        <v>1863</v>
      </c>
      <c r="B26" s="3062" t="s">
        <v>2838</v>
      </c>
      <c r="C26" s="2883">
        <f ca="1">C28</f>
        <v>2379</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1859</v>
      </c>
      <c r="B28" s="2884" t="s">
        <v>2840</v>
      </c>
      <c r="C28" s="2886">
        <f ca="1">ROUND(IF('数据-取费表'!B22&lt;=1,(C18+C19+C20+C23+C24)*F26*'数据-取费表'!B24/2,(C18+C19+C20+C23+C24)*(POWER((1+F26),'数据-取费表'!B24/2)-1)),0)</f>
        <v>2379</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1864</v>
      </c>
      <c r="B29" s="2877" t="s">
        <v>497</v>
      </c>
      <c r="C29" s="2878">
        <f ca="1">ROUND(C6*F29/(1+'数据-取费表'!C42),0)</f>
        <v>23687</v>
      </c>
      <c r="D29" s="468"/>
      <c r="E29" s="468"/>
      <c r="F29" s="3063">
        <f>'数据-取费表'!B41</f>
        <v>5.6000000000000001E-2</v>
      </c>
      <c r="G29" s="2847" t="s">
        <v>498</v>
      </c>
      <c r="H29" s="2839"/>
      <c r="I29" s="2839"/>
      <c r="J29" s="2839"/>
      <c r="K29" s="2840"/>
    </row>
    <row r="30" spans="1:14" s="2122" customFormat="1" ht="13.5" customHeight="1">
      <c r="A30" s="1636" t="s">
        <v>1865</v>
      </c>
      <c r="B30" s="2888" t="s">
        <v>500</v>
      </c>
      <c r="C30" s="2883">
        <f ca="1">C31</f>
        <v>76159</v>
      </c>
      <c r="D30" s="477">
        <f ca="1">C32</f>
        <v>0.12909999999999999</v>
      </c>
      <c r="E30" s="469" t="s">
        <v>495</v>
      </c>
      <c r="F30" s="471"/>
      <c r="G30" s="2838" t="s">
        <v>501</v>
      </c>
      <c r="H30" s="2839"/>
      <c r="I30" s="2839"/>
      <c r="J30" s="2839"/>
      <c r="K30" s="2840"/>
    </row>
    <row r="31" spans="1:14" s="2121" customFormat="1" ht="13.5" customHeight="1">
      <c r="A31" s="803" t="s">
        <v>1858</v>
      </c>
      <c r="B31" s="2884"/>
      <c r="C31" s="450">
        <f ca="1">C18+C19+C20+C23+C24+C26+C29</f>
        <v>76159</v>
      </c>
      <c r="D31" s="472"/>
      <c r="E31" s="473"/>
      <c r="F31" s="474"/>
      <c r="G31" s="261"/>
      <c r="H31" s="2841"/>
      <c r="I31" s="2841"/>
      <c r="J31" s="2841"/>
      <c r="K31" s="279"/>
    </row>
    <row r="32" spans="1:14" s="2121" customFormat="1" ht="13.5" customHeight="1">
      <c r="A32" s="803" t="s">
        <v>1859</v>
      </c>
      <c r="B32" s="2884"/>
      <c r="C32" s="53">
        <f ca="1">ROUND(C25+D26,4)</f>
        <v>0.12909999999999999</v>
      </c>
      <c r="D32" s="472"/>
      <c r="E32" s="473"/>
      <c r="F32" s="474"/>
      <c r="G32" s="261"/>
      <c r="H32" s="2841"/>
      <c r="I32" s="2841"/>
      <c r="J32" s="2841"/>
      <c r="K32" s="279"/>
    </row>
    <row r="33" spans="1:11" s="2123" customFormat="1" ht="13.5" customHeight="1">
      <c r="A33" s="3060" t="s">
        <v>2835</v>
      </c>
      <c r="B33" s="3058" t="s">
        <v>2833</v>
      </c>
      <c r="C33" s="478">
        <f ca="1">C35</f>
        <v>3006</v>
      </c>
      <c r="D33" s="467">
        <f ca="1">C34</f>
        <v>6.1699999999999998E-2</v>
      </c>
      <c r="E33" s="469" t="s">
        <v>495</v>
      </c>
      <c r="F33" s="479">
        <f ca="1">IF(B1="",'数据-取费表'!Q16,INDIRECT("'数据-取费表'!q"&amp;$K$1))</f>
        <v>0.06</v>
      </c>
      <c r="G33" s="2842"/>
      <c r="H33" s="2843"/>
      <c r="I33" s="2843"/>
      <c r="J33" s="2843"/>
      <c r="K33" s="2844"/>
    </row>
    <row r="34" spans="1:11" s="2124" customFormat="1" ht="13.5" customHeight="1">
      <c r="A34" s="375" t="s">
        <v>1858</v>
      </c>
      <c r="B34" s="2889" t="s">
        <v>502</v>
      </c>
      <c r="C34" s="472">
        <f ca="1">ROUND((1+C25)*F33,4)</f>
        <v>6.1699999999999998E-2</v>
      </c>
      <c r="D34" s="472"/>
      <c r="E34" s="473"/>
      <c r="F34" s="480"/>
      <c r="G34" s="261" t="s">
        <v>2291</v>
      </c>
      <c r="H34" s="2841"/>
      <c r="I34" s="2841"/>
      <c r="J34" s="2841"/>
      <c r="K34" s="279"/>
    </row>
    <row r="35" spans="1:11" s="2124" customFormat="1" ht="13.5" customHeight="1" thickBot="1">
      <c r="A35" s="1637" t="s">
        <v>1859</v>
      </c>
      <c r="B35" s="3059" t="s">
        <v>2841</v>
      </c>
      <c r="C35" s="1629">
        <f ca="1">ROUND((C18+C19+C20+C23+C24)*F33,0)</f>
        <v>3006</v>
      </c>
      <c r="D35" s="1630"/>
      <c r="E35" s="2890"/>
      <c r="F35" s="1631"/>
      <c r="G35" s="2848"/>
      <c r="H35" s="2849"/>
      <c r="I35" s="2849"/>
      <c r="J35" s="2849"/>
      <c r="K35" s="2850"/>
    </row>
    <row r="36" spans="1:11" s="2086" customFormat="1" ht="13.5" customHeight="1" thickBot="1">
      <c r="A36" s="284" t="s">
        <v>1846</v>
      </c>
      <c r="B36" s="2852"/>
      <c r="C36" s="2891">
        <f ca="1">ROUND((C6-C30-C33)/(1+D30+D33),0)</f>
        <v>306489</v>
      </c>
      <c r="D36" s="2852"/>
      <c r="E36" s="2852"/>
      <c r="F36" s="2852"/>
      <c r="G36" s="2851" t="s">
        <v>2842</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1849</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1866</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1850</v>
      </c>
      <c r="B13" s="449" t="s">
        <v>479</v>
      </c>
      <c r="C13" s="450">
        <f ca="1">IF(B1="",'数据-取费表'!M16,INDIRECT("'数据-取费表'!M"&amp;$K$1)+INDIRECT("'数据-取费表'!t"&amp;$K$1))</f>
        <v>33055</v>
      </c>
      <c r="D13" s="451"/>
      <c r="E13" s="365"/>
      <c r="F13" s="452"/>
      <c r="G13" s="444"/>
      <c r="H13" s="447"/>
      <c r="I13" s="447"/>
      <c r="J13" s="447"/>
      <c r="K13" s="448"/>
    </row>
    <row r="14" spans="1:41" s="2117" customFormat="1" ht="13.5" customHeight="1">
      <c r="A14" s="1634" t="s">
        <v>1851</v>
      </c>
      <c r="B14" s="449" t="s">
        <v>480</v>
      </c>
      <c r="C14" s="53">
        <f ca="1">ROUND(C13*F14,0)</f>
        <v>992</v>
      </c>
      <c r="D14" s="451"/>
      <c r="E14" s="365"/>
      <c r="F14" s="453">
        <f>'数据-取费表'!B33</f>
        <v>0.03</v>
      </c>
      <c r="G14" s="444" t="s">
        <v>503</v>
      </c>
      <c r="H14" s="447"/>
      <c r="I14" s="447"/>
      <c r="J14" s="447"/>
      <c r="K14" s="448"/>
    </row>
    <row r="15" spans="1:41" s="2117" customFormat="1" ht="13.5" customHeight="1">
      <c r="A15" s="1634" t="s">
        <v>1852</v>
      </c>
      <c r="B15" s="449" t="s">
        <v>482</v>
      </c>
      <c r="C15" s="53">
        <f ca="1">ROUND(IF(B1="",SUMIF('数据-取费表'!C:C,"住宅",'数据-取费表'!M:M)*F15,IF(INDIRECT("'数据-取费表'!c"&amp;$K$1)="住宅",INDIRECT("'数据-取费表'!M"&amp;$K$1)*F15,0)),0)</f>
        <v>1532</v>
      </c>
      <c r="D15" s="451"/>
      <c r="E15" s="365"/>
      <c r="F15" s="453">
        <f>'数据-取费表'!B34</f>
        <v>0.05</v>
      </c>
      <c r="G15" s="444" t="s">
        <v>503</v>
      </c>
      <c r="H15" s="447"/>
      <c r="I15" s="447"/>
      <c r="J15" s="447"/>
      <c r="K15" s="448"/>
    </row>
    <row r="16" spans="1:41" s="2118" customFormat="1" ht="13.5" customHeight="1">
      <c r="A16" s="1634" t="s">
        <v>1853</v>
      </c>
      <c r="B16" s="449" t="s">
        <v>484</v>
      </c>
      <c r="C16" s="53">
        <f ca="1">ROUND(D16*E16/10000,0)</f>
        <v>2837</v>
      </c>
      <c r="D16" s="451">
        <f ca="1">IF(B1="",'数据-汇总表'!E3,INDIRECT("'数据-取费表'!K"&amp;$K$1)+INDIRECT("'数据-取费表'!S"&amp;$K$1))</f>
        <v>141864.26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1854</v>
      </c>
      <c r="B17" s="449" t="s">
        <v>485</v>
      </c>
      <c r="C17" s="454">
        <f ca="1">ROUND(C13*F17,0)</f>
        <v>496</v>
      </c>
      <c r="D17" s="455"/>
      <c r="E17" s="454"/>
      <c r="F17" s="456">
        <f>'数据-取费表'!B36</f>
        <v>1.4999999999999999E-2</v>
      </c>
      <c r="G17" s="444" t="s">
        <v>503</v>
      </c>
      <c r="H17" s="457"/>
      <c r="I17" s="457"/>
      <c r="J17" s="457"/>
      <c r="K17" s="458"/>
    </row>
    <row r="18" spans="1:14" s="2120" customFormat="1" ht="13.5" customHeight="1">
      <c r="A18" s="1635" t="s">
        <v>1855</v>
      </c>
      <c r="B18" s="459" t="s">
        <v>487</v>
      </c>
      <c r="C18" s="460">
        <f ca="1">SUM(C13:C17)</f>
        <v>38912</v>
      </c>
      <c r="D18" s="461"/>
      <c r="E18" s="462"/>
      <c r="F18" s="462"/>
      <c r="G18" s="1327" t="s">
        <v>2432</v>
      </c>
      <c r="H18" s="447"/>
      <c r="I18" s="447"/>
      <c r="J18" s="447"/>
      <c r="K18" s="448"/>
    </row>
    <row r="19" spans="1:14" s="2120" customFormat="1" ht="13.5" customHeight="1">
      <c r="A19" s="1635" t="s">
        <v>1856</v>
      </c>
      <c r="B19" s="459" t="s">
        <v>493</v>
      </c>
      <c r="C19" s="460">
        <f ca="1">ROUND(C18*F19,0)</f>
        <v>778</v>
      </c>
      <c r="D19" s="462"/>
      <c r="E19" s="462"/>
      <c r="F19" s="466">
        <f>'数据-取费表'!B37</f>
        <v>0.02</v>
      </c>
      <c r="G19" s="444" t="s">
        <v>504</v>
      </c>
      <c r="H19" s="447"/>
      <c r="I19" s="447"/>
      <c r="J19" s="447"/>
      <c r="K19" s="448"/>
      <c r="L19" s="2122"/>
      <c r="M19" s="2122"/>
      <c r="N19" s="2122"/>
    </row>
    <row r="20" spans="1:14" s="2120" customFormat="1" ht="13.5" customHeight="1">
      <c r="A20" s="1635" t="s">
        <v>1857</v>
      </c>
      <c r="B20" s="459" t="s">
        <v>505</v>
      </c>
      <c r="C20" s="3056">
        <f>F20</f>
        <v>0.02</v>
      </c>
      <c r="D20" s="469" t="s">
        <v>506</v>
      </c>
      <c r="E20" s="469"/>
      <c r="F20" s="486">
        <f>'数据-取费表'!B38</f>
        <v>0.02</v>
      </c>
      <c r="G20" s="1327" t="s">
        <v>507</v>
      </c>
      <c r="H20" s="447"/>
      <c r="I20" s="447"/>
      <c r="J20" s="447"/>
      <c r="K20" s="448"/>
      <c r="L20" s="2122"/>
      <c r="M20" s="2122"/>
      <c r="N20" s="2122"/>
    </row>
    <row r="21" spans="1:14" s="2122" customFormat="1" ht="13.5" customHeight="1">
      <c r="A21" s="1635" t="s">
        <v>1860</v>
      </c>
      <c r="B21" s="461" t="s">
        <v>494</v>
      </c>
      <c r="C21" s="470">
        <f ca="1">C22</f>
        <v>1885</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1850</v>
      </c>
      <c r="B22" s="1328" t="s">
        <v>2435</v>
      </c>
      <c r="C22" s="487">
        <f ca="1">ROUND(IF('数据-取费表'!B22&lt;=1,(C18+C19)*F21*'数据-取费表'!B20/2,(C18+C19)*(POWER((1+F21),'数据-取费表'!B20/2)-1)),0)</f>
        <v>1885</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1851</v>
      </c>
      <c r="B23" s="1328" t="s">
        <v>509</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1861</v>
      </c>
      <c r="B24" s="3058" t="s">
        <v>2834</v>
      </c>
      <c r="C24" s="478">
        <f ca="1">C25</f>
        <v>2381</v>
      </c>
      <c r="D24" s="489">
        <f ca="1">C26</f>
        <v>1.1999999999999999E-3</v>
      </c>
      <c r="E24" s="469" t="s">
        <v>508</v>
      </c>
      <c r="F24" s="479">
        <f ca="1">IF(B1="",'数据-取费表'!Q16,INDIRECT("'数据-取费表'!q"&amp;$K$1))</f>
        <v>0.06</v>
      </c>
      <c r="G24" s="444"/>
      <c r="H24" s="447"/>
      <c r="I24" s="447"/>
      <c r="J24" s="447"/>
      <c r="K24" s="448"/>
    </row>
    <row r="25" spans="1:14" s="2121" customFormat="1" ht="13.5" customHeight="1">
      <c r="A25" s="1634" t="s">
        <v>1850</v>
      </c>
      <c r="B25" s="1328" t="s">
        <v>2436</v>
      </c>
      <c r="C25" s="490">
        <f ca="1">ROUND((C18+C19)*F24,0)</f>
        <v>2381</v>
      </c>
      <c r="D25" s="472"/>
      <c r="E25" s="473"/>
      <c r="F25" s="480"/>
      <c r="G25" s="1326" t="s">
        <v>2433</v>
      </c>
      <c r="H25" s="457"/>
      <c r="I25" s="457"/>
      <c r="J25" s="457"/>
      <c r="K25" s="458"/>
    </row>
    <row r="26" spans="1:14" s="2121" customFormat="1" ht="13.5" customHeight="1">
      <c r="A26" s="1634" t="s">
        <v>1851</v>
      </c>
      <c r="B26" s="1328" t="s">
        <v>510</v>
      </c>
      <c r="C26" s="491">
        <f ca="1">ROUND(F20*F24,4)</f>
        <v>1.1999999999999999E-3</v>
      </c>
      <c r="D26" s="472"/>
      <c r="E26" s="481"/>
      <c r="F26" s="480"/>
      <c r="G26" s="1326" t="s">
        <v>511</v>
      </c>
      <c r="H26" s="457"/>
      <c r="I26" s="457"/>
      <c r="J26" s="457"/>
      <c r="K26" s="458"/>
    </row>
    <row r="27" spans="1:14" s="2121" customFormat="1" ht="13.5" customHeight="1">
      <c r="A27" s="1638" t="s">
        <v>1869</v>
      </c>
      <c r="B27" s="459" t="s">
        <v>512</v>
      </c>
      <c r="C27" s="3057">
        <f>ROUND(F27/(1+'数据-取费表'!C42),4)</f>
        <v>5.33E-2</v>
      </c>
      <c r="D27" s="462" t="s">
        <v>2832</v>
      </c>
      <c r="E27" s="462"/>
      <c r="F27" s="466">
        <f>'数据-取费表'!B41</f>
        <v>5.6000000000000001E-2</v>
      </c>
      <c r="G27" s="1961" t="s">
        <v>2292</v>
      </c>
      <c r="H27" s="447"/>
      <c r="I27" s="447"/>
      <c r="J27" s="447"/>
      <c r="K27" s="448"/>
    </row>
    <row r="28" spans="1:14" s="2122" customFormat="1" ht="13.5" customHeight="1">
      <c r="A28" s="1638" t="s">
        <v>1870</v>
      </c>
      <c r="B28" s="476" t="s">
        <v>513</v>
      </c>
      <c r="C28" s="470">
        <f ca="1">ROUND((C18+C19+C21+C24)/(1-C20-D21-D24-C27),0)</f>
        <v>47546</v>
      </c>
      <c r="D28" s="477"/>
      <c r="E28" s="469"/>
      <c r="F28" s="471"/>
      <c r="G28" s="1327" t="s">
        <v>2434</v>
      </c>
      <c r="H28" s="447"/>
      <c r="I28" s="447"/>
      <c r="J28" s="447"/>
      <c r="K28" s="448"/>
    </row>
    <row r="29" spans="1:14" s="2122"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673" t="s">
        <v>523</v>
      </c>
      <c r="D6" s="3674"/>
      <c r="E6" s="3710" t="s">
        <v>524</v>
      </c>
      <c r="F6" s="3711"/>
      <c r="G6" s="3673" t="s">
        <v>525</v>
      </c>
      <c r="H6" s="3674"/>
      <c r="I6" s="3673" t="s">
        <v>526</v>
      </c>
      <c r="J6" s="3674"/>
      <c r="K6" s="514" t="s">
        <v>527</v>
      </c>
      <c r="L6" s="2134"/>
      <c r="M6" s="2135"/>
      <c r="N6" s="2135"/>
      <c r="O6" s="2135"/>
      <c r="P6" s="3675" t="s">
        <v>528</v>
      </c>
      <c r="Q6" s="3676"/>
      <c r="R6" s="3681" t="s">
        <v>524</v>
      </c>
      <c r="S6" s="3682"/>
      <c r="T6" s="3681" t="s">
        <v>525</v>
      </c>
      <c r="U6" s="3682"/>
      <c r="V6" s="3668" t="s">
        <v>526</v>
      </c>
      <c r="W6" s="3668"/>
      <c r="X6" s="1568"/>
      <c r="Y6" s="3681" t="s">
        <v>528</v>
      </c>
      <c r="Z6" s="3682"/>
      <c r="AA6" s="3670" t="s">
        <v>524</v>
      </c>
      <c r="AB6" s="3671" t="s">
        <v>525</v>
      </c>
      <c r="AC6" s="3670" t="s">
        <v>526</v>
      </c>
    </row>
    <row r="7" spans="1:29" ht="15">
      <c r="A7" s="515"/>
      <c r="B7" s="516"/>
      <c r="C7" s="3691" t="s">
        <v>2928</v>
      </c>
      <c r="D7" s="3690"/>
      <c r="E7" s="3712" t="s">
        <v>2929</v>
      </c>
      <c r="F7" s="3713"/>
      <c r="G7" s="3691" t="s">
        <v>2930</v>
      </c>
      <c r="H7" s="3690"/>
      <c r="I7" s="3691" t="s">
        <v>2931</v>
      </c>
      <c r="J7" s="3690"/>
      <c r="K7" s="514"/>
      <c r="L7" s="2134"/>
      <c r="M7" s="2135"/>
      <c r="N7" s="2135"/>
      <c r="O7" s="2135"/>
      <c r="P7" s="3677"/>
      <c r="Q7" s="3678"/>
      <c r="R7" s="3683"/>
      <c r="S7" s="3684"/>
      <c r="T7" s="3683"/>
      <c r="U7" s="3684"/>
      <c r="V7" s="3668"/>
      <c r="W7" s="3668"/>
      <c r="X7" s="1568"/>
      <c r="Y7" s="3683"/>
      <c r="Z7" s="3684"/>
      <c r="AA7" s="3671"/>
      <c r="AB7" s="3671"/>
      <c r="AC7" s="3671"/>
    </row>
    <row r="8" spans="1:29" ht="15.75" thickBot="1">
      <c r="A8" s="517"/>
      <c r="B8" s="518"/>
      <c r="C8" s="3707" t="s">
        <v>2932</v>
      </c>
      <c r="D8" s="3688"/>
      <c r="E8" s="3708" t="s">
        <v>2932</v>
      </c>
      <c r="F8" s="3709"/>
      <c r="G8" s="3707" t="s">
        <v>2932</v>
      </c>
      <c r="H8" s="3688"/>
      <c r="I8" s="3707" t="s">
        <v>2932</v>
      </c>
      <c r="J8" s="3688"/>
      <c r="K8" s="514" t="s">
        <v>529</v>
      </c>
      <c r="L8" s="2134"/>
      <c r="M8" s="2135"/>
      <c r="N8" s="2135"/>
      <c r="O8" s="2135"/>
      <c r="P8" s="3679"/>
      <c r="Q8" s="3680"/>
      <c r="R8" s="3683"/>
      <c r="S8" s="3684"/>
      <c r="T8" s="3685"/>
      <c r="U8" s="3686"/>
      <c r="V8" s="3668"/>
      <c r="W8" s="3668"/>
      <c r="X8" s="1568"/>
      <c r="Y8" s="3685"/>
      <c r="Z8" s="3686"/>
      <c r="AA8" s="3672"/>
      <c r="AB8" s="3672"/>
      <c r="AC8" s="3672"/>
    </row>
    <row r="9" spans="1:29" s="1220" customFormat="1" ht="15.75" thickBot="1">
      <c r="A9" s="2938"/>
      <c r="B9" s="2945" t="s">
        <v>530</v>
      </c>
      <c r="C9" s="519">
        <f>'数据-取费表'!B2</f>
        <v>43159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700" t="s">
        <v>531</v>
      </c>
      <c r="Q9" s="3702"/>
      <c r="R9" s="1569" t="s">
        <v>8</v>
      </c>
      <c r="S9" s="1570">
        <f t="shared" ref="S9:S17" si="0">F9</f>
        <v>0</v>
      </c>
      <c r="T9" s="1569" t="s">
        <v>8</v>
      </c>
      <c r="U9" s="1570">
        <f t="shared" ref="U9:U17" si="1">H9</f>
        <v>0</v>
      </c>
      <c r="V9" s="1569" t="s">
        <v>8</v>
      </c>
      <c r="W9" s="1570">
        <f t="shared" ref="W9:W17" si="2">J9</f>
        <v>0</v>
      </c>
      <c r="X9" s="1571"/>
      <c r="Y9" s="3700" t="s">
        <v>531</v>
      </c>
      <c r="Z9" s="3701"/>
      <c r="AA9" s="1572" t="e">
        <f>D9/F9</f>
        <v>#DIV/0!</v>
      </c>
      <c r="AB9" s="1572" t="e">
        <f>D9/H9</f>
        <v>#DIV/0!</v>
      </c>
      <c r="AC9" s="1572"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700" t="s">
        <v>534</v>
      </c>
      <c r="Q10" s="3701"/>
      <c r="R10" s="1569" t="s">
        <v>8</v>
      </c>
      <c r="S10" s="1570">
        <f t="shared" si="0"/>
        <v>0</v>
      </c>
      <c r="T10" s="1569" t="s">
        <v>8</v>
      </c>
      <c r="U10" s="1570">
        <f t="shared" si="1"/>
        <v>0</v>
      </c>
      <c r="V10" s="1569" t="s">
        <v>8</v>
      </c>
      <c r="W10" s="1570">
        <f t="shared" si="2"/>
        <v>0</v>
      </c>
      <c r="X10" s="1571"/>
      <c r="Y10" s="3700" t="s">
        <v>534</v>
      </c>
      <c r="Z10" s="3701"/>
      <c r="AA10" s="1572" t="e">
        <f t="shared" ref="AA10:AA42" si="3">D10/F10</f>
        <v>#DIV/0!</v>
      </c>
      <c r="AB10" s="1572" t="e">
        <f t="shared" ref="AB10:AB42" si="4">D10/H10</f>
        <v>#DIV/0!</v>
      </c>
      <c r="AC10" s="1572" t="e">
        <f t="shared" ref="AC10:AC42" si="5">D10/J10</f>
        <v>#DIV/0!</v>
      </c>
    </row>
    <row r="11" spans="1:29" s="1220" customFormat="1" ht="15">
      <c r="A11" s="2940"/>
      <c r="B11" s="2947"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67" t="s">
        <v>536</v>
      </c>
      <c r="Q11" s="1151" t="str">
        <f t="shared" ref="Q11:Q17" si="6">B11</f>
        <v>用途</v>
      </c>
      <c r="R11" s="1569" t="s">
        <v>8</v>
      </c>
      <c r="S11" s="1570">
        <f t="shared" si="0"/>
        <v>100</v>
      </c>
      <c r="T11" s="1569" t="s">
        <v>8</v>
      </c>
      <c r="U11" s="1570">
        <f t="shared" si="1"/>
        <v>100</v>
      </c>
      <c r="V11" s="1569" t="s">
        <v>8</v>
      </c>
      <c r="W11" s="1570">
        <f t="shared" si="2"/>
        <v>100</v>
      </c>
      <c r="X11" s="1571"/>
      <c r="Y11" s="3613" t="s">
        <v>537</v>
      </c>
      <c r="Z11" s="1150" t="str">
        <f t="shared" ref="Z11:Z17" si="7">Q11</f>
        <v>用途</v>
      </c>
      <c r="AA11" s="1572">
        <f t="shared" si="3"/>
        <v>1</v>
      </c>
      <c r="AB11" s="1572">
        <f t="shared" si="4"/>
        <v>1</v>
      </c>
      <c r="AC11" s="1572">
        <f t="shared" si="5"/>
        <v>1</v>
      </c>
    </row>
    <row r="12" spans="1:29" s="1338" customFormat="1" ht="27">
      <c r="A12" s="2941"/>
      <c r="B12" s="2946" t="s">
        <v>2759</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667"/>
      <c r="Q12" s="1151" t="str">
        <f t="shared" si="6"/>
        <v>土地使用年限（年）</v>
      </c>
      <c r="R12" s="1569" t="s">
        <v>8</v>
      </c>
      <c r="S12" s="1570">
        <f t="shared" si="0"/>
        <v>100</v>
      </c>
      <c r="T12" s="1569" t="s">
        <v>8</v>
      </c>
      <c r="U12" s="1570">
        <f t="shared" si="1"/>
        <v>100</v>
      </c>
      <c r="V12" s="1569" t="s">
        <v>8</v>
      </c>
      <c r="W12" s="1570">
        <f t="shared" si="2"/>
        <v>100</v>
      </c>
      <c r="X12" s="1571"/>
      <c r="Y12" s="3613"/>
      <c r="Z12" s="1150" t="str">
        <f t="shared" si="7"/>
        <v>土地使用年限（年）</v>
      </c>
      <c r="AA12" s="1572">
        <f t="shared" si="3"/>
        <v>1</v>
      </c>
      <c r="AB12" s="1572">
        <f t="shared" si="4"/>
        <v>1</v>
      </c>
      <c r="AC12" s="1572">
        <f t="shared" si="5"/>
        <v>1</v>
      </c>
    </row>
    <row r="13" spans="1:29" ht="15">
      <c r="A13" s="2942"/>
      <c r="B13" s="2946"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67"/>
      <c r="Q13" s="1151" t="str">
        <f t="shared" si="6"/>
        <v>容积率</v>
      </c>
      <c r="R13" s="1569" t="s">
        <v>8</v>
      </c>
      <c r="S13" s="1570" t="e">
        <f t="shared" si="0"/>
        <v>#N/A</v>
      </c>
      <c r="T13" s="1569" t="s">
        <v>8</v>
      </c>
      <c r="U13" s="1570" t="e">
        <f t="shared" si="1"/>
        <v>#N/A</v>
      </c>
      <c r="V13" s="1569" t="s">
        <v>8</v>
      </c>
      <c r="W13" s="1570" t="e">
        <f t="shared" si="2"/>
        <v>#N/A</v>
      </c>
      <c r="X13" s="1571"/>
      <c r="Y13" s="3613"/>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67"/>
      <c r="Q14" s="1151">
        <f t="shared" si="6"/>
        <v>111</v>
      </c>
      <c r="R14" s="1569" t="s">
        <v>8</v>
      </c>
      <c r="S14" s="1570">
        <f t="shared" si="0"/>
        <v>100</v>
      </c>
      <c r="T14" s="1569" t="s">
        <v>8</v>
      </c>
      <c r="U14" s="1570">
        <f t="shared" si="1"/>
        <v>100</v>
      </c>
      <c r="V14" s="1569" t="s">
        <v>8</v>
      </c>
      <c r="W14" s="1570">
        <f t="shared" si="2"/>
        <v>100</v>
      </c>
      <c r="X14" s="1571"/>
      <c r="Y14" s="3613"/>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67"/>
      <c r="Q15" s="1151">
        <f t="shared" si="6"/>
        <v>111</v>
      </c>
      <c r="R15" s="1569" t="s">
        <v>8</v>
      </c>
      <c r="S15" s="1570">
        <f t="shared" si="0"/>
        <v>100</v>
      </c>
      <c r="T15" s="1569" t="s">
        <v>8</v>
      </c>
      <c r="U15" s="1570">
        <f t="shared" si="1"/>
        <v>100</v>
      </c>
      <c r="V15" s="1569" t="s">
        <v>8</v>
      </c>
      <c r="W15" s="1570">
        <f t="shared" si="2"/>
        <v>100</v>
      </c>
      <c r="X15" s="1571"/>
      <c r="Y15" s="3613"/>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67"/>
      <c r="Q16" s="1151">
        <f t="shared" si="6"/>
        <v>111</v>
      </c>
      <c r="R16" s="1569" t="s">
        <v>8</v>
      </c>
      <c r="S16" s="1570">
        <f t="shared" si="0"/>
        <v>100</v>
      </c>
      <c r="T16" s="1569" t="s">
        <v>8</v>
      </c>
      <c r="U16" s="1570">
        <f t="shared" si="1"/>
        <v>100</v>
      </c>
      <c r="V16" s="1569" t="s">
        <v>8</v>
      </c>
      <c r="W16" s="1570">
        <f t="shared" si="2"/>
        <v>100</v>
      </c>
      <c r="X16" s="1571"/>
      <c r="Y16" s="3613"/>
      <c r="Z16" s="1150">
        <f t="shared" si="7"/>
        <v>111</v>
      </c>
      <c r="AA16" s="1572">
        <f t="shared" si="3"/>
        <v>1</v>
      </c>
      <c r="AB16" s="1572">
        <f t="shared" si="4"/>
        <v>1</v>
      </c>
      <c r="AC16" s="1572">
        <f t="shared" si="5"/>
        <v>1</v>
      </c>
    </row>
    <row r="17" spans="1:29" ht="57">
      <c r="A17" s="2936" t="s">
        <v>2756</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703" t="s">
        <v>541</v>
      </c>
      <c r="Q17" s="1573" t="str">
        <f t="shared" si="6"/>
        <v>产业集聚程度</v>
      </c>
      <c r="R17" s="1574" t="s">
        <v>8</v>
      </c>
      <c r="S17" s="1575">
        <f t="shared" si="0"/>
        <v>100</v>
      </c>
      <c r="T17" s="1574" t="s">
        <v>8</v>
      </c>
      <c r="U17" s="1575">
        <f t="shared" si="1"/>
        <v>100</v>
      </c>
      <c r="V17" s="1574" t="s">
        <v>8</v>
      </c>
      <c r="W17" s="1575">
        <f t="shared" si="2"/>
        <v>100</v>
      </c>
      <c r="X17" s="1568"/>
      <c r="Y17" s="3703"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704"/>
      <c r="Q18" s="1573"/>
      <c r="R18" s="1574"/>
      <c r="S18" s="1575"/>
      <c r="T18" s="1574"/>
      <c r="U18" s="1575"/>
      <c r="V18" s="1574"/>
      <c r="W18" s="1575"/>
      <c r="X18" s="1568"/>
      <c r="Y18" s="3704"/>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704"/>
      <c r="Q19" s="1573" t="str">
        <f>B19</f>
        <v>交通便捷度</v>
      </c>
      <c r="R19" s="1574" t="s">
        <v>8</v>
      </c>
      <c r="S19" s="1575">
        <f>F19</f>
        <v>100</v>
      </c>
      <c r="T19" s="1574" t="s">
        <v>8</v>
      </c>
      <c r="U19" s="1575">
        <f>H19</f>
        <v>100</v>
      </c>
      <c r="V19" s="1574" t="s">
        <v>8</v>
      </c>
      <c r="W19" s="1575">
        <f>J19</f>
        <v>100</v>
      </c>
      <c r="X19" s="1568"/>
      <c r="Y19" s="370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704"/>
      <c r="Q20" s="1573"/>
      <c r="R20" s="1574"/>
      <c r="S20" s="1575"/>
      <c r="T20" s="1574"/>
      <c r="U20" s="1575"/>
      <c r="V20" s="1574"/>
      <c r="W20" s="1575"/>
      <c r="X20" s="1568"/>
      <c r="Y20" s="3704"/>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704"/>
      <c r="Q21" s="1573" t="str">
        <f t="shared" ref="Q21:Q35" si="8">B21</f>
        <v>区域土地利用方向</v>
      </c>
      <c r="R21" s="1574" t="s">
        <v>8</v>
      </c>
      <c r="S21" s="1575">
        <f>F21</f>
        <v>100</v>
      </c>
      <c r="T21" s="1574" t="s">
        <v>8</v>
      </c>
      <c r="U21" s="1575">
        <f>H21</f>
        <v>100</v>
      </c>
      <c r="V21" s="1574" t="s">
        <v>8</v>
      </c>
      <c r="W21" s="1575">
        <f>J21</f>
        <v>100</v>
      </c>
      <c r="X21" s="1568"/>
      <c r="Y21" s="370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704"/>
      <c r="Q22" s="1573"/>
      <c r="R22" s="1574"/>
      <c r="S22" s="1575"/>
      <c r="T22" s="1574"/>
      <c r="U22" s="1575"/>
      <c r="V22" s="1574"/>
      <c r="W22" s="1575"/>
      <c r="X22" s="1568"/>
      <c r="Y22" s="3704"/>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704"/>
      <c r="Q23" s="1573" t="str">
        <f t="shared" si="8"/>
        <v>环境状况</v>
      </c>
      <c r="R23" s="1574" t="s">
        <v>8</v>
      </c>
      <c r="S23" s="1575">
        <f>F23</f>
        <v>100</v>
      </c>
      <c r="T23" s="1574" t="s">
        <v>8</v>
      </c>
      <c r="U23" s="1575">
        <f>H23</f>
        <v>100</v>
      </c>
      <c r="V23" s="1574" t="s">
        <v>8</v>
      </c>
      <c r="W23" s="1575">
        <f>J23</f>
        <v>100</v>
      </c>
      <c r="X23" s="1568"/>
      <c r="Y23" s="370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704"/>
      <c r="Q24" s="1573"/>
      <c r="R24" s="1574"/>
      <c r="S24" s="1575"/>
      <c r="T24" s="1574"/>
      <c r="U24" s="1575"/>
      <c r="V24" s="1574"/>
      <c r="W24" s="1575"/>
      <c r="X24" s="1568"/>
      <c r="Y24" s="3704"/>
      <c r="Z24" s="1576"/>
      <c r="AA24" s="1577">
        <v>1</v>
      </c>
      <c r="AB24" s="1577">
        <v>1</v>
      </c>
      <c r="AC24" s="1577">
        <v>1</v>
      </c>
    </row>
    <row r="25" spans="1:29" s="1220" customFormat="1" ht="42.75">
      <c r="A25" s="577"/>
      <c r="B25" s="2618"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704"/>
      <c r="Q25" s="1151" t="str">
        <f t="shared" si="8"/>
        <v>公共配套设施</v>
      </c>
      <c r="R25" s="1569" t="s">
        <v>8</v>
      </c>
      <c r="S25" s="1570">
        <f>F25</f>
        <v>100</v>
      </c>
      <c r="T25" s="1569" t="s">
        <v>8</v>
      </c>
      <c r="U25" s="1570">
        <f>H25</f>
        <v>100</v>
      </c>
      <c r="V25" s="1569" t="s">
        <v>8</v>
      </c>
      <c r="W25" s="1570">
        <f>J25</f>
        <v>100</v>
      </c>
      <c r="X25" s="1571"/>
      <c r="Y25" s="3704"/>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704"/>
      <c r="Q26" s="1151"/>
      <c r="R26" s="1569"/>
      <c r="S26" s="1570"/>
      <c r="T26" s="1569"/>
      <c r="U26" s="1570"/>
      <c r="V26" s="1569"/>
      <c r="W26" s="1570"/>
      <c r="X26" s="1571"/>
      <c r="Y26" s="3704"/>
      <c r="Z26" s="1150"/>
      <c r="AA26" s="1572">
        <v>1</v>
      </c>
      <c r="AB26" s="1572">
        <v>1</v>
      </c>
      <c r="AC26" s="1572">
        <v>1</v>
      </c>
    </row>
    <row r="27" spans="1:29" s="1220" customFormat="1" ht="28.5">
      <c r="A27" s="577"/>
      <c r="B27" s="2618"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704"/>
      <c r="Q27" s="2603" t="str">
        <f t="shared" ref="Q27" si="9">B27</f>
        <v>基础设施水平</v>
      </c>
      <c r="R27" s="1569" t="s">
        <v>8</v>
      </c>
      <c r="S27" s="1570">
        <f>F27</f>
        <v>100</v>
      </c>
      <c r="T27" s="1569" t="s">
        <v>8</v>
      </c>
      <c r="U27" s="1570">
        <f>H27</f>
        <v>100</v>
      </c>
      <c r="V27" s="1569" t="s">
        <v>8</v>
      </c>
      <c r="W27" s="1570">
        <f>J27</f>
        <v>100</v>
      </c>
      <c r="X27" s="1571"/>
      <c r="Y27" s="3704"/>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704"/>
      <c r="Q28" s="2603"/>
      <c r="R28" s="1569"/>
      <c r="S28" s="1570"/>
      <c r="T28" s="1569"/>
      <c r="U28" s="1570"/>
      <c r="V28" s="1569"/>
      <c r="W28" s="1570"/>
      <c r="X28" s="1571"/>
      <c r="Y28" s="3704"/>
      <c r="Z28" s="2600"/>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70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04"/>
      <c r="Z29" s="1576" t="str">
        <f t="shared" ref="Z29:Z42" si="13">Q29</f>
        <v>临街状况</v>
      </c>
      <c r="AA29" s="1577">
        <f t="shared" si="3"/>
        <v>1</v>
      </c>
      <c r="AB29" s="1577">
        <f t="shared" si="4"/>
        <v>1</v>
      </c>
      <c r="AC29" s="1577">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704"/>
      <c r="Q30" s="1573" t="str">
        <f t="shared" si="8"/>
        <v>毗邻道路的类型与等级</v>
      </c>
      <c r="R30" s="1574" t="s">
        <v>8</v>
      </c>
      <c r="S30" s="1575">
        <f t="shared" si="10"/>
        <v>100</v>
      </c>
      <c r="T30" s="1574" t="s">
        <v>8</v>
      </c>
      <c r="U30" s="1575">
        <f t="shared" si="11"/>
        <v>100</v>
      </c>
      <c r="V30" s="1574" t="s">
        <v>8</v>
      </c>
      <c r="W30" s="1575">
        <f t="shared" si="12"/>
        <v>100</v>
      </c>
      <c r="X30" s="1568"/>
      <c r="Y30" s="3704"/>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704"/>
      <c r="Q31" s="1573"/>
      <c r="R31" s="1574"/>
      <c r="S31" s="1575"/>
      <c r="T31" s="1574"/>
      <c r="U31" s="1575"/>
      <c r="V31" s="1574"/>
      <c r="W31" s="1575"/>
      <c r="X31" s="1568"/>
      <c r="Y31" s="3704"/>
      <c r="Z31" s="1576"/>
      <c r="AA31" s="1577">
        <v>1</v>
      </c>
      <c r="AB31" s="1577">
        <v>1</v>
      </c>
      <c r="AC31" s="1577">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704"/>
      <c r="Q32" s="1573" t="str">
        <f t="shared" si="8"/>
        <v>土地级别</v>
      </c>
      <c r="R32" s="1574" t="s">
        <v>8</v>
      </c>
      <c r="S32" s="1575">
        <f t="shared" si="10"/>
        <v>100</v>
      </c>
      <c r="T32" s="1574" t="s">
        <v>8</v>
      </c>
      <c r="U32" s="1575">
        <f t="shared" si="11"/>
        <v>100</v>
      </c>
      <c r="V32" s="1574" t="s">
        <v>8</v>
      </c>
      <c r="W32" s="1575">
        <f t="shared" si="12"/>
        <v>100</v>
      </c>
      <c r="X32" s="1568"/>
      <c r="Y32" s="370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704"/>
      <c r="Q33" s="1573">
        <f t="shared" si="8"/>
        <v>111</v>
      </c>
      <c r="R33" s="1574" t="s">
        <v>8</v>
      </c>
      <c r="S33" s="1575">
        <f t="shared" si="10"/>
        <v>100</v>
      </c>
      <c r="T33" s="1574" t="s">
        <v>8</v>
      </c>
      <c r="U33" s="1575">
        <f t="shared" si="11"/>
        <v>100</v>
      </c>
      <c r="V33" s="1574" t="s">
        <v>8</v>
      </c>
      <c r="W33" s="1575">
        <f t="shared" si="12"/>
        <v>100</v>
      </c>
      <c r="X33" s="1568"/>
      <c r="Y33" s="370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705" t="s">
        <v>551</v>
      </c>
      <c r="Q34" s="1573">
        <f t="shared" si="8"/>
        <v>111</v>
      </c>
      <c r="R34" s="1574" t="s">
        <v>8</v>
      </c>
      <c r="S34" s="1575">
        <f t="shared" si="10"/>
        <v>100</v>
      </c>
      <c r="T34" s="1574" t="s">
        <v>8</v>
      </c>
      <c r="U34" s="1575">
        <f t="shared" si="11"/>
        <v>100</v>
      </c>
      <c r="V34" s="1574" t="s">
        <v>8</v>
      </c>
      <c r="W34" s="1575">
        <f t="shared" si="12"/>
        <v>100</v>
      </c>
      <c r="X34" s="1568"/>
      <c r="Y34" s="3706" t="s">
        <v>551</v>
      </c>
      <c r="Z34" s="1576">
        <f t="shared" si="13"/>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706"/>
      <c r="Q35" s="1573">
        <f t="shared" si="8"/>
        <v>111</v>
      </c>
      <c r="R35" s="1578" t="s">
        <v>8</v>
      </c>
      <c r="S35" s="1579">
        <f t="shared" si="10"/>
        <v>100</v>
      </c>
      <c r="T35" s="1578" t="s">
        <v>8</v>
      </c>
      <c r="U35" s="1579">
        <f t="shared" si="11"/>
        <v>100</v>
      </c>
      <c r="V35" s="1578" t="s">
        <v>8</v>
      </c>
      <c r="W35" s="1579">
        <f t="shared" si="12"/>
        <v>100</v>
      </c>
      <c r="X35" s="1580"/>
      <c r="Y35" s="3706"/>
      <c r="Z35" s="1581">
        <f t="shared" si="13"/>
        <v>111</v>
      </c>
      <c r="AA35" s="1577">
        <f t="shared" si="3"/>
        <v>1</v>
      </c>
      <c r="AB35" s="1577">
        <f t="shared" si="4"/>
        <v>1</v>
      </c>
      <c r="AC35" s="1577">
        <f t="shared" si="5"/>
        <v>1</v>
      </c>
    </row>
    <row r="36" spans="1:29" ht="15">
      <c r="A36" s="2933" t="s">
        <v>2757</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706"/>
      <c r="Q36" s="1573" t="str">
        <f>B36</f>
        <v>宗地面积</v>
      </c>
      <c r="R36" s="1574" t="s">
        <v>8</v>
      </c>
      <c r="S36" s="1575" t="e">
        <f t="shared" si="10"/>
        <v>#N/A</v>
      </c>
      <c r="T36" s="1574" t="s">
        <v>8</v>
      </c>
      <c r="U36" s="1575" t="e">
        <f t="shared" si="11"/>
        <v>#N/A</v>
      </c>
      <c r="V36" s="1574" t="s">
        <v>8</v>
      </c>
      <c r="W36" s="1575" t="e">
        <f t="shared" si="12"/>
        <v>#N/A</v>
      </c>
      <c r="X36" s="1568"/>
      <c r="Y36" s="3706"/>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706"/>
      <c r="Q37" s="1573" t="str">
        <f t="shared" ref="Q37:Q42" si="14">B37</f>
        <v>宗地形状</v>
      </c>
      <c r="R37" s="1574" t="s">
        <v>8</v>
      </c>
      <c r="S37" s="1575">
        <f t="shared" si="10"/>
        <v>100</v>
      </c>
      <c r="T37" s="1574" t="s">
        <v>8</v>
      </c>
      <c r="U37" s="1575">
        <f t="shared" si="11"/>
        <v>100</v>
      </c>
      <c r="V37" s="1574" t="s">
        <v>8</v>
      </c>
      <c r="W37" s="1575">
        <f t="shared" si="12"/>
        <v>100</v>
      </c>
      <c r="X37" s="1568"/>
      <c r="Y37" s="3706"/>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706"/>
      <c r="Q38" s="1573" t="str">
        <f t="shared" si="14"/>
        <v>宗地开发程度</v>
      </c>
      <c r="R38" s="1569" t="s">
        <v>8</v>
      </c>
      <c r="S38" s="1570">
        <f t="shared" si="10"/>
        <v>100</v>
      </c>
      <c r="T38" s="1569" t="s">
        <v>8</v>
      </c>
      <c r="U38" s="1570">
        <f t="shared" si="11"/>
        <v>100</v>
      </c>
      <c r="V38" s="1569" t="s">
        <v>8</v>
      </c>
      <c r="W38" s="1570">
        <f t="shared" si="12"/>
        <v>100</v>
      </c>
      <c r="X38" s="1571"/>
      <c r="Y38" s="3706"/>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06" t="s">
        <v>602</v>
      </c>
      <c r="Q39" s="1573" t="str">
        <f t="shared" si="14"/>
        <v>工程地质条件</v>
      </c>
      <c r="R39" s="1574" t="s">
        <v>8</v>
      </c>
      <c r="S39" s="1575">
        <f t="shared" si="10"/>
        <v>100</v>
      </c>
      <c r="T39" s="1574" t="s">
        <v>8</v>
      </c>
      <c r="U39" s="1575">
        <f t="shared" si="11"/>
        <v>100</v>
      </c>
      <c r="V39" s="1574" t="s">
        <v>8</v>
      </c>
      <c r="W39" s="1575">
        <f t="shared" si="12"/>
        <v>100</v>
      </c>
      <c r="X39" s="1568"/>
      <c r="Y39" s="3706"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706"/>
      <c r="Q40" s="1573">
        <f t="shared" si="14"/>
        <v>111</v>
      </c>
      <c r="R40" s="1574" t="s">
        <v>8</v>
      </c>
      <c r="S40" s="1575">
        <f t="shared" si="10"/>
        <v>100</v>
      </c>
      <c r="T40" s="1574" t="s">
        <v>8</v>
      </c>
      <c r="U40" s="1575">
        <f t="shared" si="11"/>
        <v>100</v>
      </c>
      <c r="V40" s="1574" t="s">
        <v>8</v>
      </c>
      <c r="W40" s="1575">
        <f t="shared" si="12"/>
        <v>100</v>
      </c>
      <c r="X40" s="1568"/>
      <c r="Y40" s="370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706"/>
      <c r="Q41" s="1573">
        <f t="shared" si="14"/>
        <v>111</v>
      </c>
      <c r="R41" s="1574" t="s">
        <v>8</v>
      </c>
      <c r="S41" s="1575">
        <f t="shared" si="10"/>
        <v>100</v>
      </c>
      <c r="T41" s="1574" t="s">
        <v>8</v>
      </c>
      <c r="U41" s="1575">
        <f t="shared" si="11"/>
        <v>100</v>
      </c>
      <c r="V41" s="1574" t="s">
        <v>8</v>
      </c>
      <c r="W41" s="1575">
        <f t="shared" si="12"/>
        <v>100</v>
      </c>
      <c r="X41" s="1568"/>
      <c r="Y41" s="370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706"/>
      <c r="Q42" s="1573">
        <f t="shared" si="14"/>
        <v>111</v>
      </c>
      <c r="R42" s="1578" t="s">
        <v>8</v>
      </c>
      <c r="S42" s="1579">
        <f t="shared" si="10"/>
        <v>100</v>
      </c>
      <c r="T42" s="1578" t="s">
        <v>8</v>
      </c>
      <c r="U42" s="1579">
        <f t="shared" si="11"/>
        <v>100</v>
      </c>
      <c r="V42" s="1578" t="s">
        <v>8</v>
      </c>
      <c r="W42" s="1579">
        <f t="shared" si="12"/>
        <v>100</v>
      </c>
      <c r="X42" s="1580"/>
      <c r="Y42" s="3706"/>
      <c r="Z42" s="1581">
        <f t="shared" si="13"/>
        <v>111</v>
      </c>
      <c r="AA42" s="1577">
        <f t="shared" si="3"/>
        <v>1</v>
      </c>
      <c r="AB42" s="1577">
        <f t="shared" si="4"/>
        <v>1</v>
      </c>
      <c r="AC42" s="1577">
        <f t="shared" si="5"/>
        <v>1</v>
      </c>
    </row>
    <row r="43" spans="1:29" ht="15">
      <c r="A43" s="607" t="s">
        <v>557</v>
      </c>
      <c r="B43" s="608" t="s">
        <v>2933</v>
      </c>
      <c r="C43" s="609" t="s">
        <v>1</v>
      </c>
      <c r="D43" s="610"/>
      <c r="E43" s="611"/>
      <c r="F43" s="612"/>
      <c r="G43" s="613"/>
      <c r="H43" s="614"/>
      <c r="I43" s="611"/>
      <c r="J43" s="614"/>
      <c r="K43" s="1340"/>
      <c r="L43" s="2145"/>
      <c r="M43" s="2135"/>
      <c r="N43" s="2135"/>
      <c r="O43" s="2146"/>
      <c r="P43" s="3667" t="str">
        <f>A43</f>
        <v>成交单价</v>
      </c>
      <c r="Q43" s="3667"/>
      <c r="R43" s="3668">
        <f>E43</f>
        <v>0</v>
      </c>
      <c r="S43" s="3668"/>
      <c r="T43" s="3668">
        <f>G43</f>
        <v>0</v>
      </c>
      <c r="U43" s="3668"/>
      <c r="V43" s="3668">
        <f>I43</f>
        <v>0</v>
      </c>
      <c r="W43" s="3668"/>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667" t="str">
        <f>A44</f>
        <v>比较价格（元/平方米）</v>
      </c>
      <c r="Q44" s="3667"/>
      <c r="R44" s="3669" t="e">
        <f>ROUND(PRODUCT(R43,AA9:AA42),0)</f>
        <v>#DIV/0!</v>
      </c>
      <c r="S44" s="3669"/>
      <c r="T44" s="3669" t="e">
        <f>ROUND(PRODUCT(T43,AB9:AB42),0)</f>
        <v>#DIV/0!</v>
      </c>
      <c r="U44" s="3669"/>
      <c r="V44" s="3669" t="e">
        <f>ROUND(PRODUCT(V43,AC9:AC42),0)</f>
        <v>#DIV/0!</v>
      </c>
      <c r="W44" s="3669"/>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5"/>
      <c r="M45" s="2135"/>
      <c r="N45" s="2135"/>
      <c r="O45" s="2146"/>
      <c r="P45" s="3664" t="str">
        <f>A45</f>
        <v>估价对象XX用房的比较价格（楼面单价，元/平方米）</v>
      </c>
      <c r="Q45" s="3665"/>
      <c r="R45" s="3666" t="e">
        <f>ROUND(AVERAGE(R44:V44),0)</f>
        <v>#DIV/0!</v>
      </c>
      <c r="S45" s="3666"/>
      <c r="T45" s="3666"/>
      <c r="U45" s="3666"/>
      <c r="V45" s="3666"/>
      <c r="W45" s="366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1726</v>
      </c>
      <c r="D52" s="2228" t="s">
        <v>2294</v>
      </c>
      <c r="E52" s="631" t="s">
        <v>563</v>
      </c>
      <c r="F52" s="1952" t="s">
        <v>564</v>
      </c>
      <c r="G52" s="3714" t="s">
        <v>2285</v>
      </c>
      <c r="H52" s="3715"/>
      <c r="I52" s="1953" t="s">
        <v>1949</v>
      </c>
      <c r="J52" s="1556" t="str">
        <f>项目基本情况!F41</f>
        <v>苏州市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141864.26</v>
      </c>
      <c r="F53" s="1951" t="e">
        <f t="shared" ref="F53:F62" si="15">ROUND(B53*E53/10000,0)</f>
        <v>#DIV/0!</v>
      </c>
      <c r="G53" s="3716"/>
      <c r="H53" s="371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71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71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71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71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2327</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2295</v>
      </c>
      <c r="E63" s="643">
        <f>IF(B43="楼面地价",SUM(E53:E62),'数据-汇总表'!D3)</f>
        <v>56745.7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2018-2-1</v>
      </c>
      <c r="D65" s="2825">
        <f>EDATE(C65,-3)</f>
        <v>43040</v>
      </c>
      <c r="E65" s="2825">
        <f t="shared" ref="E65:N65" si="18">EDATE(D65,-3)</f>
        <v>42948</v>
      </c>
      <c r="F65" s="2825">
        <f t="shared" si="18"/>
        <v>42856</v>
      </c>
      <c r="G65" s="2825">
        <f t="shared" si="18"/>
        <v>42767</v>
      </c>
      <c r="H65" s="2825">
        <f t="shared" si="18"/>
        <v>42675</v>
      </c>
      <c r="I65" s="2825">
        <f t="shared" si="18"/>
        <v>42583</v>
      </c>
      <c r="J65" s="2825">
        <f t="shared" si="18"/>
        <v>42491</v>
      </c>
      <c r="K65" s="2825">
        <f t="shared" si="18"/>
        <v>42401</v>
      </c>
      <c r="L65" s="2825">
        <f t="shared" si="18"/>
        <v>42309</v>
      </c>
      <c r="M65" s="2825">
        <f t="shared" si="18"/>
        <v>42217</v>
      </c>
      <c r="N65" s="2825">
        <f t="shared" si="18"/>
        <v>42125</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2535</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4" t="s">
        <v>2651</v>
      </c>
      <c r="B68" s="479" t="str">
        <f>"北京市平均增长率"&amp;TEXT(基准地价!P24,"0.00%")</f>
        <v>北京市平均增长率1.31%</v>
      </c>
      <c r="C68" s="894">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2550</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2552</v>
      </c>
      <c r="C95" s="2623" t="s">
        <v>2553</v>
      </c>
      <c r="D95" s="2623" t="s">
        <v>2554</v>
      </c>
      <c r="E95" s="2623" t="s">
        <v>2555</v>
      </c>
      <c r="F95" s="2623" t="s">
        <v>2556</v>
      </c>
      <c r="G95" s="2623"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2426</v>
      </c>
      <c r="D1" s="1522">
        <f>SUM(D29:D30,D33:D39)</f>
        <v>0</v>
      </c>
      <c r="E1" s="1407" t="s">
        <v>2427</v>
      </c>
      <c r="F1" s="2477"/>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62" t="s">
        <v>2764</v>
      </c>
      <c r="S1" s="2962" t="s">
        <v>2765</v>
      </c>
      <c r="T1" s="2962" t="s">
        <v>2786</v>
      </c>
      <c r="U1" s="2962" t="s">
        <v>2787</v>
      </c>
      <c r="V1" s="2962" t="s">
        <v>2788</v>
      </c>
      <c r="W1" s="2190"/>
      <c r="X1" s="2190"/>
      <c r="Y1" s="2190"/>
      <c r="Z1" s="2190"/>
      <c r="AA1" s="2190"/>
      <c r="AB1" s="2190"/>
      <c r="AC1" s="2191"/>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2" t="s">
        <v>1689</v>
      </c>
      <c r="B3" s="1038" t="e">
        <f>ROUND(B2*10000/D1,0)</f>
        <v>#DIV/0!</v>
      </c>
      <c r="C3" s="1408" t="s">
        <v>928</v>
      </c>
      <c r="D3" s="1409" t="s">
        <v>929</v>
      </c>
      <c r="E3" s="1413"/>
      <c r="F3" s="1414" t="s">
        <v>2935</v>
      </c>
      <c r="G3" s="1039">
        <f>IF(F3="宗地容积率",'数据-汇总表'!I4,IF(F3="估价对象容积率",'数据-汇总表'!I6,'数据-汇总表'!I7))</f>
        <v>2.5</v>
      </c>
      <c r="H3" s="1415" t="s">
        <v>930</v>
      </c>
      <c r="I3" s="1040">
        <v>8</v>
      </c>
      <c r="J3" s="1411" t="s">
        <v>931</v>
      </c>
      <c r="K3" s="1402"/>
      <c r="L3" s="1886" t="s">
        <v>2241</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20"/>
      <c r="AE6" s="1420"/>
      <c r="AF6" s="1420"/>
      <c r="AG6" s="1420"/>
      <c r="AH6" s="1420"/>
      <c r="AI6" s="1420"/>
      <c r="AJ6" s="1421"/>
    </row>
    <row r="7" spans="1:39" ht="24">
      <c r="A7" s="3728" t="str">
        <f>IF(E2="商业",IF(C8="不临58条商业街","",2),"")</f>
        <v/>
      </c>
      <c r="B7" s="1428" t="s">
        <v>933</v>
      </c>
      <c r="C7" s="1043" t="e">
        <f>IF(C8="不临58条商业街",1,ROUND(1+(1.6*E8+1.2*E9+0.8*E10+0.4*E11)*C9,4))</f>
        <v>#DIV/0!</v>
      </c>
      <c r="D7" s="1429" t="s">
        <v>934</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2767</v>
      </c>
      <c r="X7" s="2953">
        <f>G2</f>
        <v>0</v>
      </c>
      <c r="Y7" s="2953" t="s">
        <v>2768</v>
      </c>
      <c r="Z7" s="2954">
        <f>G3</f>
        <v>2.5</v>
      </c>
      <c r="AA7" s="2193"/>
      <c r="AB7" s="2193"/>
      <c r="AC7" s="2194"/>
      <c r="AD7" s="2955"/>
      <c r="AE7" s="2955"/>
      <c r="AF7" s="2955"/>
      <c r="AG7" s="2955"/>
      <c r="AH7" s="2955"/>
      <c r="AI7" s="2955"/>
      <c r="AJ7" s="2956"/>
    </row>
    <row r="8" spans="1:39" ht="15">
      <c r="A8" s="3729"/>
      <c r="B8" s="1415" t="s">
        <v>935</v>
      </c>
      <c r="C8" s="1530"/>
      <c r="D8" s="1045" t="s">
        <v>936</v>
      </c>
      <c r="E8" s="1046" t="e">
        <f>ROUND(C11/E7,4)</f>
        <v>#DIV/0!</v>
      </c>
      <c r="F8" s="1433" t="s">
        <v>937</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20" t="s">
        <v>2785</v>
      </c>
      <c r="X8" s="3721"/>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29"/>
      <c r="B9" s="1415" t="s">
        <v>938</v>
      </c>
      <c r="C9" s="1047">
        <f>SUMIF(修正!C59:C119,C8,修正!E59:E119)</f>
        <v>0</v>
      </c>
      <c r="D9" s="1048" t="s">
        <v>939</v>
      </c>
      <c r="E9" s="1048" t="e">
        <f>ROUND(C11/E7,4)</f>
        <v>#DIV/0!</v>
      </c>
      <c r="F9" s="1433" t="s">
        <v>940</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19" t="s">
        <v>2781</v>
      </c>
      <c r="X9" s="2957" t="s">
        <v>2782</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29"/>
      <c r="B10" s="1415" t="s">
        <v>941</v>
      </c>
      <c r="C10" s="1048">
        <f>SUMIF(修正!C59:C119,C8,修正!F59:F119)</f>
        <v>0</v>
      </c>
      <c r="D10" s="1048" t="s">
        <v>942</v>
      </c>
      <c r="E10" s="1048" t="e">
        <f>ROUND(C11/E7,4)</f>
        <v>#DIV/0!</v>
      </c>
      <c r="F10" s="1433" t="s">
        <v>943</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19"/>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29"/>
      <c r="B11" s="1436" t="s">
        <v>944</v>
      </c>
      <c r="C11" s="1049">
        <f>C10/4</f>
        <v>0</v>
      </c>
      <c r="D11" s="1049" t="s">
        <v>945</v>
      </c>
      <c r="E11" s="1049" t="e">
        <f>ROUND(C11/E7,4)</f>
        <v>#DIV/0!</v>
      </c>
      <c r="F11" s="1437" t="s">
        <v>946</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19" t="s">
        <v>2783</v>
      </c>
      <c r="X11" s="1048" t="s">
        <v>2768</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728" t="s">
        <v>1873</v>
      </c>
      <c r="B12" s="1440" t="s">
        <v>947</v>
      </c>
      <c r="C12" s="1043">
        <f>ROUND(C15*D15*E15*F15*G15*H15*I15*J15,4)</f>
        <v>1</v>
      </c>
      <c r="D12" s="1441" t="s">
        <v>948</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19"/>
      <c r="X12" s="2960" t="s">
        <v>2784</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30"/>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3">
        <v>12</v>
      </c>
      <c r="S13" s="2952"/>
      <c r="T13" s="2963" t="e">
        <f t="shared" si="0"/>
        <v>#DIV/0!</v>
      </c>
      <c r="U13" s="2952"/>
      <c r="V13" s="2963" t="e">
        <f t="shared" si="1"/>
        <v>#DIV/0!</v>
      </c>
      <c r="W13" s="3719"/>
      <c r="X13" s="2960"/>
      <c r="Y13" s="2959">
        <f>(-0.163*(Y12^2)-0.59*Y12+7617)*(10^(-4))/Y11</f>
        <v>0.30468000000000001</v>
      </c>
      <c r="Z13" s="2959">
        <f t="shared" ref="Z13:AJ13" si="5">(-0.163*(Z12^2)-0.59*Z12+7617)*(10^(-4))/Z11</f>
        <v>0.30468000000000001</v>
      </c>
      <c r="AA13" s="2959">
        <f t="shared" si="5"/>
        <v>0.30468000000000001</v>
      </c>
      <c r="AB13" s="2959">
        <f t="shared" si="5"/>
        <v>0.30468000000000001</v>
      </c>
      <c r="AC13" s="2959">
        <f t="shared" si="5"/>
        <v>0.30468000000000001</v>
      </c>
      <c r="AD13" s="2959">
        <f t="shared" si="5"/>
        <v>0.30468000000000001</v>
      </c>
      <c r="AE13" s="2959">
        <f t="shared" si="5"/>
        <v>0.30468000000000001</v>
      </c>
      <c r="AF13" s="2959">
        <f t="shared" si="5"/>
        <v>0.30468000000000001</v>
      </c>
      <c r="AG13" s="2959">
        <f t="shared" si="5"/>
        <v>0.30468000000000001</v>
      </c>
      <c r="AH13" s="2959">
        <f t="shared" si="5"/>
        <v>0.30468000000000001</v>
      </c>
      <c r="AI13" s="2959">
        <f t="shared" si="5"/>
        <v>0.30468000000000001</v>
      </c>
      <c r="AJ13" s="2959">
        <f t="shared" si="5"/>
        <v>0.30468000000000001</v>
      </c>
    </row>
    <row r="14" spans="1:39" ht="12.75" customHeight="1" thickBot="1">
      <c r="A14" s="3730"/>
      <c r="B14" s="1452"/>
      <c r="C14" s="1453"/>
      <c r="D14" s="1454"/>
      <c r="E14" s="1454"/>
      <c r="F14" s="1455"/>
      <c r="G14" s="1456" t="s">
        <v>950</v>
      </c>
      <c r="H14" s="1457"/>
      <c r="I14" s="1458"/>
      <c r="J14" s="1459"/>
      <c r="K14" s="1402"/>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31"/>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0"/>
      <c r="R15" s="2963">
        <v>14</v>
      </c>
      <c r="S15" s="2952"/>
      <c r="T15" s="2963" t="e">
        <f t="shared" si="0"/>
        <v>#DIV/0!</v>
      </c>
      <c r="U15" s="2952"/>
      <c r="V15" s="2963" t="e">
        <f t="shared" si="1"/>
        <v>#DIV/0!</v>
      </c>
      <c r="W15" s="2190"/>
      <c r="X15" s="2190"/>
      <c r="Y15" s="2190"/>
      <c r="Z15" s="2190"/>
      <c r="AA15" s="2190"/>
      <c r="AB15" s="2190"/>
      <c r="AC15" s="2191"/>
    </row>
    <row r="16" spans="1:39" ht="24">
      <c r="A16" s="3728"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29"/>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1831</v>
      </c>
      <c r="B18" s="2798" t="s">
        <v>957</v>
      </c>
      <c r="C18" s="2799">
        <f>SUMIF(修正!C18:C39,E3,修正!E18:E39)</f>
        <v>0</v>
      </c>
      <c r="D18" s="2800"/>
      <c r="E18" s="2801"/>
      <c r="F18" s="2802"/>
      <c r="G18" s="2796"/>
      <c r="H18" s="2796"/>
      <c r="I18" s="2796"/>
      <c r="J18" s="2803"/>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43159</v>
      </c>
      <c r="H19" s="1476" t="s">
        <v>2936</v>
      </c>
      <c r="I19" s="2810" t="str">
        <f>IF(H19="季度增幅（自定义）",SUMIF(N21:N24,E2,O21:O24),"")</f>
        <v/>
      </c>
      <c r="J19" s="1472"/>
      <c r="K19" s="1482"/>
      <c r="L19" s="3066" t="s">
        <v>2843</v>
      </c>
      <c r="M19" s="3067">
        <f>ROUND(SUMIF(地价!B2:F2,E2,地价!B21:F21),0)</f>
        <v>0</v>
      </c>
      <c r="N19" s="2812" t="s">
        <v>1678</v>
      </c>
      <c r="O19" s="2811">
        <f>ROUNDDOWN(DATEDIF(E19,G19,"M")/3,0)</f>
        <v>16</v>
      </c>
      <c r="P19" s="1597"/>
      <c r="R19" s="2951"/>
      <c r="S19" s="2951"/>
      <c r="T19" s="2951"/>
      <c r="U19" s="2951"/>
      <c r="V19" s="2951"/>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2"/>
      <c r="L20" s="3068" t="s">
        <v>2844</v>
      </c>
      <c r="M20" s="3069">
        <f>ROUND(SUMPRODUCT((地价!A4:A21=YEAR(G19)&amp;"-"&amp;ROUNDUP(MONTH(G19)/3,0))*(地价!B2:F2=E2)*(地价!B4:F21)),0)</f>
        <v>0</v>
      </c>
      <c r="N20" s="2815" t="s">
        <v>2647</v>
      </c>
      <c r="O20" s="2813" t="s">
        <v>2646</v>
      </c>
      <c r="P20" s="2814" t="s">
        <v>2652</v>
      </c>
      <c r="R20" s="2951"/>
      <c r="S20" s="2951"/>
      <c r="T20" s="2951"/>
      <c r="U20" s="2951"/>
      <c r="V20" s="2951"/>
      <c r="W20" s="2196"/>
      <c r="X20" s="2196"/>
      <c r="Y20" s="2196"/>
      <c r="Z20" s="2196"/>
      <c r="AA20" s="2196"/>
      <c r="AB20" s="2196"/>
      <c r="AC20" s="2196"/>
      <c r="AD20" s="1473"/>
      <c r="AE20" s="1473"/>
      <c r="AF20" s="1473"/>
      <c r="AG20" s="1473"/>
      <c r="AH20" s="1473"/>
      <c r="AI20" s="1473"/>
    </row>
    <row r="21" spans="1:40" s="1422" customFormat="1" ht="14.25">
      <c r="A21" s="1643" t="s">
        <v>1839</v>
      </c>
      <c r="B21" s="1481" t="s">
        <v>2763</v>
      </c>
      <c r="C21" s="1158">
        <f>IF(B21="容积率修正",IF(G3&lt;=10,D22,J22),C23)</f>
        <v>0</v>
      </c>
      <c r="D21" s="1482"/>
      <c r="E21" s="1482"/>
      <c r="F21" s="1482"/>
      <c r="G21" s="1482"/>
      <c r="H21" s="1482"/>
      <c r="I21" s="1482"/>
      <c r="J21" s="1483"/>
      <c r="K21" s="1482"/>
      <c r="L21" s="1482"/>
      <c r="M21" s="1482"/>
      <c r="N21" s="1479" t="s">
        <v>977</v>
      </c>
      <c r="O21" s="1543"/>
      <c r="P21" s="2795">
        <f>SUMPRODUCT((地价!A3:A21=YEAR(G19)&amp;"-"&amp;ROUNDUP(MONTH(G19)/3,0))*(地价!AD2:AH2=N21)*(地价!AD3:AH21))</f>
        <v>1.55E-2</v>
      </c>
      <c r="R21" s="2951"/>
      <c r="S21" s="2951"/>
      <c r="T21" s="2951"/>
      <c r="U21" s="2951"/>
      <c r="V21" s="2951"/>
      <c r="W21" s="2196"/>
      <c r="X21" s="2196"/>
      <c r="Y21" s="2196"/>
      <c r="Z21" s="2196"/>
      <c r="AA21" s="2196"/>
      <c r="AB21" s="2196"/>
      <c r="AC21" s="2196"/>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5">
        <f>SUMPRODUCT((地价!A3:A21=YEAR(G19)&amp;"-"&amp;ROUNDUP(MONTH(G19)/3,0))*(地价!AD2:AH2=N22)*(地价!AD3:AH21))</f>
        <v>1.55E-2</v>
      </c>
      <c r="R22" s="2951"/>
      <c r="S22" s="2951"/>
      <c r="T22" s="2951"/>
      <c r="U22" s="2951"/>
      <c r="V22" s="2951"/>
      <c r="W22" s="2196"/>
      <c r="X22" s="2196"/>
      <c r="Y22" s="2196"/>
      <c r="Z22" s="2196"/>
      <c r="AA22" s="2196"/>
      <c r="AB22" s="2196"/>
      <c r="AC22" s="2196"/>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1"/>
      <c r="S24" s="2951"/>
      <c r="T24" s="2951"/>
      <c r="U24" s="2951"/>
      <c r="V24" s="2951"/>
      <c r="W24" s="2196"/>
      <c r="X24" s="2196"/>
      <c r="Y24" s="2196"/>
      <c r="Z24" s="2196"/>
      <c r="AA24" s="2196"/>
      <c r="AB24" s="2196"/>
      <c r="AC24" s="2196"/>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6"/>
      <c r="M25" s="2196"/>
      <c r="N25" s="2823" t="s">
        <v>2650</v>
      </c>
      <c r="O25" s="2196"/>
      <c r="P25" s="1542">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90"/>
      <c r="B26" s="1484" t="s">
        <v>988</v>
      </c>
      <c r="C26" s="1063" t="e">
        <f>E29+SUM(E33:E39)</f>
        <v>#DIV/0!</v>
      </c>
      <c r="D26" s="1491"/>
      <c r="E26" s="1457"/>
      <c r="F26" s="1492"/>
      <c r="G26" s="1457"/>
      <c r="H26" s="1457"/>
      <c r="I26" s="1457"/>
      <c r="J26" s="1493"/>
      <c r="K26" s="1402"/>
      <c r="L26" s="2196"/>
      <c r="M26" s="2196"/>
      <c r="N26" s="2196"/>
      <c r="O26" s="2196"/>
      <c r="P26" s="2196"/>
      <c r="Q26" s="2196"/>
      <c r="R26" s="2951"/>
      <c r="S26" s="2951"/>
      <c r="T26" s="2951"/>
      <c r="U26" s="2951"/>
      <c r="V26" s="2951"/>
      <c r="W26" s="2196"/>
      <c r="X26" s="2196"/>
      <c r="Y26" s="2196"/>
      <c r="Z26" s="2196"/>
      <c r="AA26" s="2196"/>
      <c r="AB26" s="2196"/>
      <c r="AC26" s="2196"/>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6"/>
      <c r="M27" s="2196"/>
      <c r="N27" s="2196"/>
      <c r="O27" s="2196"/>
      <c r="P27" s="2196"/>
      <c r="Q27" s="2196"/>
      <c r="R27" s="2951"/>
      <c r="S27" s="2951"/>
      <c r="T27" s="2951"/>
      <c r="U27" s="2951"/>
      <c r="V27" s="2951"/>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51"/>
      <c r="S28" s="2951"/>
      <c r="T28" s="2951"/>
      <c r="U28" s="2951"/>
      <c r="V28" s="2951"/>
      <c r="W28" s="2196"/>
      <c r="X28" s="2196"/>
      <c r="Y28" s="2196"/>
      <c r="Z28" s="2196"/>
      <c r="AA28" s="2196"/>
      <c r="AB28" s="2196"/>
      <c r="AC28" s="2196"/>
      <c r="AD28" s="1473"/>
      <c r="AE28" s="1473"/>
      <c r="AF28" s="1473"/>
      <c r="AG28" s="1473"/>
    </row>
    <row r="29" spans="1:40" ht="24">
      <c r="A29" s="1503"/>
      <c r="B29" s="1504" t="s">
        <v>995</v>
      </c>
      <c r="C29" s="1063" t="e">
        <f>ROUND(C5*C18*C19*C20*C21*C24,0)</f>
        <v>#DIV/0!</v>
      </c>
      <c r="D29" s="1505"/>
      <c r="E29" s="1850" t="e">
        <f>ROUND(C29*D29/10000,0)</f>
        <v>#DIV/0!</v>
      </c>
      <c r="F29" s="1506" t="s">
        <v>1703</v>
      </c>
      <c r="G29" s="1507"/>
      <c r="H29" s="1507"/>
      <c r="I29" s="1507"/>
      <c r="J29" s="1508"/>
      <c r="K29" s="1402"/>
      <c r="L29" s="2196"/>
      <c r="M29" s="2196"/>
      <c r="N29" s="2196"/>
      <c r="O29" s="2196"/>
      <c r="P29" s="2196"/>
      <c r="Q29" s="2196"/>
      <c r="R29" s="2951"/>
      <c r="S29" s="2951"/>
      <c r="T29" s="2951"/>
      <c r="U29" s="2951"/>
      <c r="V29" s="2951"/>
      <c r="W29" s="2196"/>
      <c r="X29" s="2196"/>
      <c r="Y29" s="2196"/>
      <c r="Z29" s="2196"/>
      <c r="AA29" s="2196"/>
      <c r="AB29" s="2196"/>
      <c r="AC29" s="2196"/>
      <c r="AH29" s="1403"/>
      <c r="AI29" s="1403"/>
      <c r="AJ29" s="1406"/>
      <c r="AK29" s="1406"/>
      <c r="AL29" s="1406"/>
      <c r="AM29" s="1406"/>
    </row>
    <row r="30" spans="1:40" ht="24.75" thickBot="1">
      <c r="A30" s="1509"/>
      <c r="B30" s="1510" t="s">
        <v>996</v>
      </c>
      <c r="C30" s="1051" t="e">
        <f>ROUND(IF(E2="工业",C29*M39,C29*M38),0)</f>
        <v>#DIV/0!</v>
      </c>
      <c r="D30" s="1511"/>
      <c r="E30" s="1850" t="e">
        <f>ROUND(C30*D30/10000,0)</f>
        <v>#DIV/0!</v>
      </c>
      <c r="F30" s="1512" t="s">
        <v>997</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734" t="s">
        <v>2963</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735"/>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735"/>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36"/>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1010</v>
      </c>
      <c r="B46" s="2433" t="s">
        <v>1011</v>
      </c>
      <c r="C46" s="2455" t="s">
        <v>1012</v>
      </c>
      <c r="D46" s="2456" t="s">
        <v>1013</v>
      </c>
      <c r="E46" s="2457" t="s">
        <v>1015</v>
      </c>
      <c r="F46" s="2458" t="s">
        <v>2251</v>
      </c>
      <c r="G46" s="2456" t="s">
        <v>1016</v>
      </c>
      <c r="H46" s="2439" t="s">
        <v>2418</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1025</v>
      </c>
      <c r="B50" s="3124" t="s">
        <v>2938</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1027</v>
      </c>
      <c r="B52" s="3123" t="s">
        <v>2937</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1010</v>
      </c>
      <c r="B57" s="2433"/>
      <c r="C57" s="2455" t="s">
        <v>1012</v>
      </c>
      <c r="D57" s="2456" t="s">
        <v>1013</v>
      </c>
      <c r="E57" s="2457" t="s">
        <v>1015</v>
      </c>
      <c r="F57" s="2458" t="s">
        <v>2252</v>
      </c>
      <c r="G57" s="2456" t="s">
        <v>1016</v>
      </c>
      <c r="H57" s="2439" t="s">
        <v>2418</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1025</v>
      </c>
      <c r="B61" s="3124" t="s">
        <v>2939</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1027</v>
      </c>
      <c r="B63" s="3123" t="s">
        <v>2937</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1010</v>
      </c>
      <c r="B68" s="2433"/>
      <c r="C68" s="2455" t="s">
        <v>1012</v>
      </c>
      <c r="D68" s="2456" t="s">
        <v>1013</v>
      </c>
      <c r="E68" s="2457" t="s">
        <v>1015</v>
      </c>
      <c r="F68" s="2458" t="s">
        <v>2253</v>
      </c>
      <c r="G68" s="2456" t="s">
        <v>1016</v>
      </c>
      <c r="H68" s="2439" t="s">
        <v>2418</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1027</v>
      </c>
      <c r="B75" s="3123" t="s">
        <v>2937</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1038</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1010</v>
      </c>
      <c r="B79" s="2433"/>
      <c r="C79" s="2455" t="s">
        <v>1012</v>
      </c>
      <c r="D79" s="2456" t="s">
        <v>1013</v>
      </c>
      <c r="E79" s="2457" t="s">
        <v>1015</v>
      </c>
      <c r="F79" s="2458" t="s">
        <v>2254</v>
      </c>
      <c r="G79" s="2456" t="s">
        <v>1016</v>
      </c>
      <c r="H79" s="2439" t="s">
        <v>2418</v>
      </c>
      <c r="I79" s="2456" t="s">
        <v>1014</v>
      </c>
      <c r="J79" s="2459" t="s">
        <v>1017</v>
      </c>
      <c r="K79" s="2459" t="s">
        <v>1018</v>
      </c>
      <c r="L79" s="2459" t="s">
        <v>1019</v>
      </c>
      <c r="M79" s="2459" t="s">
        <v>1020</v>
      </c>
      <c r="N79" s="2459" t="s">
        <v>1021</v>
      </c>
      <c r="AC79" s="1406"/>
      <c r="AD79" s="1405"/>
      <c r="AJ79" s="1404"/>
      <c r="AN79" s="1405"/>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1027</v>
      </c>
      <c r="B86" s="3123" t="s">
        <v>2937</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732" t="s">
        <v>1635</v>
      </c>
      <c r="B90" s="3732"/>
      <c r="C90" s="3732"/>
      <c r="D90" s="3732"/>
      <c r="E90" s="3732"/>
      <c r="F90" s="3732"/>
      <c r="G90" s="3732"/>
      <c r="H90" s="3732"/>
      <c r="I90" s="3732"/>
      <c r="J90" s="3732"/>
      <c r="K90" s="2475"/>
      <c r="L90" s="2475"/>
      <c r="M90" s="2475"/>
      <c r="N90" s="2475"/>
    </row>
    <row r="91" spans="1:40">
      <c r="A91" s="3733" t="s">
        <v>1445</v>
      </c>
      <c r="B91" s="3733" t="s">
        <v>1636</v>
      </c>
      <c r="C91" s="1140" t="s">
        <v>1637</v>
      </c>
      <c r="D91" s="1141"/>
      <c r="E91" s="1141"/>
      <c r="F91" s="1141"/>
      <c r="G91" s="1141"/>
      <c r="H91" s="1141"/>
      <c r="I91" s="1141"/>
      <c r="J91" s="1142"/>
      <c r="K91" s="1134"/>
      <c r="L91" s="1134"/>
      <c r="M91" s="1134"/>
      <c r="N91" s="1134"/>
    </row>
    <row r="92" spans="1:40">
      <c r="A92" s="3733"/>
      <c r="B92" s="3733"/>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2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23"/>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22" t="s">
        <v>1639</v>
      </c>
      <c r="B101" s="1147" t="s">
        <v>907</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723"/>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723"/>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723"/>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723"/>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723"/>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723"/>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723"/>
      <c r="B108" s="3725"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24"/>
      <c r="B109" s="3726"/>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727" t="s">
        <v>1641</v>
      </c>
      <c r="B110" s="3727"/>
      <c r="C110" s="3727"/>
      <c r="D110" s="3727"/>
      <c r="E110" s="3727"/>
      <c r="F110" s="3727"/>
      <c r="G110" s="3727"/>
      <c r="H110" s="3727"/>
      <c r="I110" s="3727"/>
      <c r="J110" s="3727"/>
      <c r="K110" s="2473"/>
      <c r="L110" s="2473"/>
      <c r="M110" s="2473"/>
      <c r="N110" s="2473"/>
    </row>
    <row r="112" spans="1:14" ht="12.75" thickBot="1"/>
    <row r="113" spans="1:13" ht="25.5" thickBot="1">
      <c r="A113" s="1016" t="s">
        <v>897</v>
      </c>
      <c r="B113" s="2476">
        <f>G3</f>
        <v>2.5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902</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903</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904</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33" t="s">
        <v>1009</v>
      </c>
      <c r="B18" s="1154" t="s">
        <v>1448</v>
      </c>
      <c r="C18" s="1131" t="s">
        <v>1449</v>
      </c>
      <c r="D18" s="1132"/>
      <c r="E18" s="1154">
        <v>1</v>
      </c>
      <c r="F18" s="1133" t="s">
        <v>1450</v>
      </c>
      <c r="G18" s="1134"/>
      <c r="H18" s="1105"/>
      <c r="I18" s="1105"/>
    </row>
    <row r="19" spans="1:9" s="1600" customFormat="1" ht="19.5" customHeight="1">
      <c r="A19" s="3733"/>
      <c r="B19" s="3733" t="s">
        <v>1451</v>
      </c>
      <c r="C19" s="1131" t="s">
        <v>1452</v>
      </c>
      <c r="D19" s="1132"/>
      <c r="E19" s="1154">
        <v>0.9</v>
      </c>
      <c r="F19" s="1133" t="s">
        <v>1453</v>
      </c>
      <c r="G19" s="1134"/>
      <c r="H19" s="1105"/>
      <c r="I19" s="1105"/>
    </row>
    <row r="20" spans="1:9" s="1600" customFormat="1" ht="19.5" customHeight="1">
      <c r="A20" s="3733"/>
      <c r="B20" s="3733"/>
      <c r="C20" s="1131" t="s">
        <v>1454</v>
      </c>
      <c r="D20" s="1132"/>
      <c r="E20" s="1154">
        <v>1.1000000000000001</v>
      </c>
      <c r="F20" s="1133" t="s">
        <v>1455</v>
      </c>
      <c r="G20" s="1134"/>
      <c r="H20" s="1105"/>
      <c r="I20" s="1105"/>
    </row>
    <row r="21" spans="1:9" s="1600" customFormat="1" ht="19.5" customHeight="1">
      <c r="A21" s="3733"/>
      <c r="B21" s="3733"/>
      <c r="C21" s="1131" t="s">
        <v>1456</v>
      </c>
      <c r="D21" s="1132"/>
      <c r="E21" s="1154">
        <v>0.8</v>
      </c>
      <c r="F21" s="1133" t="s">
        <v>1457</v>
      </c>
      <c r="G21" s="1134"/>
      <c r="H21" s="1105"/>
      <c r="I21" s="1105"/>
    </row>
    <row r="22" spans="1:9" s="1600" customFormat="1" ht="19.5" customHeight="1">
      <c r="A22" s="3733"/>
      <c r="B22" s="3733"/>
      <c r="C22" s="1131" t="s">
        <v>1458</v>
      </c>
      <c r="D22" s="1132"/>
      <c r="E22" s="1154">
        <v>0.5</v>
      </c>
      <c r="F22" s="1133"/>
      <c r="G22" s="1134"/>
      <c r="H22" s="1105"/>
      <c r="I22" s="1105"/>
    </row>
    <row r="23" spans="1:9" s="1600" customFormat="1" ht="19.5" customHeight="1">
      <c r="A23" s="3733" t="s">
        <v>1031</v>
      </c>
      <c r="B23" s="1154" t="s">
        <v>1448</v>
      </c>
      <c r="C23" s="1131" t="s">
        <v>1459</v>
      </c>
      <c r="D23" s="1132"/>
      <c r="E23" s="1154">
        <v>1</v>
      </c>
      <c r="F23" s="1133" t="s">
        <v>1460</v>
      </c>
      <c r="G23" s="1134"/>
      <c r="H23" s="1105"/>
      <c r="I23" s="1105"/>
    </row>
    <row r="24" spans="1:9" s="1600" customFormat="1" ht="19.5" customHeight="1">
      <c r="A24" s="3733"/>
      <c r="B24" s="3733" t="s">
        <v>1451</v>
      </c>
      <c r="C24" s="1131" t="s">
        <v>1461</v>
      </c>
      <c r="D24" s="1132"/>
      <c r="E24" s="1154">
        <v>0.5</v>
      </c>
      <c r="F24" s="1133"/>
      <c r="G24" s="1134"/>
      <c r="H24" s="1105"/>
      <c r="I24" s="1105"/>
    </row>
    <row r="25" spans="1:9" s="1600" customFormat="1" ht="19.5" customHeight="1">
      <c r="A25" s="3733"/>
      <c r="B25" s="3733"/>
      <c r="C25" s="1131" t="s">
        <v>1462</v>
      </c>
      <c r="D25" s="1132"/>
      <c r="E25" s="1154">
        <v>1.1000000000000001</v>
      </c>
      <c r="F25" s="1133"/>
      <c r="G25" s="1134"/>
      <c r="H25" s="1105"/>
      <c r="I25" s="1105"/>
    </row>
    <row r="26" spans="1:9" s="1600" customFormat="1" ht="19.5" customHeight="1">
      <c r="A26" s="3733"/>
      <c r="B26" s="3733"/>
      <c r="C26" s="1131" t="s">
        <v>1463</v>
      </c>
      <c r="D26" s="1132"/>
      <c r="E26" s="1154">
        <v>1.1000000000000001</v>
      </c>
      <c r="F26" s="1133"/>
      <c r="G26" s="1134"/>
      <c r="H26" s="1105"/>
      <c r="I26" s="1105"/>
    </row>
    <row r="27" spans="1:9" s="1600" customFormat="1" ht="19.5" customHeight="1">
      <c r="A27" s="3733"/>
      <c r="B27" s="3733"/>
      <c r="C27" s="1131" t="s">
        <v>1464</v>
      </c>
      <c r="D27" s="1132"/>
      <c r="E27" s="1154">
        <v>0.9</v>
      </c>
      <c r="F27" s="1133" t="s">
        <v>1465</v>
      </c>
      <c r="G27" s="1134"/>
      <c r="H27" s="1105"/>
      <c r="I27" s="1105"/>
    </row>
    <row r="28" spans="1:9" s="1600" customFormat="1" ht="19.5" customHeight="1">
      <c r="A28" s="3733"/>
      <c r="B28" s="3733"/>
      <c r="C28" s="1131" t="s">
        <v>1466</v>
      </c>
      <c r="D28" s="1132"/>
      <c r="E28" s="1154">
        <v>0.9</v>
      </c>
      <c r="F28" s="1133" t="s">
        <v>1467</v>
      </c>
      <c r="G28" s="1134"/>
      <c r="H28" s="1105"/>
      <c r="I28" s="1105"/>
    </row>
    <row r="29" spans="1:9" s="1600" customFormat="1" ht="19.5" customHeight="1">
      <c r="A29" s="3733"/>
      <c r="B29" s="3733"/>
      <c r="C29" s="1131" t="s">
        <v>1468</v>
      </c>
      <c r="D29" s="1132"/>
      <c r="E29" s="1154">
        <v>0.9</v>
      </c>
      <c r="F29" s="1133" t="s">
        <v>1469</v>
      </c>
      <c r="G29" s="1134"/>
      <c r="H29" s="1105"/>
      <c r="I29" s="1105"/>
    </row>
    <row r="30" spans="1:9" s="1600" customFormat="1" ht="19.5" customHeight="1">
      <c r="A30" s="3733"/>
      <c r="B30" s="3733"/>
      <c r="C30" s="1131" t="s">
        <v>1470</v>
      </c>
      <c r="D30" s="1132"/>
      <c r="E30" s="1154">
        <v>0.9</v>
      </c>
      <c r="F30" s="1133" t="s">
        <v>1471</v>
      </c>
      <c r="G30" s="1134"/>
      <c r="H30" s="1105"/>
      <c r="I30" s="1105"/>
    </row>
    <row r="31" spans="1:9" s="1600" customFormat="1" ht="19.5" customHeight="1">
      <c r="A31" s="3733"/>
      <c r="B31" s="3733"/>
      <c r="C31" s="1131" t="s">
        <v>1472</v>
      </c>
      <c r="D31" s="1132"/>
      <c r="E31" s="1154">
        <v>0.8</v>
      </c>
      <c r="F31" s="1133" t="s">
        <v>1473</v>
      </c>
      <c r="G31" s="1134"/>
      <c r="H31" s="1105"/>
      <c r="I31" s="1105"/>
    </row>
    <row r="32" spans="1:9" s="1600" customFormat="1" ht="19.5" customHeight="1">
      <c r="A32" s="3733"/>
      <c r="B32" s="3733"/>
      <c r="C32" s="1131" t="s">
        <v>1474</v>
      </c>
      <c r="D32" s="1132"/>
      <c r="E32" s="1154">
        <v>0.8</v>
      </c>
      <c r="F32" s="1133" t="s">
        <v>1475</v>
      </c>
      <c r="G32" s="1134"/>
      <c r="H32" s="1105"/>
      <c r="I32" s="1105"/>
    </row>
    <row r="33" spans="1:9" s="1600" customFormat="1" ht="19.5" customHeight="1">
      <c r="A33" s="3733" t="s">
        <v>1476</v>
      </c>
      <c r="B33" s="1154" t="s">
        <v>1448</v>
      </c>
      <c r="C33" s="1131" t="s">
        <v>1477</v>
      </c>
      <c r="D33" s="1132"/>
      <c r="E33" s="1154">
        <v>1</v>
      </c>
      <c r="F33" s="1133" t="s">
        <v>1478</v>
      </c>
      <c r="G33" s="1134"/>
      <c r="H33" s="1105"/>
      <c r="I33" s="1105"/>
    </row>
    <row r="34" spans="1:9" s="1600" customFormat="1" ht="19.5" customHeight="1">
      <c r="A34" s="3733"/>
      <c r="B34" s="1154" t="s">
        <v>1451</v>
      </c>
      <c r="C34" s="1131" t="s">
        <v>1479</v>
      </c>
      <c r="D34" s="1132"/>
      <c r="E34" s="1154">
        <v>1.5</v>
      </c>
      <c r="F34" s="1133" t="s">
        <v>1480</v>
      </c>
      <c r="G34" s="1134"/>
      <c r="H34" s="1105"/>
      <c r="I34" s="1105"/>
    </row>
    <row r="35" spans="1:9" s="1600" customFormat="1" ht="19.5" customHeight="1">
      <c r="A35" s="3733" t="s">
        <v>1434</v>
      </c>
      <c r="B35" s="1154" t="s">
        <v>1448</v>
      </c>
      <c r="C35" s="1131" t="s">
        <v>1481</v>
      </c>
      <c r="D35" s="1132"/>
      <c r="E35" s="1154">
        <v>1</v>
      </c>
      <c r="F35" s="1133" t="s">
        <v>1482</v>
      </c>
      <c r="G35" s="1134"/>
      <c r="H35" s="1105"/>
      <c r="I35" s="1105"/>
    </row>
    <row r="36" spans="1:9" s="1600" customFormat="1" ht="19.5" customHeight="1">
      <c r="A36" s="3733"/>
      <c r="B36" s="3733" t="s">
        <v>1451</v>
      </c>
      <c r="C36" s="1131" t="s">
        <v>1483</v>
      </c>
      <c r="D36" s="1132"/>
      <c r="E36" s="1154">
        <v>1</v>
      </c>
      <c r="F36" s="1133" t="s">
        <v>1484</v>
      </c>
      <c r="G36" s="1134"/>
      <c r="H36" s="1105"/>
      <c r="I36" s="1105"/>
    </row>
    <row r="37" spans="1:9" s="1600" customFormat="1" ht="19.5" customHeight="1">
      <c r="A37" s="3733"/>
      <c r="B37" s="3733"/>
      <c r="C37" s="1131" t="s">
        <v>1485</v>
      </c>
      <c r="D37" s="1132"/>
      <c r="E37" s="1154">
        <v>1.5</v>
      </c>
      <c r="F37" s="1133" t="s">
        <v>1486</v>
      </c>
      <c r="G37" s="1134"/>
      <c r="H37" s="1105"/>
      <c r="I37" s="1105"/>
    </row>
    <row r="38" spans="1:9" s="1600" customFormat="1" ht="19.5" customHeight="1">
      <c r="A38" s="3733"/>
      <c r="B38" s="3733"/>
      <c r="C38" s="1131" t="s">
        <v>1487</v>
      </c>
      <c r="D38" s="1132"/>
      <c r="E38" s="1154">
        <v>1</v>
      </c>
      <c r="F38" s="1133" t="s">
        <v>1488</v>
      </c>
      <c r="G38" s="1134"/>
      <c r="H38" s="1105"/>
      <c r="I38" s="1105"/>
    </row>
    <row r="39" spans="1:9" s="1600" customFormat="1" ht="19.5" customHeight="1">
      <c r="A39" s="3733"/>
      <c r="B39" s="3733"/>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33" t="s">
        <v>1503</v>
      </c>
      <c r="C61" s="1068" t="s">
        <v>1504</v>
      </c>
      <c r="D61" s="1068" t="s">
        <v>1505</v>
      </c>
      <c r="E61" s="1139">
        <v>0.5</v>
      </c>
      <c r="F61" s="1154">
        <v>80</v>
      </c>
      <c r="H61" s="1105">
        <f>SUMIF(C59:C119,基准地价!C8,E59:E119)</f>
        <v>0</v>
      </c>
    </row>
    <row r="62" spans="1:8" s="1105" customFormat="1" ht="24">
      <c r="A62" s="1154">
        <v>2</v>
      </c>
      <c r="B62" s="3733"/>
      <c r="C62" s="1068" t="s">
        <v>1506</v>
      </c>
      <c r="D62" s="1068" t="s">
        <v>1507</v>
      </c>
      <c r="E62" s="1139">
        <v>0.5</v>
      </c>
      <c r="F62" s="1154">
        <v>80</v>
      </c>
    </row>
    <row r="63" spans="1:8" s="1105" customFormat="1" ht="36">
      <c r="A63" s="1154">
        <v>3</v>
      </c>
      <c r="B63" s="3733"/>
      <c r="C63" s="1068" t="s">
        <v>1508</v>
      </c>
      <c r="D63" s="1068" t="s">
        <v>1509</v>
      </c>
      <c r="E63" s="1139">
        <v>0.5</v>
      </c>
      <c r="F63" s="1154">
        <v>80</v>
      </c>
    </row>
    <row r="64" spans="1:8" s="1105" customFormat="1" ht="36">
      <c r="A64" s="1154">
        <v>4</v>
      </c>
      <c r="B64" s="3733"/>
      <c r="C64" s="1068" t="s">
        <v>1510</v>
      </c>
      <c r="D64" s="1068" t="s">
        <v>1511</v>
      </c>
      <c r="E64" s="1139">
        <v>0.4</v>
      </c>
      <c r="F64" s="1154">
        <v>60</v>
      </c>
    </row>
    <row r="65" spans="1:6" s="1105" customFormat="1" ht="36">
      <c r="A65" s="1154">
        <v>5</v>
      </c>
      <c r="B65" s="3733"/>
      <c r="C65" s="1068" t="s">
        <v>1512</v>
      </c>
      <c r="D65" s="1068" t="s">
        <v>1513</v>
      </c>
      <c r="E65" s="1139">
        <v>0.2</v>
      </c>
      <c r="F65" s="1154">
        <v>30</v>
      </c>
    </row>
    <row r="66" spans="1:6" s="1105" customFormat="1" ht="36">
      <c r="A66" s="1154">
        <v>6</v>
      </c>
      <c r="B66" s="3733"/>
      <c r="C66" s="1068" t="s">
        <v>1514</v>
      </c>
      <c r="D66" s="1068" t="s">
        <v>1515</v>
      </c>
      <c r="E66" s="1139">
        <v>0.3</v>
      </c>
      <c r="F66" s="1154">
        <v>50</v>
      </c>
    </row>
    <row r="67" spans="1:6" s="1105" customFormat="1" ht="36">
      <c r="A67" s="1154">
        <v>7</v>
      </c>
      <c r="B67" s="3733"/>
      <c r="C67" s="1068" t="s">
        <v>1516</v>
      </c>
      <c r="D67" s="1068" t="s">
        <v>1517</v>
      </c>
      <c r="E67" s="1139">
        <v>0.2</v>
      </c>
      <c r="F67" s="1154">
        <v>30</v>
      </c>
    </row>
    <row r="68" spans="1:6" s="1105" customFormat="1" ht="36">
      <c r="A68" s="1154">
        <v>8</v>
      </c>
      <c r="B68" s="3733"/>
      <c r="C68" s="1068" t="s">
        <v>1518</v>
      </c>
      <c r="D68" s="1068" t="s">
        <v>1519</v>
      </c>
      <c r="E68" s="1139">
        <v>0.2</v>
      </c>
      <c r="F68" s="1154">
        <v>30</v>
      </c>
    </row>
    <row r="69" spans="1:6" s="1105" customFormat="1" ht="36">
      <c r="A69" s="1154">
        <v>9</v>
      </c>
      <c r="B69" s="3733"/>
      <c r="C69" s="1068" t="s">
        <v>1520</v>
      </c>
      <c r="D69" s="1068" t="s">
        <v>1521</v>
      </c>
      <c r="E69" s="1139">
        <v>0.2</v>
      </c>
      <c r="F69" s="1154">
        <v>30</v>
      </c>
    </row>
    <row r="70" spans="1:6" s="1105" customFormat="1" ht="48">
      <c r="A70" s="1154">
        <v>10</v>
      </c>
      <c r="B70" s="3733"/>
      <c r="C70" s="1068" t="s">
        <v>1522</v>
      </c>
      <c r="D70" s="1068" t="s">
        <v>1523</v>
      </c>
      <c r="E70" s="1139">
        <v>0.2</v>
      </c>
      <c r="F70" s="1154">
        <v>30</v>
      </c>
    </row>
    <row r="71" spans="1:6" s="1105" customFormat="1" ht="48">
      <c r="A71" s="1154">
        <v>11</v>
      </c>
      <c r="B71" s="3733"/>
      <c r="C71" s="1068" t="s">
        <v>1524</v>
      </c>
      <c r="D71" s="1068" t="s">
        <v>1525</v>
      </c>
      <c r="E71" s="1139">
        <v>0.2</v>
      </c>
      <c r="F71" s="1154">
        <v>30</v>
      </c>
    </row>
    <row r="72" spans="1:6" s="1105" customFormat="1" ht="36">
      <c r="A72" s="1154">
        <v>12</v>
      </c>
      <c r="B72" s="3733"/>
      <c r="C72" s="1068" t="s">
        <v>1526</v>
      </c>
      <c r="D72" s="1068" t="s">
        <v>1527</v>
      </c>
      <c r="E72" s="1139">
        <v>0.5</v>
      </c>
      <c r="F72" s="1154">
        <v>80</v>
      </c>
    </row>
    <row r="73" spans="1:6" s="1105" customFormat="1" ht="24">
      <c r="A73" s="1154">
        <v>13</v>
      </c>
      <c r="B73" s="3733"/>
      <c r="C73" s="1068" t="s">
        <v>1528</v>
      </c>
      <c r="D73" s="1068" t="s">
        <v>1529</v>
      </c>
      <c r="E73" s="1139">
        <v>0.4</v>
      </c>
      <c r="F73" s="1154">
        <v>60</v>
      </c>
    </row>
    <row r="74" spans="1:6" s="1105" customFormat="1" ht="24">
      <c r="A74" s="1154">
        <v>14</v>
      </c>
      <c r="B74" s="3733"/>
      <c r="C74" s="1068" t="s">
        <v>1530</v>
      </c>
      <c r="D74" s="1068" t="s">
        <v>1531</v>
      </c>
      <c r="E74" s="1139">
        <v>0.2</v>
      </c>
      <c r="F74" s="1154">
        <v>30</v>
      </c>
    </row>
    <row r="75" spans="1:6" s="1105" customFormat="1" ht="24">
      <c r="A75" s="1154">
        <v>15</v>
      </c>
      <c r="B75" s="3733"/>
      <c r="C75" s="1068" t="s">
        <v>1532</v>
      </c>
      <c r="D75" s="1068" t="s">
        <v>1533</v>
      </c>
      <c r="E75" s="1139">
        <v>0.2</v>
      </c>
      <c r="F75" s="1154">
        <v>30</v>
      </c>
    </row>
    <row r="76" spans="1:6" s="1105" customFormat="1" ht="24">
      <c r="A76" s="1154">
        <v>16</v>
      </c>
      <c r="B76" s="3733" t="s">
        <v>1534</v>
      </c>
      <c r="C76" s="1068" t="s">
        <v>1535</v>
      </c>
      <c r="D76" s="1068" t="s">
        <v>1536</v>
      </c>
      <c r="E76" s="1139">
        <v>0.5</v>
      </c>
      <c r="F76" s="1154">
        <v>80</v>
      </c>
    </row>
    <row r="77" spans="1:6" s="1105" customFormat="1" ht="24">
      <c r="A77" s="1154">
        <v>17</v>
      </c>
      <c r="B77" s="3733"/>
      <c r="C77" s="1068" t="s">
        <v>1537</v>
      </c>
      <c r="D77" s="1068" t="s">
        <v>1538</v>
      </c>
      <c r="E77" s="1139">
        <v>0.5</v>
      </c>
      <c r="F77" s="1154">
        <v>80</v>
      </c>
    </row>
    <row r="78" spans="1:6" s="1105" customFormat="1" ht="24">
      <c r="A78" s="1154">
        <v>18</v>
      </c>
      <c r="B78" s="3733"/>
      <c r="C78" s="1068" t="s">
        <v>1539</v>
      </c>
      <c r="D78" s="1068" t="s">
        <v>1540</v>
      </c>
      <c r="E78" s="1139">
        <v>0.2</v>
      </c>
      <c r="F78" s="1154">
        <v>30</v>
      </c>
    </row>
    <row r="79" spans="1:6" s="1105" customFormat="1" ht="24">
      <c r="A79" s="1154">
        <v>19</v>
      </c>
      <c r="B79" s="3733"/>
      <c r="C79" s="1068" t="s">
        <v>1541</v>
      </c>
      <c r="D79" s="1068" t="s">
        <v>1542</v>
      </c>
      <c r="E79" s="1139">
        <v>0.5</v>
      </c>
      <c r="F79" s="1154">
        <v>80</v>
      </c>
    </row>
    <row r="80" spans="1:6" s="1105" customFormat="1" ht="36">
      <c r="A80" s="1154">
        <v>20</v>
      </c>
      <c r="B80" s="3733"/>
      <c r="C80" s="1068" t="s">
        <v>1543</v>
      </c>
      <c r="D80" s="1068" t="s">
        <v>1544</v>
      </c>
      <c r="E80" s="1139">
        <v>0.2</v>
      </c>
      <c r="F80" s="1154">
        <v>30</v>
      </c>
    </row>
    <row r="81" spans="1:6" s="1105" customFormat="1" ht="36">
      <c r="A81" s="1154">
        <v>21</v>
      </c>
      <c r="B81" s="3733"/>
      <c r="C81" s="1068" t="s">
        <v>1545</v>
      </c>
      <c r="D81" s="1068" t="s">
        <v>1546</v>
      </c>
      <c r="E81" s="1139">
        <v>0.2</v>
      </c>
      <c r="F81" s="1154">
        <v>30</v>
      </c>
    </row>
    <row r="82" spans="1:6" s="1105" customFormat="1" ht="48">
      <c r="A82" s="1154">
        <v>22</v>
      </c>
      <c r="B82" s="3733"/>
      <c r="C82" s="1068" t="s">
        <v>1547</v>
      </c>
      <c r="D82" s="1068" t="s">
        <v>1548</v>
      </c>
      <c r="E82" s="1139">
        <v>0.2</v>
      </c>
      <c r="F82" s="1154">
        <v>30</v>
      </c>
    </row>
    <row r="83" spans="1:6" s="1105" customFormat="1" ht="48">
      <c r="A83" s="1154">
        <v>23</v>
      </c>
      <c r="B83" s="3733"/>
      <c r="C83" s="1068" t="s">
        <v>1549</v>
      </c>
      <c r="D83" s="1068" t="s">
        <v>1550</v>
      </c>
      <c r="E83" s="1139">
        <v>0.2</v>
      </c>
      <c r="F83" s="1154">
        <v>30</v>
      </c>
    </row>
    <row r="84" spans="1:6" s="1105" customFormat="1" ht="36">
      <c r="A84" s="1154">
        <v>24</v>
      </c>
      <c r="B84" s="3733"/>
      <c r="C84" s="1068" t="s">
        <v>1551</v>
      </c>
      <c r="D84" s="1068" t="s">
        <v>1552</v>
      </c>
      <c r="E84" s="1139">
        <v>0.2</v>
      </c>
      <c r="F84" s="1154">
        <v>30</v>
      </c>
    </row>
    <row r="85" spans="1:6" s="1105" customFormat="1" ht="36">
      <c r="A85" s="1154">
        <v>25</v>
      </c>
      <c r="B85" s="3733"/>
      <c r="C85" s="1068" t="s">
        <v>1553</v>
      </c>
      <c r="D85" s="1068" t="s">
        <v>1554</v>
      </c>
      <c r="E85" s="1139">
        <v>0.5</v>
      </c>
      <c r="F85" s="1154">
        <v>80</v>
      </c>
    </row>
    <row r="86" spans="1:6" s="1105" customFormat="1" ht="36">
      <c r="A86" s="1154">
        <v>26</v>
      </c>
      <c r="B86" s="3733"/>
      <c r="C86" s="1068" t="s">
        <v>1555</v>
      </c>
      <c r="D86" s="1068" t="s">
        <v>1556</v>
      </c>
      <c r="E86" s="1139">
        <v>0.2</v>
      </c>
      <c r="F86" s="1154">
        <v>30</v>
      </c>
    </row>
    <row r="87" spans="1:6" s="1105" customFormat="1" ht="36">
      <c r="A87" s="1154">
        <v>27</v>
      </c>
      <c r="B87" s="3733"/>
      <c r="C87" s="1068" t="s">
        <v>1557</v>
      </c>
      <c r="D87" s="1068" t="s">
        <v>1558</v>
      </c>
      <c r="E87" s="1139">
        <v>0.2</v>
      </c>
      <c r="F87" s="1154">
        <v>30</v>
      </c>
    </row>
    <row r="88" spans="1:6" s="1105" customFormat="1" ht="36">
      <c r="A88" s="1154">
        <v>28</v>
      </c>
      <c r="B88" s="3733"/>
      <c r="C88" s="1068" t="s">
        <v>1559</v>
      </c>
      <c r="D88" s="1068" t="s">
        <v>1560</v>
      </c>
      <c r="E88" s="1139">
        <v>0.2</v>
      </c>
      <c r="F88" s="1154">
        <v>30</v>
      </c>
    </row>
    <row r="89" spans="1:6" s="1105" customFormat="1" ht="24">
      <c r="A89" s="1154">
        <v>29</v>
      </c>
      <c r="B89" s="3733"/>
      <c r="C89" s="1068" t="s">
        <v>1561</v>
      </c>
      <c r="D89" s="1068" t="s">
        <v>1562</v>
      </c>
      <c r="E89" s="1139">
        <v>0.2</v>
      </c>
      <c r="F89" s="1154">
        <v>30</v>
      </c>
    </row>
    <row r="90" spans="1:6" s="1105" customFormat="1" ht="24">
      <c r="A90" s="1154">
        <v>30</v>
      </c>
      <c r="B90" s="3733"/>
      <c r="C90" s="1068" t="s">
        <v>1563</v>
      </c>
      <c r="D90" s="1068" t="s">
        <v>1564</v>
      </c>
      <c r="E90" s="1139">
        <v>0.2</v>
      </c>
      <c r="F90" s="1154">
        <v>30</v>
      </c>
    </row>
    <row r="91" spans="1:6" s="1105" customFormat="1" ht="36">
      <c r="A91" s="1154">
        <v>31</v>
      </c>
      <c r="B91" s="3733"/>
      <c r="C91" s="1068" t="s">
        <v>1565</v>
      </c>
      <c r="D91" s="1068" t="s">
        <v>1566</v>
      </c>
      <c r="E91" s="1139">
        <v>0.2</v>
      </c>
      <c r="F91" s="1154">
        <v>30</v>
      </c>
    </row>
    <row r="92" spans="1:6" s="1105" customFormat="1" ht="24">
      <c r="A92" s="1154">
        <v>32</v>
      </c>
      <c r="B92" s="3733" t="s">
        <v>1567</v>
      </c>
      <c r="C92" s="1154" t="s">
        <v>1568</v>
      </c>
      <c r="D92" s="1068" t="s">
        <v>1569</v>
      </c>
      <c r="E92" s="1139">
        <v>0.2</v>
      </c>
      <c r="F92" s="1154">
        <v>30</v>
      </c>
    </row>
    <row r="93" spans="1:6" s="1105" customFormat="1" ht="36">
      <c r="A93" s="1154">
        <v>33</v>
      </c>
      <c r="B93" s="3733"/>
      <c r="C93" s="1154" t="s">
        <v>1570</v>
      </c>
      <c r="D93" s="1068" t="s">
        <v>1571</v>
      </c>
      <c r="E93" s="1139">
        <v>0.2</v>
      </c>
      <c r="F93" s="1154">
        <v>30</v>
      </c>
    </row>
    <row r="94" spans="1:6" s="1105" customFormat="1" ht="48">
      <c r="A94" s="1154">
        <v>34</v>
      </c>
      <c r="B94" s="3733"/>
      <c r="C94" s="1154" t="s">
        <v>1572</v>
      </c>
      <c r="D94" s="1068" t="s">
        <v>1573</v>
      </c>
      <c r="E94" s="1139">
        <v>0.2</v>
      </c>
      <c r="F94" s="1154">
        <v>30</v>
      </c>
    </row>
    <row r="95" spans="1:6" s="1105" customFormat="1" ht="36">
      <c r="A95" s="1154">
        <v>35</v>
      </c>
      <c r="B95" s="3733"/>
      <c r="C95" s="1154" t="s">
        <v>1574</v>
      </c>
      <c r="D95" s="1068" t="s">
        <v>1575</v>
      </c>
      <c r="E95" s="1139">
        <v>0.2</v>
      </c>
      <c r="F95" s="1154">
        <v>30</v>
      </c>
    </row>
    <row r="96" spans="1:6" s="1105" customFormat="1" ht="48">
      <c r="A96" s="1154">
        <v>36</v>
      </c>
      <c r="B96" s="3733"/>
      <c r="C96" s="1068" t="s">
        <v>1576</v>
      </c>
      <c r="D96" s="1068" t="s">
        <v>1577</v>
      </c>
      <c r="E96" s="1139">
        <v>0.2</v>
      </c>
      <c r="F96" s="1154">
        <v>30</v>
      </c>
    </row>
    <row r="97" spans="1:6" s="1105" customFormat="1" ht="36">
      <c r="A97" s="1154">
        <v>37</v>
      </c>
      <c r="B97" s="3733"/>
      <c r="C97" s="1154" t="s">
        <v>1578</v>
      </c>
      <c r="D97" s="1068" t="s">
        <v>1579</v>
      </c>
      <c r="E97" s="1139">
        <v>0.2</v>
      </c>
      <c r="F97" s="1154">
        <v>30</v>
      </c>
    </row>
    <row r="98" spans="1:6" s="1105" customFormat="1" ht="36">
      <c r="A98" s="1154">
        <v>38</v>
      </c>
      <c r="B98" s="3733"/>
      <c r="C98" s="1154" t="s">
        <v>1580</v>
      </c>
      <c r="D98" s="1068" t="s">
        <v>1581</v>
      </c>
      <c r="E98" s="1139">
        <v>0.2</v>
      </c>
      <c r="F98" s="1154">
        <v>30</v>
      </c>
    </row>
    <row r="99" spans="1:6" s="1105" customFormat="1" ht="36">
      <c r="A99" s="1154">
        <v>39</v>
      </c>
      <c r="B99" s="3733" t="s">
        <v>1582</v>
      </c>
      <c r="C99" s="1154" t="s">
        <v>1583</v>
      </c>
      <c r="D99" s="1068" t="s">
        <v>1584</v>
      </c>
      <c r="E99" s="1139">
        <v>0.3</v>
      </c>
      <c r="F99" s="1154">
        <v>50</v>
      </c>
    </row>
    <row r="100" spans="1:6" s="1105" customFormat="1" ht="24">
      <c r="A100" s="1154">
        <v>40</v>
      </c>
      <c r="B100" s="3733"/>
      <c r="C100" s="1154" t="s">
        <v>1585</v>
      </c>
      <c r="D100" s="1068" t="s">
        <v>1586</v>
      </c>
      <c r="E100" s="1139">
        <v>0.2</v>
      </c>
      <c r="F100" s="1154">
        <v>30</v>
      </c>
    </row>
    <row r="101" spans="1:6" s="1105" customFormat="1" ht="36">
      <c r="A101" s="1154">
        <v>41</v>
      </c>
      <c r="B101" s="3733"/>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33" t="s">
        <v>1597</v>
      </c>
      <c r="C105" s="1154" t="s">
        <v>1598</v>
      </c>
      <c r="D105" s="1068" t="s">
        <v>1599</v>
      </c>
      <c r="E105" s="1139">
        <v>0.2</v>
      </c>
      <c r="F105" s="1154">
        <v>30</v>
      </c>
    </row>
    <row r="106" spans="1:6" s="1105" customFormat="1" ht="36">
      <c r="A106" s="1154">
        <v>46</v>
      </c>
      <c r="B106" s="3733"/>
      <c r="C106" s="1154" t="s">
        <v>1600</v>
      </c>
      <c r="D106" s="1068" t="s">
        <v>1601</v>
      </c>
      <c r="E106" s="1139">
        <v>0.2</v>
      </c>
      <c r="F106" s="1154">
        <v>30</v>
      </c>
    </row>
    <row r="107" spans="1:6" s="1105" customFormat="1" ht="36">
      <c r="A107" s="1154">
        <v>47</v>
      </c>
      <c r="B107" s="3733" t="s">
        <v>1602</v>
      </c>
      <c r="C107" s="1154" t="s">
        <v>1603</v>
      </c>
      <c r="D107" s="1068" t="s">
        <v>1604</v>
      </c>
      <c r="E107" s="1139">
        <v>0.3</v>
      </c>
      <c r="F107" s="1154">
        <v>50</v>
      </c>
    </row>
    <row r="108" spans="1:6" s="1105" customFormat="1" ht="36">
      <c r="A108" s="1154">
        <v>48</v>
      </c>
      <c r="B108" s="3733"/>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33" t="s">
        <v>1613</v>
      </c>
      <c r="C111" s="1154" t="s">
        <v>1614</v>
      </c>
      <c r="D111" s="1068" t="s">
        <v>1615</v>
      </c>
      <c r="E111" s="1139">
        <v>0.2</v>
      </c>
      <c r="F111" s="1154">
        <v>30</v>
      </c>
    </row>
    <row r="112" spans="1:6" s="1105" customFormat="1" ht="24">
      <c r="A112" s="1154">
        <v>52</v>
      </c>
      <c r="B112" s="3733"/>
      <c r="C112" s="1154" t="s">
        <v>1616</v>
      </c>
      <c r="D112" s="1068" t="s">
        <v>1617</v>
      </c>
      <c r="E112" s="1139">
        <v>0.2</v>
      </c>
      <c r="F112" s="1154">
        <v>30</v>
      </c>
    </row>
    <row r="113" spans="1:14" s="1105" customFormat="1" ht="24">
      <c r="A113" s="1154">
        <v>53</v>
      </c>
      <c r="B113" s="3733"/>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33" t="s">
        <v>1626</v>
      </c>
      <c r="C116" s="1154" t="s">
        <v>1627</v>
      </c>
      <c r="D116" s="1068" t="s">
        <v>1628</v>
      </c>
      <c r="E116" s="1139">
        <v>0.2</v>
      </c>
      <c r="F116" s="1154">
        <v>30</v>
      </c>
    </row>
    <row r="117" spans="1:14" ht="36">
      <c r="A117" s="1154">
        <v>57</v>
      </c>
      <c r="B117" s="3733"/>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32" t="s">
        <v>1635</v>
      </c>
      <c r="B121" s="3732"/>
      <c r="C121" s="3732"/>
      <c r="D121" s="3732"/>
      <c r="E121" s="3732"/>
      <c r="F121" s="3732"/>
      <c r="G121" s="3732"/>
      <c r="H121" s="3732"/>
      <c r="I121" s="3732"/>
      <c r="J121" s="37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37" t="s">
        <v>1041</v>
      </c>
      <c r="B1" s="3737"/>
      <c r="C1" s="3737"/>
      <c r="D1" s="3737"/>
      <c r="E1" s="3737"/>
      <c r="F1" s="3737"/>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38" t="s">
        <v>1054</v>
      </c>
      <c r="B2" s="3738"/>
      <c r="C2" s="3738"/>
      <c r="D2" s="3738"/>
      <c r="E2" s="3738"/>
      <c r="F2" s="3738"/>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39"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40"/>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2422</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2423</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41" t="s">
        <v>2080</v>
      </c>
      <c r="B1" s="374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1098</v>
      </c>
      <c r="B6" s="1860" t="s">
        <v>2089</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2090</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2091</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2092</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2093</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2094</v>
      </c>
      <c r="C72" s="1870"/>
      <c r="D72" s="1870"/>
      <c r="E72" s="1870"/>
      <c r="F72" s="1862">
        <v>0.05</v>
      </c>
    </row>
    <row r="73" spans="1:6" ht="14.25" thickBot="1">
      <c r="A73" s="1856" t="s">
        <v>926</v>
      </c>
      <c r="B73" s="1860" t="s">
        <v>2095</v>
      </c>
      <c r="C73" s="1870"/>
      <c r="D73" s="1870"/>
      <c r="E73" s="1870"/>
      <c r="F73" s="1862">
        <v>0.05</v>
      </c>
    </row>
    <row r="74" spans="1:6" ht="14.25" thickBot="1">
      <c r="A74" s="1856" t="s">
        <v>926</v>
      </c>
      <c r="B74" s="1860" t="s">
        <v>2096</v>
      </c>
      <c r="C74" s="1870"/>
      <c r="D74" s="1870"/>
      <c r="E74" s="1870"/>
      <c r="F74" s="1862">
        <v>0.05</v>
      </c>
    </row>
    <row r="75" spans="1:6" ht="14.25" thickBot="1">
      <c r="A75" s="1864" t="s">
        <v>926</v>
      </c>
      <c r="B75" s="1871" t="s">
        <v>2097</v>
      </c>
      <c r="C75" s="1867"/>
      <c r="D75" s="1867"/>
      <c r="E75" s="1867"/>
      <c r="F75" s="1872">
        <v>0.05</v>
      </c>
    </row>
    <row r="76" spans="1:6" ht="14.25" thickBot="1">
      <c r="A76" s="1856" t="s">
        <v>1409</v>
      </c>
      <c r="B76" s="1857" t="s">
        <v>2098</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2099</v>
      </c>
      <c r="C102" s="1870"/>
      <c r="D102" s="1870"/>
      <c r="E102" s="1870"/>
      <c r="F102" s="1862">
        <v>0.05</v>
      </c>
    </row>
    <row r="103" spans="1:6" ht="24.75" thickBot="1">
      <c r="A103" s="1856" t="s">
        <v>1409</v>
      </c>
      <c r="B103" s="1860" t="s">
        <v>2100</v>
      </c>
      <c r="C103" s="1870"/>
      <c r="D103" s="1870"/>
      <c r="E103" s="1870"/>
      <c r="F103" s="1862">
        <v>0.05</v>
      </c>
    </row>
    <row r="104" spans="1:6" ht="14.25" thickBot="1">
      <c r="A104" s="1856" t="s">
        <v>1409</v>
      </c>
      <c r="B104" s="1860" t="s">
        <v>2101</v>
      </c>
      <c r="C104" s="1870"/>
      <c r="D104" s="1870"/>
      <c r="E104" s="1870"/>
      <c r="F104" s="1862">
        <v>0.05</v>
      </c>
    </row>
    <row r="105" spans="1:6" ht="14.25" thickBot="1">
      <c r="A105" s="1856" t="s">
        <v>1409</v>
      </c>
      <c r="B105" s="1860" t="s">
        <v>2102</v>
      </c>
      <c r="C105" s="1870"/>
      <c r="D105" s="1870"/>
      <c r="E105" s="1870"/>
      <c r="F105" s="1862">
        <v>0.05</v>
      </c>
    </row>
    <row r="106" spans="1:6" ht="14.25" thickBot="1">
      <c r="A106" s="1856" t="s">
        <v>1409</v>
      </c>
      <c r="B106" s="1860" t="s">
        <v>2103</v>
      </c>
      <c r="C106" s="1870"/>
      <c r="D106" s="1870"/>
      <c r="E106" s="1870"/>
      <c r="F106" s="1862">
        <v>0.05</v>
      </c>
    </row>
    <row r="107" spans="1:6" ht="24.75" thickBot="1">
      <c r="A107" s="1856" t="s">
        <v>1409</v>
      </c>
      <c r="B107" s="1860" t="s">
        <v>2104</v>
      </c>
      <c r="C107" s="1870"/>
      <c r="D107" s="1870"/>
      <c r="E107" s="1870"/>
      <c r="F107" s="1862">
        <v>0.05</v>
      </c>
    </row>
    <row r="108" spans="1:6" ht="24.75" thickBot="1">
      <c r="A108" s="1856" t="s">
        <v>1409</v>
      </c>
      <c r="B108" s="1860" t="s">
        <v>2105</v>
      </c>
      <c r="C108" s="1870"/>
      <c r="D108" s="1870"/>
      <c r="E108" s="1870"/>
      <c r="F108" s="1862">
        <v>0.05</v>
      </c>
    </row>
    <row r="109" spans="1:6" ht="24.75" thickBot="1">
      <c r="A109" s="1864" t="s">
        <v>1409</v>
      </c>
      <c r="B109" s="1871" t="s">
        <v>2106</v>
      </c>
      <c r="C109" s="1867"/>
      <c r="D109" s="1867"/>
      <c r="E109" s="1867"/>
      <c r="F109" s="1872">
        <v>0.05</v>
      </c>
    </row>
    <row r="110" spans="1:6" ht="14.25" thickBot="1">
      <c r="A110" s="1856" t="s">
        <v>1411</v>
      </c>
      <c r="B110" s="1857" t="s">
        <v>2107</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2108</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2109</v>
      </c>
      <c r="C138" s="1861">
        <v>0.105</v>
      </c>
      <c r="D138" s="1861">
        <v>0.125</v>
      </c>
      <c r="E138" s="1861">
        <v>0.112</v>
      </c>
      <c r="F138" s="1869"/>
    </row>
    <row r="139" spans="1:6" ht="14.25" thickBot="1">
      <c r="A139" s="1856" t="s">
        <v>1411</v>
      </c>
      <c r="B139" s="1860" t="s">
        <v>2110</v>
      </c>
      <c r="C139" s="1861">
        <v>0.127</v>
      </c>
      <c r="D139" s="1861">
        <v>0.127</v>
      </c>
      <c r="E139" s="1861">
        <v>0.122</v>
      </c>
      <c r="F139" s="1862">
        <v>0.13</v>
      </c>
    </row>
    <row r="140" spans="1:6" ht="14.25" thickBot="1">
      <c r="A140" s="1856" t="s">
        <v>1411</v>
      </c>
      <c r="B140" s="1860" t="s">
        <v>2111</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2112</v>
      </c>
      <c r="C144" s="1874">
        <v>0.126</v>
      </c>
      <c r="D144" s="1874">
        <v>0.126</v>
      </c>
      <c r="E144" s="1874">
        <v>0.121</v>
      </c>
      <c r="F144" s="1869"/>
    </row>
    <row r="145" spans="1:6" ht="14.25" thickBot="1">
      <c r="A145" s="1864" t="s">
        <v>1411</v>
      </c>
      <c r="B145" s="1875" t="s">
        <v>2113</v>
      </c>
      <c r="C145" s="1876"/>
      <c r="D145" s="1876"/>
      <c r="E145" s="1876"/>
      <c r="F145" s="1877">
        <v>0.05</v>
      </c>
    </row>
    <row r="146" spans="1:6" ht="24.75" thickBot="1">
      <c r="A146" s="1878" t="s">
        <v>1411</v>
      </c>
      <c r="B146" s="1863" t="s">
        <v>2114</v>
      </c>
      <c r="C146" s="1870"/>
      <c r="D146" s="1870"/>
      <c r="E146" s="1870"/>
      <c r="F146" s="1879">
        <v>0.05</v>
      </c>
    </row>
    <row r="147" spans="1:6" ht="24.75" thickBot="1">
      <c r="A147" s="1856" t="s">
        <v>1411</v>
      </c>
      <c r="B147" s="1860" t="s">
        <v>2115</v>
      </c>
      <c r="C147" s="1870"/>
      <c r="D147" s="1870"/>
      <c r="E147" s="1870"/>
      <c r="F147" s="1862">
        <v>0.05</v>
      </c>
    </row>
    <row r="148" spans="1:6" ht="24.75" thickBot="1">
      <c r="A148" s="1856" t="s">
        <v>1411</v>
      </c>
      <c r="B148" s="1860" t="s">
        <v>2116</v>
      </c>
      <c r="C148" s="1870"/>
      <c r="D148" s="1870"/>
      <c r="E148" s="1870"/>
      <c r="F148" s="1862">
        <v>0.05</v>
      </c>
    </row>
    <row r="149" spans="1:6" ht="24.75" thickBot="1">
      <c r="A149" s="1856" t="s">
        <v>1411</v>
      </c>
      <c r="B149" s="1860" t="s">
        <v>2117</v>
      </c>
      <c r="C149" s="1870"/>
      <c r="D149" s="1870"/>
      <c r="E149" s="1870"/>
      <c r="F149" s="1862">
        <v>0.05</v>
      </c>
    </row>
    <row r="150" spans="1:6" ht="24.75" thickBot="1">
      <c r="A150" s="1856" t="s">
        <v>1411</v>
      </c>
      <c r="B150" s="1860" t="s">
        <v>2118</v>
      </c>
      <c r="C150" s="1870"/>
      <c r="D150" s="1870"/>
      <c r="E150" s="1870"/>
      <c r="F150" s="1862">
        <v>0.05</v>
      </c>
    </row>
    <row r="151" spans="1:6" ht="24.75" thickBot="1">
      <c r="A151" s="1856" t="s">
        <v>1411</v>
      </c>
      <c r="B151" s="1860" t="s">
        <v>2119</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2120</v>
      </c>
      <c r="C153" s="1870"/>
      <c r="D153" s="1870"/>
      <c r="E153" s="1870"/>
      <c r="F153" s="1862">
        <v>0.05</v>
      </c>
    </row>
    <row r="154" spans="1:6" ht="14.25" thickBot="1">
      <c r="A154" s="1856" t="s">
        <v>1411</v>
      </c>
      <c r="B154" s="1860" t="s">
        <v>2121</v>
      </c>
      <c r="C154" s="1870"/>
      <c r="D154" s="1870"/>
      <c r="E154" s="1870"/>
      <c r="F154" s="1862">
        <v>0.05</v>
      </c>
    </row>
    <row r="155" spans="1:6" ht="24.75" thickBot="1">
      <c r="A155" s="1856" t="s">
        <v>1411</v>
      </c>
      <c r="B155" s="1860" t="s">
        <v>2122</v>
      </c>
      <c r="C155" s="1870"/>
      <c r="D155" s="1870"/>
      <c r="E155" s="1870"/>
      <c r="F155" s="1862">
        <v>0.05</v>
      </c>
    </row>
    <row r="156" spans="1:6" ht="24.75" thickBot="1">
      <c r="A156" s="1856" t="s">
        <v>1411</v>
      </c>
      <c r="B156" s="1860" t="s">
        <v>2123</v>
      </c>
      <c r="C156" s="1870"/>
      <c r="D156" s="1870"/>
      <c r="E156" s="1870"/>
      <c r="F156" s="1862">
        <v>0.05</v>
      </c>
    </row>
    <row r="157" spans="1:6" ht="14.25" thickBot="1">
      <c r="A157" s="1864" t="s">
        <v>1411</v>
      </c>
      <c r="B157" s="1871" t="s">
        <v>2124</v>
      </c>
      <c r="C157" s="1867"/>
      <c r="D157" s="1867"/>
      <c r="E157" s="1867"/>
      <c r="F157" s="1872">
        <v>0.05</v>
      </c>
    </row>
    <row r="158" spans="1:6" ht="14.25" thickBot="1">
      <c r="A158" s="1856" t="s">
        <v>1413</v>
      </c>
      <c r="B158" s="1857" t="s">
        <v>2125</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2126</v>
      </c>
      <c r="C171" s="1861">
        <v>0.127</v>
      </c>
      <c r="D171" s="1861">
        <v>0.126</v>
      </c>
      <c r="E171" s="1861">
        <v>0.126</v>
      </c>
      <c r="F171" s="1862">
        <v>0.11799999999999999</v>
      </c>
    </row>
    <row r="172" spans="1:6" ht="14.25" thickBot="1">
      <c r="A172" s="1856" t="s">
        <v>1413</v>
      </c>
      <c r="B172" s="1860" t="s">
        <v>2127</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2128</v>
      </c>
      <c r="C174" s="1861">
        <v>0.13</v>
      </c>
      <c r="D174" s="1861">
        <v>0.13</v>
      </c>
      <c r="E174" s="1861">
        <v>0.13</v>
      </c>
      <c r="F174" s="1862">
        <v>0.13</v>
      </c>
    </row>
    <row r="175" spans="1:6" ht="14.25" thickBot="1">
      <c r="A175" s="1856" t="s">
        <v>1413</v>
      </c>
      <c r="B175" s="1860" t="s">
        <v>2129</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2130</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2131</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2132</v>
      </c>
      <c r="C185" s="1861">
        <v>0.127</v>
      </c>
      <c r="D185" s="1861">
        <v>0.127</v>
      </c>
      <c r="E185" s="1861">
        <v>0.128</v>
      </c>
      <c r="F185" s="1862">
        <v>0.13</v>
      </c>
    </row>
    <row r="186" spans="1:6" ht="24.75" thickBot="1">
      <c r="A186" s="1856" t="s">
        <v>1413</v>
      </c>
      <c r="B186" s="1860" t="s">
        <v>2133</v>
      </c>
      <c r="C186" s="1870"/>
      <c r="D186" s="1870"/>
      <c r="E186" s="1870"/>
      <c r="F186" s="1862">
        <v>0.05</v>
      </c>
    </row>
    <row r="187" spans="1:6" ht="14.25" thickBot="1">
      <c r="A187" s="1856" t="s">
        <v>1413</v>
      </c>
      <c r="B187" s="1860" t="s">
        <v>2134</v>
      </c>
      <c r="C187" s="1870"/>
      <c r="D187" s="1870"/>
      <c r="E187" s="1870"/>
      <c r="F187" s="1862">
        <v>0.05</v>
      </c>
    </row>
    <row r="188" spans="1:6" ht="14.25" thickBot="1">
      <c r="A188" s="1856" t="s">
        <v>1413</v>
      </c>
      <c r="B188" s="1860" t="s">
        <v>2135</v>
      </c>
      <c r="C188" s="1870"/>
      <c r="D188" s="1870"/>
      <c r="E188" s="1870"/>
      <c r="F188" s="1862">
        <v>0.05</v>
      </c>
    </row>
    <row r="189" spans="1:6" ht="24.75" thickBot="1">
      <c r="A189" s="1856" t="s">
        <v>1413</v>
      </c>
      <c r="B189" s="1860" t="s">
        <v>2136</v>
      </c>
      <c r="C189" s="1870"/>
      <c r="D189" s="1870"/>
      <c r="E189" s="1870"/>
      <c r="F189" s="1862">
        <v>0.05</v>
      </c>
    </row>
    <row r="190" spans="1:6" ht="24.75" thickBot="1">
      <c r="A190" s="1856" t="s">
        <v>1413</v>
      </c>
      <c r="B190" s="1860" t="s">
        <v>2137</v>
      </c>
      <c r="C190" s="1870"/>
      <c r="D190" s="1870"/>
      <c r="E190" s="1870"/>
      <c r="F190" s="1862">
        <v>0.05</v>
      </c>
    </row>
    <row r="191" spans="1:6" ht="24.75" thickBot="1">
      <c r="A191" s="1856" t="s">
        <v>1413</v>
      </c>
      <c r="B191" s="1860" t="s">
        <v>2138</v>
      </c>
      <c r="C191" s="1870"/>
      <c r="D191" s="1870"/>
      <c r="E191" s="1870"/>
      <c r="F191" s="1862">
        <v>0.05</v>
      </c>
    </row>
    <row r="192" spans="1:6" ht="24.75" thickBot="1">
      <c r="A192" s="1856" t="s">
        <v>1413</v>
      </c>
      <c r="B192" s="1860" t="s">
        <v>2139</v>
      </c>
      <c r="C192" s="1870"/>
      <c r="D192" s="1870"/>
      <c r="E192" s="1870"/>
      <c r="F192" s="1862">
        <v>0.05</v>
      </c>
    </row>
    <row r="193" spans="1:6" ht="24.75" thickBot="1">
      <c r="A193" s="1856" t="s">
        <v>1413</v>
      </c>
      <c r="B193" s="1860" t="s">
        <v>2140</v>
      </c>
      <c r="C193" s="1870"/>
      <c r="D193" s="1870"/>
      <c r="E193" s="1870"/>
      <c r="F193" s="1862">
        <v>0.05</v>
      </c>
    </row>
    <row r="194" spans="1:6" ht="24.75" thickBot="1">
      <c r="A194" s="1856" t="s">
        <v>1413</v>
      </c>
      <c r="B194" s="1860" t="s">
        <v>2141</v>
      </c>
      <c r="C194" s="1870"/>
      <c r="D194" s="1870"/>
      <c r="E194" s="1870"/>
      <c r="F194" s="1862">
        <v>0.05</v>
      </c>
    </row>
    <row r="195" spans="1:6" ht="14.25" thickBot="1">
      <c r="A195" s="1856" t="s">
        <v>1413</v>
      </c>
      <c r="B195" s="1860" t="s">
        <v>2142</v>
      </c>
      <c r="C195" s="1870"/>
      <c r="D195" s="1870"/>
      <c r="E195" s="1870"/>
      <c r="F195" s="1862">
        <v>0.05</v>
      </c>
    </row>
    <row r="196" spans="1:6" ht="24.75" thickBot="1">
      <c r="A196" s="1856" t="s">
        <v>1413</v>
      </c>
      <c r="B196" s="1860" t="s">
        <v>2143</v>
      </c>
      <c r="C196" s="1870"/>
      <c r="D196" s="1870"/>
      <c r="E196" s="1870"/>
      <c r="F196" s="1862">
        <v>0.05</v>
      </c>
    </row>
    <row r="197" spans="1:6" ht="24.75" thickBot="1">
      <c r="A197" s="1856" t="s">
        <v>1413</v>
      </c>
      <c r="B197" s="1860" t="s">
        <v>2144</v>
      </c>
      <c r="C197" s="1870"/>
      <c r="D197" s="1870"/>
      <c r="E197" s="1870"/>
      <c r="F197" s="1862">
        <v>0.05</v>
      </c>
    </row>
    <row r="198" spans="1:6" ht="24.75" thickBot="1">
      <c r="A198" s="1856" t="s">
        <v>1413</v>
      </c>
      <c r="B198" s="1860" t="s">
        <v>2145</v>
      </c>
      <c r="C198" s="1870"/>
      <c r="D198" s="1870"/>
      <c r="E198" s="1870"/>
      <c r="F198" s="1862">
        <v>0.05</v>
      </c>
    </row>
    <row r="199" spans="1:6" ht="24.75" thickBot="1">
      <c r="A199" s="1856" t="s">
        <v>1413</v>
      </c>
      <c r="B199" s="1860" t="s">
        <v>2146</v>
      </c>
      <c r="C199" s="1870"/>
      <c r="D199" s="1870"/>
      <c r="E199" s="1870"/>
      <c r="F199" s="1862">
        <v>0.05</v>
      </c>
    </row>
    <row r="200" spans="1:6" ht="24.75" thickBot="1">
      <c r="A200" s="1856" t="s">
        <v>1413</v>
      </c>
      <c r="B200" s="1860" t="s">
        <v>2147</v>
      </c>
      <c r="C200" s="1870"/>
      <c r="D200" s="1870"/>
      <c r="E200" s="1870"/>
      <c r="F200" s="1862">
        <v>0.05</v>
      </c>
    </row>
    <row r="201" spans="1:6" ht="24.75" thickBot="1">
      <c r="A201" s="1856" t="s">
        <v>1413</v>
      </c>
      <c r="B201" s="1860" t="s">
        <v>2148</v>
      </c>
      <c r="C201" s="1870"/>
      <c r="D201" s="1870"/>
      <c r="E201" s="1870"/>
      <c r="F201" s="1862">
        <v>0.05</v>
      </c>
    </row>
    <row r="202" spans="1:6" ht="24.75" thickBot="1">
      <c r="A202" s="1856" t="s">
        <v>1413</v>
      </c>
      <c r="B202" s="1860" t="s">
        <v>2149</v>
      </c>
      <c r="C202" s="1870"/>
      <c r="D202" s="1870"/>
      <c r="E202" s="1870"/>
      <c r="F202" s="1862">
        <v>0.05</v>
      </c>
    </row>
    <row r="203" spans="1:6" ht="24.75" thickBot="1">
      <c r="A203" s="1856" t="s">
        <v>1413</v>
      </c>
      <c r="B203" s="1860" t="s">
        <v>2150</v>
      </c>
      <c r="C203" s="1870"/>
      <c r="D203" s="1870"/>
      <c r="E203" s="1870"/>
      <c r="F203" s="1862">
        <v>0.05</v>
      </c>
    </row>
    <row r="204" spans="1:6" ht="14.25" thickBot="1">
      <c r="A204" s="1856" t="s">
        <v>1413</v>
      </c>
      <c r="B204" s="1860" t="s">
        <v>2151</v>
      </c>
      <c r="C204" s="1870"/>
      <c r="D204" s="1870"/>
      <c r="E204" s="1870"/>
      <c r="F204" s="1862">
        <v>0.05</v>
      </c>
    </row>
    <row r="205" spans="1:6" ht="14.25" thickBot="1">
      <c r="A205" s="1864" t="s">
        <v>1413</v>
      </c>
      <c r="B205" s="1871" t="s">
        <v>2152</v>
      </c>
      <c r="C205" s="1867"/>
      <c r="D205" s="1867"/>
      <c r="E205" s="1867"/>
      <c r="F205" s="1872">
        <v>0.05</v>
      </c>
    </row>
    <row r="206" spans="1:6" ht="14.25" thickBot="1">
      <c r="A206" s="1856" t="s">
        <v>1415</v>
      </c>
      <c r="B206" s="1857" t="s">
        <v>2153</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2154</v>
      </c>
      <c r="C210" s="1861">
        <v>0.15</v>
      </c>
      <c r="D210" s="1861">
        <v>0.15</v>
      </c>
      <c r="E210" s="1861">
        <v>0.15</v>
      </c>
      <c r="F210" s="1862">
        <v>0.13800000000000001</v>
      </c>
    </row>
    <row r="211" spans="1:6" ht="14.25" thickBot="1">
      <c r="A211" s="1856" t="s">
        <v>1415</v>
      </c>
      <c r="B211" s="1860" t="s">
        <v>2155</v>
      </c>
      <c r="C211" s="1861">
        <v>0.13700000000000001</v>
      </c>
      <c r="D211" s="1861">
        <v>0.13500000000000001</v>
      </c>
      <c r="E211" s="1861">
        <v>0.13600000000000001</v>
      </c>
      <c r="F211" s="1862">
        <v>0.1</v>
      </c>
    </row>
    <row r="212" spans="1:6" ht="14.25" thickBot="1">
      <c r="A212" s="1856" t="s">
        <v>1415</v>
      </c>
      <c r="B212" s="1860" t="s">
        <v>2156</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2157</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2158</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2159</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2160</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2161</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2162</v>
      </c>
      <c r="C231" s="1861">
        <v>0.128</v>
      </c>
      <c r="D231" s="1861">
        <v>0.125</v>
      </c>
      <c r="E231" s="1861">
        <v>0.13200000000000001</v>
      </c>
      <c r="F231" s="1869"/>
    </row>
    <row r="232" spans="1:6" ht="14.25" thickBot="1">
      <c r="A232" s="1856" t="s">
        <v>1415</v>
      </c>
      <c r="B232" s="1860" t="s">
        <v>2163</v>
      </c>
      <c r="C232" s="1861">
        <v>0.14499999999999999</v>
      </c>
      <c r="D232" s="1861">
        <v>0.14399999999999999</v>
      </c>
      <c r="E232" s="1861">
        <v>0.14599999999999999</v>
      </c>
      <c r="F232" s="1862">
        <v>0.13800000000000001</v>
      </c>
    </row>
    <row r="233" spans="1:6" ht="14.25" thickBot="1">
      <c r="A233" s="1856" t="s">
        <v>1415</v>
      </c>
      <c r="B233" s="1860" t="s">
        <v>2164</v>
      </c>
      <c r="C233" s="1861">
        <v>0.14499999999999999</v>
      </c>
      <c r="D233" s="1861">
        <v>0.14299999999999999</v>
      </c>
      <c r="E233" s="1861">
        <v>0.14199999999999999</v>
      </c>
      <c r="F233" s="1869"/>
    </row>
    <row r="234" spans="1:6" ht="14.25" thickBot="1">
      <c r="A234" s="1856" t="s">
        <v>1415</v>
      </c>
      <c r="B234" s="1860" t="s">
        <v>2165</v>
      </c>
      <c r="C234" s="1861">
        <v>0.14000000000000001</v>
      </c>
      <c r="D234" s="1861">
        <v>0.14000000000000001</v>
      </c>
      <c r="E234" s="1861">
        <v>0.14399999999999999</v>
      </c>
      <c r="F234" s="1869"/>
    </row>
    <row r="235" spans="1:6" ht="14.25" thickBot="1">
      <c r="A235" s="1856" t="s">
        <v>1415</v>
      </c>
      <c r="B235" s="1860" t="s">
        <v>2166</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2167</v>
      </c>
      <c r="C237" s="1870"/>
      <c r="D237" s="1870"/>
      <c r="E237" s="1870"/>
      <c r="F237" s="1862">
        <v>0.05</v>
      </c>
    </row>
    <row r="238" spans="1:6" ht="24.75" thickBot="1">
      <c r="A238" s="1856" t="s">
        <v>1415</v>
      </c>
      <c r="B238" s="1860" t="s">
        <v>2168</v>
      </c>
      <c r="C238" s="1870"/>
      <c r="D238" s="1870"/>
      <c r="E238" s="1870"/>
      <c r="F238" s="1862">
        <v>0.05</v>
      </c>
    </row>
    <row r="239" spans="1:6" ht="24.75" thickBot="1">
      <c r="A239" s="1856" t="s">
        <v>1415</v>
      </c>
      <c r="B239" s="1860" t="s">
        <v>2169</v>
      </c>
      <c r="C239" s="1870"/>
      <c r="D239" s="1870"/>
      <c r="E239" s="1870"/>
      <c r="F239" s="1862">
        <v>0.05</v>
      </c>
    </row>
    <row r="240" spans="1:6" ht="24.75" thickBot="1">
      <c r="A240" s="1856" t="s">
        <v>1415</v>
      </c>
      <c r="B240" s="1860" t="s">
        <v>2170</v>
      </c>
      <c r="C240" s="1870"/>
      <c r="D240" s="1870"/>
      <c r="E240" s="1870"/>
      <c r="F240" s="1862">
        <v>0.05</v>
      </c>
    </row>
    <row r="241" spans="1:6" ht="24.75" thickBot="1">
      <c r="A241" s="1856" t="s">
        <v>1415</v>
      </c>
      <c r="B241" s="1860" t="s">
        <v>2171</v>
      </c>
      <c r="C241" s="1870"/>
      <c r="D241" s="1870"/>
      <c r="E241" s="1870"/>
      <c r="F241" s="1862">
        <v>0.05</v>
      </c>
    </row>
    <row r="242" spans="1:6" ht="24.75" thickBot="1">
      <c r="A242" s="1856" t="s">
        <v>1415</v>
      </c>
      <c r="B242" s="1860" t="s">
        <v>2172</v>
      </c>
      <c r="C242" s="1870"/>
      <c r="D242" s="1870"/>
      <c r="E242" s="1870"/>
      <c r="F242" s="1862">
        <v>0.05</v>
      </c>
    </row>
    <row r="243" spans="1:6" ht="24.75" thickBot="1">
      <c r="A243" s="1856" t="s">
        <v>1415</v>
      </c>
      <c r="B243" s="1860" t="s">
        <v>2173</v>
      </c>
      <c r="C243" s="1870"/>
      <c r="D243" s="1870"/>
      <c r="E243" s="1870"/>
      <c r="F243" s="1862">
        <v>0.05</v>
      </c>
    </row>
    <row r="244" spans="1:6" ht="24.75" thickBot="1">
      <c r="A244" s="1864" t="s">
        <v>1415</v>
      </c>
      <c r="B244" s="1871" t="s">
        <v>2174</v>
      </c>
      <c r="C244" s="1867"/>
      <c r="D244" s="1867"/>
      <c r="E244" s="1867"/>
      <c r="F244" s="1872">
        <v>0.05</v>
      </c>
    </row>
    <row r="245" spans="1:6" ht="14.25" thickBot="1">
      <c r="A245" s="1856" t="s">
        <v>1417</v>
      </c>
      <c r="B245" s="1857" t="s">
        <v>2175</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2176</v>
      </c>
      <c r="C247" s="1861">
        <v>0.15</v>
      </c>
      <c r="D247" s="1861">
        <v>0.15</v>
      </c>
      <c r="E247" s="1861">
        <v>0.15</v>
      </c>
      <c r="F247" s="1862">
        <v>0.15</v>
      </c>
    </row>
    <row r="248" spans="1:6" ht="14.25" thickBot="1">
      <c r="A248" s="1856" t="s">
        <v>1417</v>
      </c>
      <c r="B248" s="1860" t="s">
        <v>2177</v>
      </c>
      <c r="C248" s="1861">
        <v>0.15</v>
      </c>
      <c r="D248" s="1861">
        <v>0.15</v>
      </c>
      <c r="E248" s="1861">
        <v>0.15</v>
      </c>
      <c r="F248" s="1862">
        <v>0.14000000000000001</v>
      </c>
    </row>
    <row r="249" spans="1:6" ht="14.25" thickBot="1">
      <c r="A249" s="1856" t="s">
        <v>1417</v>
      </c>
      <c r="B249" s="1860" t="s">
        <v>2178</v>
      </c>
      <c r="C249" s="1861">
        <v>0.15</v>
      </c>
      <c r="D249" s="1861">
        <v>0.14899999999999999</v>
      </c>
      <c r="E249" s="1861">
        <v>0.15</v>
      </c>
      <c r="F249" s="1862">
        <v>0.1</v>
      </c>
    </row>
    <row r="250" spans="1:6" ht="14.25" thickBot="1">
      <c r="A250" s="1856" t="s">
        <v>1417</v>
      </c>
      <c r="B250" s="1860" t="s">
        <v>2179</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2180</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2181</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2182</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2183</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2184</v>
      </c>
      <c r="C273" s="1861">
        <v>0.14199999999999999</v>
      </c>
      <c r="D273" s="1861">
        <v>0.14299999999999999</v>
      </c>
      <c r="E273" s="1861">
        <v>0.15</v>
      </c>
      <c r="F273" s="1862">
        <v>0.1</v>
      </c>
    </row>
    <row r="274" spans="1:6" ht="14.25" thickBot="1">
      <c r="A274" s="1856" t="s">
        <v>1417</v>
      </c>
      <c r="B274" s="1860" t="s">
        <v>2185</v>
      </c>
      <c r="C274" s="1861">
        <v>0.14799999999999999</v>
      </c>
      <c r="D274" s="1861">
        <v>0.14799999999999999</v>
      </c>
      <c r="E274" s="1861">
        <v>0.15</v>
      </c>
      <c r="F274" s="1862">
        <v>6.7000000000000004E-2</v>
      </c>
    </row>
    <row r="275" spans="1:6" ht="14.25" thickBot="1">
      <c r="A275" s="1856" t="s">
        <v>1417</v>
      </c>
      <c r="B275" s="1860" t="s">
        <v>2186</v>
      </c>
      <c r="C275" s="1861">
        <v>0.15</v>
      </c>
      <c r="D275" s="1861">
        <v>0.15</v>
      </c>
      <c r="E275" s="1861">
        <v>0.15</v>
      </c>
      <c r="F275" s="1862">
        <v>0.15</v>
      </c>
    </row>
    <row r="276" spans="1:6" ht="14.25" thickBot="1">
      <c r="A276" s="1856" t="s">
        <v>1417</v>
      </c>
      <c r="B276" s="1860" t="s">
        <v>2187</v>
      </c>
      <c r="C276" s="1861">
        <v>0.14499999999999999</v>
      </c>
      <c r="D276" s="1861">
        <v>0.14299999999999999</v>
      </c>
      <c r="E276" s="1861">
        <v>0.15</v>
      </c>
      <c r="F276" s="1862">
        <v>5.8999999999999997E-2</v>
      </c>
    </row>
    <row r="277" spans="1:6" ht="14.25" thickBot="1">
      <c r="A277" s="1856" t="s">
        <v>1417</v>
      </c>
      <c r="B277" s="1860" t="s">
        <v>2188</v>
      </c>
      <c r="C277" s="1861">
        <v>0.15</v>
      </c>
      <c r="D277" s="1861">
        <v>0.15</v>
      </c>
      <c r="E277" s="1861">
        <v>0.15</v>
      </c>
      <c r="F277" s="1862">
        <v>0.121</v>
      </c>
    </row>
    <row r="278" spans="1:6" ht="14.25" thickBot="1">
      <c r="A278" s="1856" t="s">
        <v>1417</v>
      </c>
      <c r="B278" s="1860" t="s">
        <v>2189</v>
      </c>
      <c r="C278" s="1861">
        <v>0.15</v>
      </c>
      <c r="D278" s="1861">
        <v>0.15</v>
      </c>
      <c r="E278" s="1861">
        <v>0.15</v>
      </c>
      <c r="F278" s="1862">
        <v>0.13800000000000001</v>
      </c>
    </row>
    <row r="279" spans="1:6" ht="24.75" thickBot="1">
      <c r="A279" s="1856" t="s">
        <v>1417</v>
      </c>
      <c r="B279" s="1860" t="s">
        <v>2190</v>
      </c>
      <c r="C279" s="1870"/>
      <c r="D279" s="1870"/>
      <c r="E279" s="1870"/>
      <c r="F279" s="1862">
        <v>0.05</v>
      </c>
    </row>
    <row r="280" spans="1:6" ht="24.75" thickBot="1">
      <c r="A280" s="1856" t="s">
        <v>1417</v>
      </c>
      <c r="B280" s="1860" t="s">
        <v>2191</v>
      </c>
      <c r="C280" s="1870"/>
      <c r="D280" s="1870"/>
      <c r="E280" s="1870"/>
      <c r="F280" s="1862">
        <v>0.05</v>
      </c>
    </row>
    <row r="281" spans="1:6" ht="24.75" thickBot="1">
      <c r="A281" s="1856" t="s">
        <v>1417</v>
      </c>
      <c r="B281" s="1860" t="s">
        <v>2192</v>
      </c>
      <c r="C281" s="1870"/>
      <c r="D281" s="1870"/>
      <c r="E281" s="1870"/>
      <c r="F281" s="1862">
        <v>0.05</v>
      </c>
    </row>
    <row r="282" spans="1:6" ht="24.75" thickBot="1">
      <c r="A282" s="1856" t="s">
        <v>1417</v>
      </c>
      <c r="B282" s="1860" t="s">
        <v>2193</v>
      </c>
      <c r="C282" s="1870"/>
      <c r="D282" s="1870"/>
      <c r="E282" s="1870"/>
      <c r="F282" s="1862">
        <v>0.05</v>
      </c>
    </row>
    <row r="283" spans="1:6" ht="24.75" thickBot="1">
      <c r="A283" s="1856" t="s">
        <v>1417</v>
      </c>
      <c r="B283" s="1860" t="s">
        <v>2194</v>
      </c>
      <c r="C283" s="1870"/>
      <c r="D283" s="1870"/>
      <c r="E283" s="1870"/>
      <c r="F283" s="1862">
        <v>0.05</v>
      </c>
    </row>
    <row r="284" spans="1:6" ht="24.75" thickBot="1">
      <c r="A284" s="1856" t="s">
        <v>1417</v>
      </c>
      <c r="B284" s="1860" t="s">
        <v>2195</v>
      </c>
      <c r="C284" s="1870"/>
      <c r="D284" s="1870"/>
      <c r="E284" s="1870"/>
      <c r="F284" s="1862">
        <v>0.05</v>
      </c>
    </row>
    <row r="285" spans="1:6" ht="24.75" thickBot="1">
      <c r="A285" s="1856" t="s">
        <v>1417</v>
      </c>
      <c r="B285" s="1860" t="s">
        <v>2196</v>
      </c>
      <c r="C285" s="1870"/>
      <c r="D285" s="1870"/>
      <c r="E285" s="1870"/>
      <c r="F285" s="1862">
        <v>0.05</v>
      </c>
    </row>
    <row r="286" spans="1:6" ht="24.75" thickBot="1">
      <c r="A286" s="1856" t="s">
        <v>1417</v>
      </c>
      <c r="B286" s="1860" t="s">
        <v>2197</v>
      </c>
      <c r="C286" s="1870"/>
      <c r="D286" s="1870"/>
      <c r="E286" s="1870"/>
      <c r="F286" s="1862">
        <v>0.05</v>
      </c>
    </row>
    <row r="287" spans="1:6" ht="24.75" thickBot="1">
      <c r="A287" s="1856" t="s">
        <v>1417</v>
      </c>
      <c r="B287" s="1860" t="s">
        <v>2198</v>
      </c>
      <c r="C287" s="1870"/>
      <c r="D287" s="1870"/>
      <c r="E287" s="1870"/>
      <c r="F287" s="1862">
        <v>0.05</v>
      </c>
    </row>
    <row r="288" spans="1:6" ht="24.75" thickBot="1">
      <c r="A288" s="1856" t="s">
        <v>1417</v>
      </c>
      <c r="B288" s="1860" t="s">
        <v>2199</v>
      </c>
      <c r="C288" s="1870"/>
      <c r="D288" s="1870"/>
      <c r="E288" s="1870"/>
      <c r="F288" s="1862">
        <v>0.05</v>
      </c>
    </row>
    <row r="289" spans="1:6" ht="24.75" thickBot="1">
      <c r="A289" s="1864" t="s">
        <v>1417</v>
      </c>
      <c r="B289" s="1871" t="s">
        <v>2200</v>
      </c>
      <c r="C289" s="1867"/>
      <c r="D289" s="1867"/>
      <c r="E289" s="1867"/>
      <c r="F289" s="1872">
        <v>0.05</v>
      </c>
    </row>
    <row r="290" spans="1:6" ht="14.25" thickBot="1">
      <c r="A290" s="1856" t="s">
        <v>1421</v>
      </c>
      <c r="B290" s="1857" t="s">
        <v>2201</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2202</v>
      </c>
      <c r="C292" s="1861">
        <v>0.15</v>
      </c>
      <c r="D292" s="1861">
        <v>0.15</v>
      </c>
      <c r="E292" s="1861">
        <v>0.15</v>
      </c>
      <c r="F292" s="1862">
        <v>0.14699999999999999</v>
      </c>
    </row>
    <row r="293" spans="1:6" ht="14.25" thickBot="1">
      <c r="A293" s="1856" t="s">
        <v>1421</v>
      </c>
      <c r="B293" s="1860" t="s">
        <v>2203</v>
      </c>
      <c r="C293" s="1870"/>
      <c r="D293" s="1870"/>
      <c r="E293" s="1870"/>
      <c r="F293" s="1862">
        <v>0.1</v>
      </c>
    </row>
    <row r="294" spans="1:6" ht="14.25" thickBot="1">
      <c r="A294" s="1856" t="s">
        <v>1421</v>
      </c>
      <c r="B294" s="1860" t="s">
        <v>2204</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2205</v>
      </c>
      <c r="C296" s="1861">
        <v>0.15</v>
      </c>
      <c r="D296" s="1861">
        <v>0.15</v>
      </c>
      <c r="E296" s="1861">
        <v>0.15</v>
      </c>
      <c r="F296" s="1862">
        <v>0.15</v>
      </c>
    </row>
    <row r="297" spans="1:6" ht="14.25" thickBot="1">
      <c r="A297" s="1856" t="s">
        <v>1421</v>
      </c>
      <c r="B297" s="1860" t="s">
        <v>2206</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2207</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2208</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2209</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2210</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2211</v>
      </c>
      <c r="C310" s="1861">
        <v>0.15</v>
      </c>
      <c r="D310" s="1861">
        <v>0.15</v>
      </c>
      <c r="E310" s="1861">
        <v>0.15</v>
      </c>
      <c r="F310" s="1862">
        <v>0.13700000000000001</v>
      </c>
    </row>
    <row r="311" spans="1:6" ht="14.25" thickBot="1">
      <c r="A311" s="1856" t="s">
        <v>1421</v>
      </c>
      <c r="B311" s="1860" t="s">
        <v>2212</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2213</v>
      </c>
      <c r="C313" s="1861">
        <v>0.15</v>
      </c>
      <c r="D313" s="1861">
        <v>0.15</v>
      </c>
      <c r="E313" s="1861">
        <v>0.15</v>
      </c>
      <c r="F313" s="1862">
        <v>0.15</v>
      </c>
    </row>
    <row r="314" spans="1:6" ht="24.75" thickBot="1">
      <c r="A314" s="1856" t="s">
        <v>1421</v>
      </c>
      <c r="B314" s="1860" t="s">
        <v>2214</v>
      </c>
      <c r="C314" s="1870"/>
      <c r="D314" s="1870"/>
      <c r="E314" s="1870"/>
      <c r="F314" s="1862">
        <v>0.05</v>
      </c>
    </row>
    <row r="315" spans="1:6" ht="24.75" thickBot="1">
      <c r="A315" s="1856" t="s">
        <v>1421</v>
      </c>
      <c r="B315" s="1860" t="s">
        <v>2215</v>
      </c>
      <c r="C315" s="1870"/>
      <c r="D315" s="1870"/>
      <c r="E315" s="1870"/>
      <c r="F315" s="1862">
        <v>0.05</v>
      </c>
    </row>
    <row r="316" spans="1:6" ht="24.75" thickBot="1">
      <c r="A316" s="1864" t="s">
        <v>1421</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1109</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1178</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1198</v>
      </c>
      <c r="C328" s="1861">
        <v>0.15</v>
      </c>
      <c r="D328" s="1861">
        <v>0.15</v>
      </c>
      <c r="E328" s="1861">
        <v>0.15</v>
      </c>
      <c r="F328" s="1862">
        <v>0.14099999999999999</v>
      </c>
    </row>
    <row r="329" spans="1:6" ht="14.25" thickBot="1">
      <c r="A329" s="1856" t="s">
        <v>2217</v>
      </c>
      <c r="B329" s="1860" t="s">
        <v>1208</v>
      </c>
      <c r="C329" s="1861">
        <v>0.15</v>
      </c>
      <c r="D329" s="1861">
        <v>0.15</v>
      </c>
      <c r="E329" s="1861">
        <v>0.15</v>
      </c>
      <c r="F329" s="1862">
        <v>0.15</v>
      </c>
    </row>
    <row r="330" spans="1:6" ht="14.25" thickBot="1">
      <c r="A330" s="1856" t="s">
        <v>2217</v>
      </c>
      <c r="B330" s="1860" t="s">
        <v>1218</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1238</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1258</v>
      </c>
      <c r="C334" s="1861">
        <v>0.15</v>
      </c>
      <c r="D334" s="1861">
        <v>0.15</v>
      </c>
      <c r="E334" s="1861">
        <v>0.15</v>
      </c>
      <c r="F334" s="1862">
        <v>0.15</v>
      </c>
    </row>
    <row r="335" spans="1:6" ht="14.25" thickBot="1">
      <c r="A335" s="1856" t="s">
        <v>2217</v>
      </c>
      <c r="B335" s="1860" t="s">
        <v>1268</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1286</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2951</v>
      </c>
      <c r="B1" s="3136"/>
      <c r="C1" s="3136"/>
      <c r="D1" s="3136"/>
      <c r="E1" s="3136"/>
      <c r="F1" s="3136"/>
    </row>
    <row r="2" spans="1:6" ht="14.25">
      <c r="A2" s="3137" t="s">
        <v>2945</v>
      </c>
      <c r="B2" s="3138" t="e">
        <f ca="1">SUMIF(B7:B14,"&lt;&gt;#ref!",B7:B14)</f>
        <v>#DIV/0!</v>
      </c>
      <c r="C2" s="3137" t="s">
        <v>2946</v>
      </c>
      <c r="D2" s="3136"/>
      <c r="E2" s="3136"/>
      <c r="F2" s="3136"/>
    </row>
    <row r="3" spans="1:6" ht="14.25">
      <c r="A3" s="3137" t="s">
        <v>2948</v>
      </c>
      <c r="B3" s="3138" t="e">
        <f ca="1">ROUND(B2*10000/E3,0)</f>
        <v>#DIV/0!</v>
      </c>
      <c r="C3" s="3137" t="s">
        <v>2079</v>
      </c>
      <c r="D3" s="3137" t="s">
        <v>2947</v>
      </c>
      <c r="E3" s="3138" t="e">
        <f ca="1">SUM(E7:E14)</f>
        <v>#REF!</v>
      </c>
      <c r="F3" s="3136"/>
    </row>
    <row r="4" spans="1:6" ht="14.25">
      <c r="A4" s="3137" t="s">
        <v>2955</v>
      </c>
      <c r="B4" s="3138" t="e">
        <f ca="1">ROUND(B2*10000/E4,0)</f>
        <v>#DIV/0!</v>
      </c>
      <c r="C4" s="3137" t="s">
        <v>2079</v>
      </c>
      <c r="D4" s="3137" t="s">
        <v>2956</v>
      </c>
      <c r="E4" s="3138" t="e">
        <f ca="1">SUM(F7:F14)</f>
        <v>#REF!</v>
      </c>
      <c r="F4" s="3136"/>
    </row>
    <row r="5" spans="1:6" ht="14.25">
      <c r="A5" s="3139"/>
      <c r="B5" s="1882"/>
      <c r="C5" s="1882"/>
      <c r="D5" s="1882"/>
      <c r="E5" s="1882"/>
      <c r="F5" s="3136"/>
    </row>
    <row r="6" spans="1:6" ht="28.5">
      <c r="A6" s="3140" t="s">
        <v>2952</v>
      </c>
      <c r="B6" s="3137" t="s">
        <v>2949</v>
      </c>
      <c r="C6" s="3138"/>
      <c r="D6" s="1882"/>
      <c r="E6" s="3137" t="s">
        <v>2950</v>
      </c>
      <c r="F6" s="3137" t="s">
        <v>2954</v>
      </c>
    </row>
    <row r="7" spans="1:6" ht="14.25">
      <c r="A7" s="260" t="s">
        <v>2953</v>
      </c>
      <c r="B7" s="3141" t="e">
        <f ca="1">SUMIF(INDIRECT("'"&amp;A7&amp;"'"&amp;"!A:A"),"总价",INDIRECT("'"&amp;A7&amp;"'"&amp;"!B:B"))</f>
        <v>#DIV/0!</v>
      </c>
      <c r="C7" s="3137" t="s">
        <v>2946</v>
      </c>
      <c r="D7" s="1882"/>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2946</v>
      </c>
      <c r="D8" s="1882"/>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2946</v>
      </c>
      <c r="D9" s="1882"/>
      <c r="E9" s="3142" t="e">
        <f t="shared" ca="1" si="1"/>
        <v>#REF!</v>
      </c>
      <c r="F9" s="3142" t="e">
        <f t="shared" ca="1" si="2"/>
        <v>#REF!</v>
      </c>
    </row>
    <row r="10" spans="1:6" ht="14.25">
      <c r="A10" s="260"/>
      <c r="B10" s="3141" t="e">
        <f t="shared" ca="1" si="0"/>
        <v>#REF!</v>
      </c>
      <c r="C10" s="3137" t="s">
        <v>2946</v>
      </c>
      <c r="D10" s="1882"/>
      <c r="E10" s="3142" t="e">
        <f t="shared" ca="1" si="1"/>
        <v>#REF!</v>
      </c>
      <c r="F10" s="3142" t="e">
        <f t="shared" ca="1" si="2"/>
        <v>#REF!</v>
      </c>
    </row>
    <row r="11" spans="1:6" ht="14.25">
      <c r="A11" s="260"/>
      <c r="B11" s="3141" t="e">
        <f t="shared" ca="1" si="0"/>
        <v>#REF!</v>
      </c>
      <c r="C11" s="3137" t="s">
        <v>2946</v>
      </c>
      <c r="D11" s="1882"/>
      <c r="E11" s="3142" t="e">
        <f t="shared" ca="1" si="1"/>
        <v>#REF!</v>
      </c>
      <c r="F11" s="3142" t="e">
        <f t="shared" ca="1" si="2"/>
        <v>#REF!</v>
      </c>
    </row>
    <row r="12" spans="1:6" ht="14.25">
      <c r="A12" s="260"/>
      <c r="B12" s="3141" t="e">
        <f t="shared" ca="1" si="0"/>
        <v>#REF!</v>
      </c>
      <c r="C12" s="3137" t="s">
        <v>2946</v>
      </c>
      <c r="D12" s="1882"/>
      <c r="E12" s="3142" t="e">
        <f t="shared" ca="1" si="1"/>
        <v>#REF!</v>
      </c>
      <c r="F12" s="3142" t="e">
        <f t="shared" ca="1" si="2"/>
        <v>#REF!</v>
      </c>
    </row>
    <row r="13" spans="1:6" ht="14.25">
      <c r="A13" s="260"/>
      <c r="B13" s="3141" t="e">
        <f t="shared" ca="1" si="0"/>
        <v>#REF!</v>
      </c>
      <c r="C13" s="3137" t="s">
        <v>2946</v>
      </c>
      <c r="D13" s="1882"/>
      <c r="E13" s="3142" t="e">
        <f t="shared" ca="1" si="1"/>
        <v>#REF!</v>
      </c>
      <c r="F13" s="3142" t="e">
        <f t="shared" ca="1" si="2"/>
        <v>#REF!</v>
      </c>
    </row>
    <row r="14" spans="1:6" ht="14.25">
      <c r="A14" s="3135"/>
      <c r="B14" s="3141" t="e">
        <f t="shared" ca="1" si="0"/>
        <v>#REF!</v>
      </c>
      <c r="C14" s="3137" t="s">
        <v>2946</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2374</v>
      </c>
      <c r="F1" s="2413">
        <f ca="1">J54</f>
        <v>0</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0</v>
      </c>
      <c r="C2" s="1351"/>
      <c r="D2" s="2056"/>
      <c r="E2" s="2057"/>
      <c r="F2" s="2057"/>
      <c r="G2" s="1591"/>
      <c r="H2" s="1363"/>
      <c r="I2" s="2058"/>
      <c r="J2" s="2058"/>
      <c r="K2" s="2059"/>
      <c r="L2" s="2058"/>
      <c r="M2" s="2058"/>
    </row>
    <row r="3" spans="1:25" ht="18" customHeight="1">
      <c r="A3" s="1646" t="s">
        <v>1688</v>
      </c>
      <c r="B3" s="1392">
        <f ca="1">ROUND(B2*10000/'数据-汇总表'!E3,0)</f>
        <v>0</v>
      </c>
      <c r="C3" s="1351"/>
      <c r="D3" s="2056"/>
      <c r="E3" s="2057"/>
      <c r="F3" s="2057"/>
      <c r="G3" s="1591"/>
      <c r="H3" s="776" t="s">
        <v>696</v>
      </c>
      <c r="I3" s="2058"/>
      <c r="J3" s="2058"/>
      <c r="K3" s="2059"/>
      <c r="L3" s="2058"/>
      <c r="M3" s="2058"/>
    </row>
    <row r="4" spans="1:25" ht="18" customHeight="1">
      <c r="A4" s="1647" t="s">
        <v>697</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698</v>
      </c>
      <c r="D5" s="2056"/>
      <c r="E5" s="2057"/>
      <c r="F5" s="2057"/>
      <c r="G5" s="1591"/>
      <c r="H5" s="776"/>
      <c r="I5" s="2058"/>
      <c r="J5" s="2058"/>
      <c r="K5" s="2059"/>
      <c r="L5" s="2058"/>
      <c r="M5" s="2058"/>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2459</v>
      </c>
      <c r="C7" s="53">
        <f ca="1">C8+C12+C14</f>
        <v>0</v>
      </c>
      <c r="D7" s="2521" t="s">
        <v>2462</v>
      </c>
      <c r="E7" s="2515"/>
      <c r="F7" s="2516"/>
      <c r="G7" s="1593"/>
      <c r="H7" s="781">
        <v>1</v>
      </c>
      <c r="I7" s="782" t="s">
        <v>2459</v>
      </c>
      <c r="J7" s="53">
        <f ca="1">J8+J12+J14</f>
        <v>0</v>
      </c>
      <c r="K7" s="2521" t="s">
        <v>2462</v>
      </c>
      <c r="L7" s="2515"/>
      <c r="M7" s="2516"/>
    </row>
    <row r="8" spans="1:25" ht="18" customHeight="1">
      <c r="A8" s="1831" t="s">
        <v>1826</v>
      </c>
      <c r="B8" s="3743" t="s">
        <v>2464</v>
      </c>
      <c r="C8" s="1826">
        <f ca="1">ROUND(F8*F10*F9*(1-F11)/10000,0)</f>
        <v>0</v>
      </c>
      <c r="D8" s="1823" t="s">
        <v>2536</v>
      </c>
      <c r="E8" s="61" t="s">
        <v>638</v>
      </c>
      <c r="F8" s="785">
        <f ca="1">INDIRECT("'数据-取费表'!u"&amp;$G$1)</f>
        <v>0</v>
      </c>
      <c r="G8" s="1593"/>
      <c r="H8" s="2529" t="s">
        <v>1826</v>
      </c>
      <c r="I8" s="3743" t="s">
        <v>2464</v>
      </c>
      <c r="J8" s="783">
        <f ca="1">ROUND(M8*M10*M9*(1-M11)/10000,0)</f>
        <v>0</v>
      </c>
      <c r="K8" s="341" t="s">
        <v>2536</v>
      </c>
      <c r="L8" s="784" t="s">
        <v>1740</v>
      </c>
      <c r="M8" s="785">
        <f ca="1">INDIRECT("'数据-取费表'!z"&amp;$G$1)</f>
        <v>0</v>
      </c>
    </row>
    <row r="9" spans="1:25" ht="18" customHeight="1">
      <c r="A9" s="2525"/>
      <c r="B9" s="3744"/>
      <c r="C9" s="1827"/>
      <c r="D9" s="1824"/>
      <c r="E9" s="61" t="s">
        <v>639</v>
      </c>
      <c r="F9" s="785">
        <f ca="1">IF(INDIRECT("'数据-取费表'!ah"&amp;$G$1)="",INDIRECT("'数据-取费表'!k"&amp;$G$1),INDIRECT("'数据-取费表'!ah"&amp;$G$1))</f>
        <v>0</v>
      </c>
      <c r="G9" s="1593"/>
      <c r="H9" s="2514"/>
      <c r="I9" s="3744"/>
      <c r="J9" s="788"/>
      <c r="K9" s="789"/>
      <c r="L9" s="784" t="s">
        <v>1741</v>
      </c>
      <c r="M9" s="785">
        <f ca="1">F9</f>
        <v>0</v>
      </c>
    </row>
    <row r="10" spans="1:25" ht="18" customHeight="1">
      <c r="A10" s="2518"/>
      <c r="B10" s="3745"/>
      <c r="C10" s="1827"/>
      <c r="D10" s="1824"/>
      <c r="E10" s="61" t="s">
        <v>640</v>
      </c>
      <c r="F10" s="785">
        <f ca="1">INDIRECT("'数据-取费表'!ai"&amp;$G$1)</f>
        <v>0</v>
      </c>
      <c r="G10" s="1593"/>
      <c r="H10" s="2514"/>
      <c r="I10" s="3745"/>
      <c r="J10" s="788"/>
      <c r="K10" s="789"/>
      <c r="L10" s="784" t="s">
        <v>1742</v>
      </c>
      <c r="M10" s="785">
        <f ca="1">INDIRECT("'数据-取费表'!ai"&amp;$G$1)</f>
        <v>0</v>
      </c>
    </row>
    <row r="11" spans="1:25" ht="18" customHeight="1">
      <c r="A11" s="786"/>
      <c r="B11" s="3746"/>
      <c r="C11" s="1827"/>
      <c r="D11" s="1824"/>
      <c r="E11" s="61" t="s">
        <v>641</v>
      </c>
      <c r="F11" s="794">
        <f ca="1">INDIRECT("'数据-取费表'!w"&amp;$G$1)</f>
        <v>0</v>
      </c>
      <c r="G11" s="1593"/>
      <c r="H11" s="2530"/>
      <c r="I11" s="3745"/>
      <c r="J11" s="788"/>
      <c r="K11" s="789"/>
      <c r="L11" s="795" t="s">
        <v>1743</v>
      </c>
      <c r="M11" s="796">
        <f ca="1">INDIRECT("'数据-取费表'!ab"&amp;$G$1)</f>
        <v>0</v>
      </c>
    </row>
    <row r="12" spans="1:25" ht="18" customHeight="1">
      <c r="A12" s="1831" t="s">
        <v>1827</v>
      </c>
      <c r="B12" s="2519" t="s">
        <v>2460</v>
      </c>
      <c r="C12" s="799">
        <f ca="1">ROUND(IF(F12="押一",F8*F10*F9/12*F13,IF(F12="押二",F8*F10*F9/12*2*F13,IF(F12="押三",F8*F10*F9/12*3*F13,C13*F13)))/10000,0)</f>
        <v>0</v>
      </c>
      <c r="D12" s="2526" t="s">
        <v>2467</v>
      </c>
      <c r="E12" s="2523" t="s">
        <v>2465</v>
      </c>
      <c r="F12" s="2646"/>
      <c r="G12" s="1593"/>
      <c r="H12" s="2586" t="s">
        <v>1827</v>
      </c>
      <c r="I12" s="2591" t="s">
        <v>2460</v>
      </c>
      <c r="J12" s="783">
        <f ca="1">ROUND(IF(M12="押一",M8*M10*M9/12*M13,IF(M12="押二",M8*M10*M9/12*2*M13,IF(M12="押三",M8*M10*M9/12*3*M13,J13*M13)))/10000,0)</f>
        <v>0</v>
      </c>
      <c r="K12" s="2526" t="s">
        <v>2467</v>
      </c>
      <c r="L12" s="2523" t="s">
        <v>2465</v>
      </c>
      <c r="M12" s="2646"/>
    </row>
    <row r="13" spans="1:25" ht="18" customHeight="1">
      <c r="A13" s="790"/>
      <c r="B13" s="2520" t="s">
        <v>2575</v>
      </c>
      <c r="C13" s="2524"/>
      <c r="D13" s="789"/>
      <c r="E13" s="2523" t="s">
        <v>2457</v>
      </c>
      <c r="F13" s="796">
        <f ca="1">'数据-取费表'!B39</f>
        <v>1.4999999999999999E-2</v>
      </c>
      <c r="G13" s="1593"/>
      <c r="H13" s="2587"/>
      <c r="I13" s="2520" t="s">
        <v>2575</v>
      </c>
      <c r="J13" s="2524"/>
      <c r="K13" s="2588"/>
      <c r="L13" s="2523" t="s">
        <v>2457</v>
      </c>
      <c r="M13" s="2517">
        <f ca="1">'数据-取费表'!B39</f>
        <v>1.4999999999999999E-2</v>
      </c>
    </row>
    <row r="14" spans="1:25" ht="18" customHeight="1" thickBot="1">
      <c r="A14" s="2562" t="s">
        <v>2469</v>
      </c>
      <c r="B14" s="2563" t="s">
        <v>2461</v>
      </c>
      <c r="C14" s="2564"/>
      <c r="D14" s="2565"/>
      <c r="E14" s="2566"/>
      <c r="F14" s="2567"/>
      <c r="G14" s="1593"/>
      <c r="H14" s="2576" t="s">
        <v>2469</v>
      </c>
      <c r="I14" s="2589" t="s">
        <v>2461</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3"/>
      <c r="H16" s="803" t="s">
        <v>2070</v>
      </c>
      <c r="I16" s="2232" t="s">
        <v>2827</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4"/>
      <c r="H17" s="803" t="s">
        <v>2071</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2070</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4"/>
      <c r="H22" s="1833" t="s">
        <v>1852</v>
      </c>
      <c r="I22" s="1823" t="s">
        <v>669</v>
      </c>
      <c r="J22" s="54">
        <f ca="1">ROUND(M22*M23/10000,0)</f>
        <v>0</v>
      </c>
      <c r="K22" s="814" t="s">
        <v>670</v>
      </c>
      <c r="L22" s="784" t="s">
        <v>671</v>
      </c>
      <c r="M22" s="640">
        <f>'数据-取费表'!B52</f>
        <v>5</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4"/>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3"/>
      <c r="H24" s="1832" t="s">
        <v>2071</v>
      </c>
      <c r="I24" s="784" t="s">
        <v>677</v>
      </c>
      <c r="J24" s="53">
        <f ca="1">ROUND(J16*M24,0)</f>
        <v>0</v>
      </c>
      <c r="K24" s="1978" t="s">
        <v>678</v>
      </c>
      <c r="L24" s="784" t="s">
        <v>650</v>
      </c>
      <c r="M24" s="817">
        <f ca="1">INDIRECT("'数据-取费表'!Ak"&amp;$G$1)</f>
        <v>0</v>
      </c>
    </row>
    <row r="25" spans="1:25" s="2065" customFormat="1" ht="18" customHeight="1">
      <c r="A25" s="803" t="s">
        <v>1877</v>
      </c>
      <c r="B25" s="784" t="s">
        <v>2437</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1E-3</v>
      </c>
      <c r="D26" s="2596"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3"/>
      <c r="H27" s="797" t="s">
        <v>1830</v>
      </c>
      <c r="I27" s="3037" t="s">
        <v>2824</v>
      </c>
      <c r="J27" s="799">
        <f ca="1">J7-J18</f>
        <v>0</v>
      </c>
      <c r="K27" s="1980" t="s">
        <v>701</v>
      </c>
      <c r="L27" s="1982"/>
      <c r="M27" s="820"/>
    </row>
    <row r="28" spans="1:25" ht="18" customHeight="1">
      <c r="A28" s="803" t="s">
        <v>1877</v>
      </c>
      <c r="B28" s="784" t="s">
        <v>2438</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2825</v>
      </c>
      <c r="C31" s="2569">
        <f ca="1">ROUND((C21+C22+C25+C28)/(1-F23-C26-C29-C30),0)</f>
        <v>0</v>
      </c>
      <c r="D31" s="2570"/>
      <c r="E31" s="2571"/>
      <c r="F31" s="2572"/>
      <c r="G31" s="1594"/>
      <c r="H31" s="823" t="s">
        <v>1874</v>
      </c>
      <c r="I31" s="3038" t="s">
        <v>2826</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5</v>
      </c>
      <c r="G36" s="2063"/>
      <c r="H36" s="2066"/>
      <c r="I36" s="3742"/>
      <c r="J36" s="2080"/>
      <c r="K36" s="2081"/>
      <c r="L36" s="2080"/>
      <c r="M36" s="2080"/>
    </row>
    <row r="37" spans="1:18" ht="18" customHeight="1">
      <c r="A37" s="815"/>
      <c r="B37" s="793"/>
      <c r="C37" s="69"/>
      <c r="D37" s="816"/>
      <c r="E37" s="784" t="s">
        <v>675</v>
      </c>
      <c r="F37" s="785">
        <f ca="1">INDIRECT("'数据-取费表'!r"&amp;$G$1)</f>
        <v>0</v>
      </c>
      <c r="G37" s="2063"/>
      <c r="H37" s="2066"/>
      <c r="I37" s="3742"/>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5" t="s">
        <v>2964</v>
      </c>
      <c r="F43" s="3156">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4">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7"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2382" t="str">
        <f ca="1">IF(M48="住宅",0,IF(L49&gt;J52,L61,J61))</f>
        <v>0</v>
      </c>
      <c r="O47" s="2419" t="s">
        <v>2410</v>
      </c>
      <c r="P47" s="1593"/>
      <c r="Q47" s="1605"/>
      <c r="R47" s="1593"/>
    </row>
    <row r="48" spans="1:18" s="2060" customFormat="1" ht="18" customHeight="1" thickBot="1">
      <c r="A48" s="2085"/>
      <c r="C48" s="2088"/>
      <c r="D48" s="2089"/>
      <c r="E48" s="2089"/>
      <c r="F48" s="2090"/>
      <c r="G48" s="2091"/>
      <c r="I48" s="2383" t="s">
        <v>2343</v>
      </c>
      <c r="J48" s="2388"/>
      <c r="K48" s="2389" t="s">
        <v>2349</v>
      </c>
      <c r="L48" s="2390">
        <f ca="1">INDIRECT("'数据-取费表'!d"&amp;$G$1)</f>
        <v>0</v>
      </c>
      <c r="M48" s="3152" t="str">
        <f>IF(ISNUMBER(FIND("住宅",C1)),"住宅","非住宅")</f>
        <v>非住宅</v>
      </c>
      <c r="O48" s="2420" t="s">
        <v>2375</v>
      </c>
      <c r="P48" s="2421" t="s">
        <v>2376</v>
      </c>
      <c r="Q48" s="2422" t="s">
        <v>2377</v>
      </c>
      <c r="R48" s="2421" t="s">
        <v>2378</v>
      </c>
    </row>
    <row r="49" spans="1:18" s="2060" customFormat="1" ht="18" customHeight="1" thickBot="1">
      <c r="A49" s="2085"/>
      <c r="D49" s="2092"/>
      <c r="E49" s="2093"/>
      <c r="F49" s="2090"/>
      <c r="G49" s="2091"/>
      <c r="H49" s="2094"/>
      <c r="I49" s="2384" t="s">
        <v>2344</v>
      </c>
      <c r="J49" s="2391"/>
      <c r="K49" s="2392" t="s">
        <v>2351</v>
      </c>
      <c r="L49" s="2393">
        <f ca="1">INDIRECT("'数据-取费表'!f"&amp;$G$1)</f>
        <v>0</v>
      </c>
      <c r="O49" s="2423" t="s">
        <v>2379</v>
      </c>
      <c r="P49" s="2424" t="s">
        <v>2405</v>
      </c>
      <c r="Q49" s="2425">
        <f ca="1">C41+J31</f>
        <v>0</v>
      </c>
      <c r="R49" s="2424" t="s">
        <v>2380</v>
      </c>
    </row>
    <row r="50" spans="1:18" s="2060" customFormat="1" ht="18" customHeight="1" thickBot="1">
      <c r="A50" s="2085"/>
      <c r="D50" s="2095"/>
      <c r="E50" s="2095"/>
      <c r="F50" s="2089"/>
      <c r="G50" s="2096"/>
      <c r="H50" s="2094"/>
      <c r="I50" s="2384" t="s">
        <v>2345</v>
      </c>
      <c r="J50" s="2394"/>
      <c r="K50" s="2395" t="s">
        <v>2352</v>
      </c>
      <c r="L50" s="2396"/>
      <c r="O50" s="2423" t="s">
        <v>2381</v>
      </c>
      <c r="P50" s="2424" t="s">
        <v>2406</v>
      </c>
      <c r="Q50" s="2425" t="str">
        <f ca="1">J61</f>
        <v>0</v>
      </c>
      <c r="R50" s="2424" t="s">
        <v>2382</v>
      </c>
    </row>
    <row r="51" spans="1:18" s="2060" customFormat="1" ht="18" customHeight="1" thickBot="1">
      <c r="A51" s="2097"/>
      <c r="D51" s="2095"/>
      <c r="E51" s="2095"/>
      <c r="F51" s="2086"/>
      <c r="H51" s="2094"/>
      <c r="I51" s="2384" t="s">
        <v>2346</v>
      </c>
      <c r="J51" s="2397">
        <f>SUMPRODUCT((I64:I66=J48)*(J63:L63=J49)*(J64:L66))</f>
        <v>0</v>
      </c>
      <c r="K51" s="2395" t="s">
        <v>2353</v>
      </c>
      <c r="L51" s="2396"/>
      <c r="O51" s="2426" t="s">
        <v>2383</v>
      </c>
      <c r="P51" s="2424" t="s">
        <v>2407</v>
      </c>
      <c r="Q51" s="2425">
        <f ca="1">C31</f>
        <v>0</v>
      </c>
      <c r="R51" s="2424" t="s">
        <v>2380</v>
      </c>
    </row>
    <row r="52" spans="1:18" s="2060" customFormat="1" ht="18" customHeight="1" thickBot="1">
      <c r="A52" s="2097"/>
      <c r="F52" s="2086"/>
      <c r="I52" s="2385" t="s">
        <v>2347</v>
      </c>
      <c r="J52" s="2398">
        <f>IF(J50="",J51,J50+J51-YEAR('数据-取费表'!B3))</f>
        <v>0</v>
      </c>
      <c r="K52" s="2384" t="s">
        <v>2354</v>
      </c>
      <c r="L52" s="2399">
        <f ca="1">ROUND(-PV(INDIRECT("'数据-取费表'!h"&amp;$G$1),L49,(C40-C14*J36),0),0)</f>
        <v>0</v>
      </c>
      <c r="O52" s="2426" t="s">
        <v>2384</v>
      </c>
      <c r="P52" s="2424" t="s">
        <v>2385</v>
      </c>
      <c r="Q52" s="2427" t="e">
        <f ca="1">J59</f>
        <v>#VALUE!</v>
      </c>
      <c r="R52" s="2428"/>
    </row>
    <row r="53" spans="1:18" s="2060" customFormat="1" ht="18" customHeight="1" thickBot="1">
      <c r="A53" s="2097"/>
      <c r="F53" s="2086"/>
      <c r="I53" s="2386" t="s">
        <v>2421</v>
      </c>
      <c r="J53" s="2400"/>
      <c r="K53" s="2386" t="s">
        <v>2420</v>
      </c>
      <c r="L53" s="2400"/>
      <c r="O53" s="2426" t="s">
        <v>2386</v>
      </c>
      <c r="P53" s="2424" t="s">
        <v>2387</v>
      </c>
      <c r="Q53" s="2427">
        <f>J53</f>
        <v>0</v>
      </c>
      <c r="R53" s="2428"/>
    </row>
    <row r="54" spans="1:18" s="2060" customFormat="1" ht="43.5" thickBot="1">
      <c r="A54" s="2097"/>
      <c r="I54" s="2387" t="s">
        <v>2348</v>
      </c>
      <c r="J54" s="2401">
        <f ca="1">IF(M48="住宅",J52,IF(J52&gt;L49,L49-'数据-取费表'!B25,J52))</f>
        <v>0</v>
      </c>
      <c r="K54" s="3747"/>
      <c r="L54" s="3748"/>
      <c r="O54" s="2426" t="s">
        <v>2388</v>
      </c>
      <c r="P54" s="2424" t="s">
        <v>2389</v>
      </c>
      <c r="Q54" s="2425">
        <f ca="1">J54</f>
        <v>0</v>
      </c>
      <c r="R54" s="2424" t="s">
        <v>2390</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2391</v>
      </c>
      <c r="P55" s="2424" t="s">
        <v>2408</v>
      </c>
      <c r="Q55" s="2425">
        <f ca="1">Q49+Q50</f>
        <v>0</v>
      </c>
      <c r="R55" s="2428" t="s">
        <v>2392</v>
      </c>
    </row>
    <row r="56" spans="1:18" s="2060" customFormat="1" ht="16.5" thickBot="1">
      <c r="A56" s="2097"/>
      <c r="B56" s="2098"/>
      <c r="C56" s="2098"/>
      <c r="I56" s="3129" t="s">
        <v>2355</v>
      </c>
      <c r="J56" s="3153" t="e">
        <f ca="1">ROUND(IF(J48="钢混",J58/J51,1-(1-2%)*(J51-J58)/J51),3)</f>
        <v>#VALUE!</v>
      </c>
      <c r="K56" s="2402" t="s">
        <v>2356</v>
      </c>
      <c r="L56" s="2403"/>
      <c r="O56" s="2429" t="s">
        <v>2411</v>
      </c>
      <c r="P56" s="1593"/>
      <c r="Q56" s="1605"/>
      <c r="R56" s="1593"/>
    </row>
    <row r="57" spans="1:18" s="2060" customFormat="1" ht="43.5" thickBot="1">
      <c r="A57" s="2097"/>
      <c r="B57" s="2098"/>
      <c r="C57" s="2098"/>
      <c r="I57" s="2404" t="s">
        <v>2357</v>
      </c>
      <c r="J57" s="3152" t="s">
        <v>1680</v>
      </c>
      <c r="K57" s="2384" t="s">
        <v>2362</v>
      </c>
      <c r="L57" s="2393">
        <f ca="1">IF(L49&lt;J52,"——",L49-J52)</f>
        <v>0</v>
      </c>
      <c r="O57" s="2420" t="s">
        <v>2375</v>
      </c>
      <c r="P57" s="2421" t="s">
        <v>2376</v>
      </c>
      <c r="Q57" s="2422" t="s">
        <v>2377</v>
      </c>
      <c r="R57" s="2421" t="s">
        <v>2378</v>
      </c>
    </row>
    <row r="58" spans="1:18" s="2060" customFormat="1" ht="29.25" thickBot="1">
      <c r="A58" s="2097"/>
      <c r="B58" s="2098"/>
      <c r="C58" s="2098"/>
      <c r="I58" s="2405" t="s">
        <v>2358</v>
      </c>
      <c r="J58" s="2407" t="str">
        <f ca="1">IF(OR(M48="住宅",J52&lt;L49,J57="是"),"——",J52-L49)</f>
        <v>——</v>
      </c>
      <c r="K58" s="2384" t="s">
        <v>2363</v>
      </c>
      <c r="L58" s="2393">
        <f ca="1">IF(L49&lt;J52,"——",IF(L56="比较法",L50,IF(L56="基准地价",L51,L52)))</f>
        <v>0</v>
      </c>
      <c r="O58" s="2423" t="s">
        <v>2379</v>
      </c>
      <c r="P58" s="2424" t="s">
        <v>2405</v>
      </c>
      <c r="Q58" s="2425">
        <f ca="1">C41+J31</f>
        <v>0</v>
      </c>
      <c r="R58" s="2424" t="s">
        <v>2380</v>
      </c>
    </row>
    <row r="59" spans="1:18" s="2060" customFormat="1" ht="29.25" thickBot="1">
      <c r="A59" s="2097"/>
      <c r="B59" s="2098"/>
      <c r="C59" s="2098"/>
      <c r="I59" s="2405" t="s">
        <v>2359</v>
      </c>
      <c r="J59" s="3154" t="e">
        <f ca="1">IF(J56&lt;0.4,0.4,J56)</f>
        <v>#VALUE!</v>
      </c>
      <c r="K59" s="2384" t="s">
        <v>2364</v>
      </c>
      <c r="L59" s="2393">
        <f ca="1">IF(ISERROR(POWER(1+L53,L48-L49)*(POWER(1+L53,L49)-1)/(POWER(1+L53,L48)-1)),0,POWER(1+L53,L48-L49)*(POWER(1+L53,L49)-1)/(POWER(1+L53,L48)-1))</f>
        <v>0</v>
      </c>
      <c r="O59" s="2423" t="s">
        <v>2381</v>
      </c>
      <c r="P59" s="2424" t="s">
        <v>2412</v>
      </c>
      <c r="Q59" s="2425" t="e">
        <f ca="1">L61</f>
        <v>#DIV/0!</v>
      </c>
      <c r="R59" s="2428" t="s">
        <v>2414</v>
      </c>
    </row>
    <row r="60" spans="1:18" s="2060" customFormat="1" ht="29.25" thickBot="1">
      <c r="A60" s="2097"/>
      <c r="B60" s="2098"/>
      <c r="C60" s="2098"/>
      <c r="I60" s="2405" t="s">
        <v>2360</v>
      </c>
      <c r="J60" s="2407" t="str">
        <f ca="1">IF(OR(M48="住宅",J52&lt;L49,J57="是"),"——",ROUND(C30*J59,0))</f>
        <v>——</v>
      </c>
      <c r="K60" s="2384" t="s">
        <v>2365</v>
      </c>
      <c r="L60" s="2393">
        <f ca="1">IF(ISERROR(POWER(1+L53,L48-J52)*(POWER(1+L53,J52)-1)/(POWER(1+L53,L48)-1)),0,POWER(1+L53,L48-J52)*(POWER(1+L53,J52)-1)/(POWER(1+L53,L48)-1))</f>
        <v>0</v>
      </c>
      <c r="O60" s="2426" t="s">
        <v>2383</v>
      </c>
      <c r="P60" s="2424" t="s">
        <v>2413</v>
      </c>
      <c r="Q60" s="2425">
        <f>IF(L56="比较法",L50,IF(L56="基准地价",L51,0))</f>
        <v>0</v>
      </c>
      <c r="R60" s="2424" t="s">
        <v>2380</v>
      </c>
    </row>
    <row r="61" spans="1:18" s="2060" customFormat="1" ht="15.75" thickBot="1">
      <c r="A61" s="2097"/>
      <c r="B61" s="2098"/>
      <c r="C61" s="2098"/>
      <c r="I61" s="2406" t="s">
        <v>2361</v>
      </c>
      <c r="J61" s="2408" t="str">
        <f ca="1">IF(OR(M48="住宅",J52&lt;L49,J57="是"),"0",ROUND(J60/(1+J53)^J54,0))</f>
        <v>0</v>
      </c>
      <c r="K61" s="2409" t="s">
        <v>2366</v>
      </c>
      <c r="L61" s="2408" t="e">
        <f ca="1">IF(OR(M48="住宅",L49&lt;J52),0,ROUND(L58*(L59/L60-1),0))</f>
        <v>#DIV/0!</v>
      </c>
      <c r="O61" s="2426" t="s">
        <v>2384</v>
      </c>
      <c r="P61" s="2424" t="s">
        <v>2393</v>
      </c>
      <c r="Q61" s="2427">
        <f>L53</f>
        <v>0</v>
      </c>
      <c r="R61" s="2428"/>
    </row>
    <row r="62" spans="1:18" s="2060" customFormat="1" ht="20.25" thickBot="1">
      <c r="A62" s="2097"/>
      <c r="B62" s="2098"/>
      <c r="C62" s="2098"/>
      <c r="K62" s="2087"/>
      <c r="O62" s="2426" t="s">
        <v>2386</v>
      </c>
      <c r="P62" s="2424" t="s">
        <v>2394</v>
      </c>
      <c r="Q62" s="2425">
        <f ca="1">L59</f>
        <v>0</v>
      </c>
      <c r="R62" s="2428" t="s">
        <v>2395</v>
      </c>
    </row>
    <row r="63" spans="1:18" s="2060" customFormat="1" ht="20.25" thickBot="1">
      <c r="A63" s="2097"/>
      <c r="B63" s="2098"/>
      <c r="C63" s="2098"/>
      <c r="I63" s="2410" t="s">
        <v>2367</v>
      </c>
      <c r="J63" s="2411" t="s">
        <v>2368</v>
      </c>
      <c r="K63" s="2411" t="s">
        <v>2369</v>
      </c>
      <c r="L63" s="2411" t="s">
        <v>2350</v>
      </c>
      <c r="M63" s="3131" t="s">
        <v>2943</v>
      </c>
      <c r="O63" s="2426" t="s">
        <v>2388</v>
      </c>
      <c r="P63" s="2424" t="s">
        <v>2396</v>
      </c>
      <c r="Q63" s="2425">
        <f ca="1">L60</f>
        <v>0</v>
      </c>
      <c r="R63" s="2428" t="s">
        <v>2397</v>
      </c>
    </row>
    <row r="64" spans="1:18" s="2060" customFormat="1" ht="15.75" thickBot="1">
      <c r="A64" s="2097"/>
      <c r="B64" s="2098"/>
      <c r="C64" s="2098"/>
      <c r="I64" s="2410" t="s">
        <v>2370</v>
      </c>
      <c r="J64" s="2411">
        <v>70</v>
      </c>
      <c r="K64" s="2411">
        <v>50</v>
      </c>
      <c r="L64" s="2411">
        <v>80</v>
      </c>
      <c r="M64" s="3132">
        <v>0.02</v>
      </c>
      <c r="O64" s="2423" t="s">
        <v>2391</v>
      </c>
      <c r="P64" s="2424" t="s">
        <v>2408</v>
      </c>
      <c r="Q64" s="2425" t="e">
        <f ca="1">Q58+Q59</f>
        <v>#DIV/0!</v>
      </c>
      <c r="R64" s="2428" t="s">
        <v>2392</v>
      </c>
    </row>
    <row r="65" spans="1:18" s="2060" customFormat="1" ht="16.5" thickBot="1">
      <c r="A65" s="2097"/>
      <c r="B65" s="2098"/>
      <c r="C65" s="2098"/>
      <c r="I65" s="2410" t="s">
        <v>2371</v>
      </c>
      <c r="J65" s="2411">
        <v>50</v>
      </c>
      <c r="K65" s="2411">
        <v>35</v>
      </c>
      <c r="L65" s="2411">
        <v>60</v>
      </c>
      <c r="M65" s="3133">
        <v>0</v>
      </c>
      <c r="O65" s="2429" t="s">
        <v>2415</v>
      </c>
      <c r="P65" s="1593"/>
      <c r="Q65" s="1605"/>
      <c r="R65" s="1593"/>
    </row>
    <row r="66" spans="1:18" s="2060" customFormat="1" ht="15.75" thickBot="1">
      <c r="A66" s="2097"/>
      <c r="B66" s="2098"/>
      <c r="C66" s="2098"/>
      <c r="I66" s="2410" t="s">
        <v>2372</v>
      </c>
      <c r="J66" s="2411">
        <v>40</v>
      </c>
      <c r="K66" s="2411">
        <v>30</v>
      </c>
      <c r="L66" s="2411">
        <v>50</v>
      </c>
      <c r="M66" s="3132">
        <v>0.02</v>
      </c>
      <c r="O66" s="2420" t="s">
        <v>2375</v>
      </c>
      <c r="P66" s="2421" t="s">
        <v>2376</v>
      </c>
      <c r="Q66" s="2422" t="s">
        <v>2377</v>
      </c>
      <c r="R66" s="2421" t="s">
        <v>2378</v>
      </c>
    </row>
    <row r="67" spans="1:18" s="2060" customFormat="1" ht="15.75" thickBot="1">
      <c r="A67" s="2097"/>
      <c r="B67" s="2098"/>
      <c r="C67" s="2098"/>
      <c r="K67" s="2087"/>
      <c r="O67" s="2423" t="s">
        <v>2379</v>
      </c>
      <c r="P67" s="2424" t="s">
        <v>2405</v>
      </c>
      <c r="Q67" s="2425">
        <f ca="1">C41+J31</f>
        <v>0</v>
      </c>
      <c r="R67" s="2424" t="s">
        <v>2380</v>
      </c>
    </row>
    <row r="68" spans="1:18" s="2060" customFormat="1" ht="20.25" thickBot="1">
      <c r="A68" s="2097"/>
      <c r="B68" s="2098"/>
      <c r="C68" s="2098"/>
      <c r="K68" s="2087"/>
      <c r="O68" s="2423" t="s">
        <v>2381</v>
      </c>
      <c r="P68" s="2424" t="s">
        <v>2412</v>
      </c>
      <c r="Q68" s="2425" t="e">
        <f ca="1">L61</f>
        <v>#DIV/0!</v>
      </c>
      <c r="R68" s="2428" t="s">
        <v>2414</v>
      </c>
    </row>
    <row r="69" spans="1:18" s="2060" customFormat="1" ht="21.75" thickBot="1">
      <c r="A69" s="2097"/>
      <c r="B69" s="2098"/>
      <c r="C69" s="2098"/>
      <c r="K69" s="2087"/>
      <c r="O69" s="2426" t="s">
        <v>2383</v>
      </c>
      <c r="P69" s="2424" t="s">
        <v>2413</v>
      </c>
      <c r="Q69" s="2430">
        <f ca="1">L52</f>
        <v>0</v>
      </c>
      <c r="R69" s="2431" t="s">
        <v>2416</v>
      </c>
    </row>
    <row r="70" spans="1:18" s="2060" customFormat="1" ht="20.25" thickBot="1">
      <c r="A70" s="2097"/>
      <c r="B70" s="2098"/>
      <c r="C70" s="2098"/>
      <c r="K70" s="2087"/>
      <c r="O70" s="2426" t="s">
        <v>2384</v>
      </c>
      <c r="P70" s="2432" t="s">
        <v>2398</v>
      </c>
      <c r="Q70" s="2425">
        <f ca="1">ROUND(Q71-Q72*Q73,0)</f>
        <v>0</v>
      </c>
      <c r="R70" s="2428"/>
    </row>
    <row r="71" spans="1:18" s="2060" customFormat="1" ht="15.75" thickBot="1">
      <c r="A71" s="2097"/>
      <c r="B71" s="2098"/>
      <c r="C71" s="2098"/>
      <c r="K71" s="2087"/>
      <c r="O71" s="2426" t="s">
        <v>2399</v>
      </c>
      <c r="P71" s="2432" t="s">
        <v>2400</v>
      </c>
      <c r="Q71" s="2425">
        <f ca="1">C42</f>
        <v>0</v>
      </c>
      <c r="R71" s="2424" t="s">
        <v>2380</v>
      </c>
    </row>
    <row r="72" spans="1:18" s="2060" customFormat="1" ht="15.75" thickBot="1">
      <c r="A72" s="2097"/>
      <c r="B72" s="2098"/>
      <c r="C72" s="2098"/>
      <c r="K72" s="2087"/>
      <c r="O72" s="2426" t="s">
        <v>2401</v>
      </c>
      <c r="P72" s="2432" t="s">
        <v>2402</v>
      </c>
      <c r="Q72" s="2425">
        <f ca="1">C15</f>
        <v>0</v>
      </c>
      <c r="R72" s="2424" t="s">
        <v>2380</v>
      </c>
    </row>
    <row r="73" spans="1:18" s="2060" customFormat="1" ht="15.75" thickBot="1">
      <c r="A73" s="2097"/>
      <c r="B73" s="2098"/>
      <c r="C73" s="2098"/>
      <c r="K73" s="2087"/>
      <c r="O73" s="2426" t="s">
        <v>2403</v>
      </c>
      <c r="P73" s="2432" t="s">
        <v>2404</v>
      </c>
      <c r="Q73" s="2427">
        <f ca="1">F43</f>
        <v>0</v>
      </c>
      <c r="R73" s="2428"/>
    </row>
    <row r="74" spans="1:18" s="2060" customFormat="1" ht="15.75" thickBot="1">
      <c r="A74" s="2097"/>
      <c r="B74" s="2098"/>
      <c r="C74" s="2098"/>
      <c r="K74" s="2087"/>
      <c r="O74" s="2426" t="s">
        <v>2386</v>
      </c>
      <c r="P74" s="2424" t="s">
        <v>2393</v>
      </c>
      <c r="Q74" s="2427">
        <f>L53</f>
        <v>0</v>
      </c>
      <c r="R74" s="2428"/>
    </row>
    <row r="75" spans="1:18" s="2060" customFormat="1" ht="20.25" thickBot="1">
      <c r="A75" s="2097"/>
      <c r="B75" s="2098"/>
      <c r="C75" s="2098"/>
      <c r="K75" s="2087"/>
      <c r="O75" s="2426" t="s">
        <v>2388</v>
      </c>
      <c r="P75" s="2424" t="s">
        <v>2394</v>
      </c>
      <c r="Q75" s="2425">
        <f ca="1">L59</f>
        <v>0</v>
      </c>
      <c r="R75" s="2428" t="s">
        <v>2395</v>
      </c>
    </row>
    <row r="76" spans="1:18" s="2060" customFormat="1" ht="20.25" thickBot="1">
      <c r="A76" s="2097"/>
      <c r="B76" s="2098"/>
      <c r="C76" s="2098"/>
      <c r="K76" s="2087"/>
      <c r="O76" s="2426" t="s">
        <v>2417</v>
      </c>
      <c r="P76" s="2424" t="s">
        <v>2396</v>
      </c>
      <c r="Q76" s="2425">
        <f ca="1">L60</f>
        <v>0</v>
      </c>
      <c r="R76" s="2428" t="s">
        <v>2397</v>
      </c>
    </row>
    <row r="77" spans="1:18" s="2060" customFormat="1" ht="15.75" thickBot="1">
      <c r="A77" s="2097"/>
      <c r="B77" s="2098"/>
      <c r="C77" s="2098"/>
      <c r="K77" s="2087"/>
      <c r="O77" s="2423" t="s">
        <v>2391</v>
      </c>
      <c r="P77" s="2424" t="s">
        <v>2408</v>
      </c>
      <c r="Q77" s="2425" t="e">
        <f ca="1">Q67+Q68</f>
        <v>#DIV/0!</v>
      </c>
      <c r="R77" s="2428"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99" t="str">
        <f>项目基本情况!B1</f>
        <v>苏州市姑苏区永方路以东、合兴路以南1宗住宅用途出让国有建设用地使用权市场价格预评估</v>
      </c>
      <c r="C37" s="3499"/>
      <c r="D37" s="3499"/>
      <c r="E37" s="3499"/>
      <c r="F37" s="3499"/>
      <c r="G37" s="3499"/>
      <c r="H37" s="3499"/>
      <c r="I37" s="3499"/>
    </row>
    <row r="38" spans="1:9">
      <c r="A38" s="1657"/>
      <c r="B38" s="1657"/>
    </row>
    <row r="39" spans="1:9">
      <c r="A39" s="1655" t="s">
        <v>1903</v>
      </c>
      <c r="B39" s="1655" t="s">
        <v>2047</v>
      </c>
    </row>
    <row r="40" spans="1:9">
      <c r="A40" s="1655"/>
      <c r="B40" s="1655" t="str">
        <f>项目基本情况!B5</f>
        <v>苏州金俊房地产开发有限公司</v>
      </c>
    </row>
    <row r="41" spans="1:9">
      <c r="A41" s="1655"/>
      <c r="B41" s="1655"/>
    </row>
    <row r="42" spans="1:9">
      <c r="A42" s="1655" t="s">
        <v>1903</v>
      </c>
      <c r="B42" s="1655" t="s">
        <v>2048</v>
      </c>
    </row>
    <row r="43" spans="1:9">
      <c r="A43" s="1655"/>
      <c r="B43" s="1655" t="s">
        <v>1905</v>
      </c>
    </row>
    <row r="44" spans="1:9">
      <c r="A44" s="1655"/>
      <c r="B44" s="1655"/>
    </row>
    <row r="45" spans="1:9">
      <c r="A45" s="1655" t="s">
        <v>1903</v>
      </c>
      <c r="B45" s="1655" t="s">
        <v>2046</v>
      </c>
    </row>
    <row r="46" spans="1:9" s="1655" customFormat="1" ht="12.75">
      <c r="B46" s="1655" t="str">
        <f>项目基本情况!K4</f>
        <v>梁津、王鹏</v>
      </c>
    </row>
    <row r="47" spans="1:9">
      <c r="A47" s="1655"/>
      <c r="B47" s="1655"/>
    </row>
    <row r="48" spans="1:9">
      <c r="A48" s="1655" t="s">
        <v>1903</v>
      </c>
      <c r="B48" s="1655" t="s">
        <v>2049</v>
      </c>
    </row>
    <row r="49" spans="2:2">
      <c r="B49" s="1655" t="str">
        <f>"康正预评字"&amp;项目基本情况!B2&amp;"号"</f>
        <v>康正预评字2018-1-0131号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H33" sqref="H33"/>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55" t="s">
        <v>2578</v>
      </c>
      <c r="C1" s="3755"/>
      <c r="D1" s="3755"/>
      <c r="E1" s="3755"/>
      <c r="F1" s="3755"/>
      <c r="G1" s="3754" t="s">
        <v>2579</v>
      </c>
      <c r="H1" s="3754"/>
      <c r="I1" s="3754"/>
      <c r="J1" s="3754"/>
      <c r="K1" s="3754"/>
      <c r="L1" s="3754"/>
      <c r="N1" s="3754" t="s">
        <v>2580</v>
      </c>
      <c r="O1" s="3754"/>
      <c r="P1" s="3754"/>
      <c r="Q1" s="3754"/>
      <c r="R1" s="2680"/>
      <c r="S1" s="3754" t="s">
        <v>2581</v>
      </c>
      <c r="T1" s="3754"/>
      <c r="U1" s="3754"/>
      <c r="V1" s="3754"/>
      <c r="X1" s="3753" t="s">
        <v>2641</v>
      </c>
      <c r="Y1" s="3754"/>
      <c r="Z1" s="3754"/>
      <c r="AA1" s="3754"/>
      <c r="AB1" s="3754"/>
      <c r="AD1" s="3753" t="s">
        <v>2645</v>
      </c>
      <c r="AE1" s="3754"/>
      <c r="AF1" s="3754"/>
      <c r="AG1" s="3754"/>
      <c r="AH1" s="3754"/>
    </row>
    <row r="2" spans="1:34" s="2782" customFormat="1" ht="14.25" thickBot="1">
      <c r="B2" s="2790" t="s">
        <v>2582</v>
      </c>
      <c r="C2" s="2790" t="s">
        <v>2643</v>
      </c>
      <c r="D2" s="2783" t="s">
        <v>1646</v>
      </c>
      <c r="E2" s="2783" t="s">
        <v>1953</v>
      </c>
      <c r="F2" s="2790" t="s">
        <v>2644</v>
      </c>
      <c r="G2" s="2786"/>
      <c r="H2" s="2785"/>
      <c r="I2" s="2790" t="s">
        <v>2958</v>
      </c>
      <c r="J2" s="2783" t="s">
        <v>2960</v>
      </c>
      <c r="K2" s="2783" t="s">
        <v>2961</v>
      </c>
      <c r="L2" s="2790" t="s">
        <v>2962</v>
      </c>
      <c r="N2" s="2790" t="s">
        <v>2582</v>
      </c>
      <c r="O2" s="2783" t="s">
        <v>2959</v>
      </c>
      <c r="P2" s="2783" t="s">
        <v>1953</v>
      </c>
      <c r="Q2" s="2790" t="s">
        <v>2644</v>
      </c>
      <c r="R2" s="2784"/>
      <c r="S2" s="2790" t="s">
        <v>2582</v>
      </c>
      <c r="T2" s="2783" t="s">
        <v>2959</v>
      </c>
      <c r="U2" s="2783" t="s">
        <v>1953</v>
      </c>
      <c r="V2" s="2790" t="s">
        <v>2644</v>
      </c>
      <c r="X2" s="2790" t="s">
        <v>2582</v>
      </c>
      <c r="Y2" s="2790" t="s">
        <v>2643</v>
      </c>
      <c r="Z2" s="2783" t="s">
        <v>1646</v>
      </c>
      <c r="AA2" s="2783" t="s">
        <v>1953</v>
      </c>
      <c r="AB2" s="2790" t="s">
        <v>2644</v>
      </c>
      <c r="AD2" s="2790" t="s">
        <v>2582</v>
      </c>
      <c r="AE2" s="2790" t="s">
        <v>2643</v>
      </c>
      <c r="AF2" s="2783" t="s">
        <v>1646</v>
      </c>
      <c r="AG2" s="2783" t="s">
        <v>1953</v>
      </c>
      <c r="AH2" s="2790" t="s">
        <v>2644</v>
      </c>
    </row>
    <row r="3" spans="1:34" s="3167" customFormat="1" ht="14.25">
      <c r="A3" s="3179" t="s">
        <v>2972</v>
      </c>
      <c r="B3" s="3168"/>
      <c r="C3" s="3168"/>
      <c r="D3" s="3169"/>
      <c r="E3" s="3169"/>
      <c r="F3" s="3168"/>
      <c r="G3" s="3170"/>
      <c r="H3" s="3171"/>
      <c r="I3" s="3178">
        <f>ROUND(AVERAGE($I6:$I21),2)</f>
        <v>2.4500000000000002</v>
      </c>
      <c r="J3" s="3178">
        <f>ROUND(AVERAGE($J6:$J21),2)</f>
        <v>1.65</v>
      </c>
      <c r="K3" s="3178">
        <f>ROUND(AVERAGE($K6:$K21),2)</f>
        <v>2.71</v>
      </c>
      <c r="L3" s="3178">
        <f>ROUND(AVERAGE($L6:$L21),2)</f>
        <v>1.39</v>
      </c>
      <c r="N3" s="3170"/>
      <c r="O3" s="3172"/>
      <c r="P3" s="3172"/>
      <c r="Q3" s="3172"/>
      <c r="R3" s="3172"/>
      <c r="S3" s="3170"/>
      <c r="T3" s="3172"/>
      <c r="U3" s="3172"/>
      <c r="V3" s="3172"/>
      <c r="W3" s="3175"/>
      <c r="X3" s="3173">
        <f>ROUND(SUMPRODUCT(PRODUCT(1+N3:N$20)),4)</f>
        <v>1.4274</v>
      </c>
      <c r="Y3" s="3173">
        <f>ROUND(SUMPRODUCT(PRODUCT(1+O3:O$20)),4)</f>
        <v>1.2685</v>
      </c>
      <c r="Z3" s="3173">
        <f t="shared" ref="Z3:Z18" si="0">Y3</f>
        <v>1.2685</v>
      </c>
      <c r="AA3" s="3173">
        <f>ROUND(SUMPRODUCT(PRODUCT(1+P3:P$20)),4)</f>
        <v>1.4825999999999999</v>
      </c>
      <c r="AB3" s="3173">
        <f>ROUND(SUMPRODUCT(PRODUCT(1+Q3:Q$20)),4)</f>
        <v>1.2309000000000001</v>
      </c>
      <c r="AD3" s="3174">
        <f>ROUND(AVERAGE(I3:I$21)/100,4)</f>
        <v>2.3099999999999999E-2</v>
      </c>
      <c r="AE3" s="3174">
        <f>ROUND(AVERAGE(J3:J$21)/100,4)</f>
        <v>1.5599999999999999E-2</v>
      </c>
      <c r="AF3" s="3174">
        <f t="shared" ref="AF3:AF19" si="1">AE3</f>
        <v>1.5599999999999999E-2</v>
      </c>
      <c r="AG3" s="3174">
        <f>ROUND(AVERAGE(K3:K$21)/100,4)</f>
        <v>2.5600000000000001E-2</v>
      </c>
      <c r="AH3" s="3174">
        <f>ROUND(AVERAGE(L3:L$21)/100,4)</f>
        <v>1.32E-2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ht="13.5" thickBot="1">
      <c r="A5" s="3144" t="s">
        <v>2971</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5">
        <v>1</v>
      </c>
      <c r="I5" s="3161">
        <v>0</v>
      </c>
      <c r="J5" s="3161">
        <v>0</v>
      </c>
      <c r="K5" s="3161">
        <v>0</v>
      </c>
      <c r="L5" s="3161">
        <v>0</v>
      </c>
      <c r="N5" s="2788">
        <f t="shared" ref="N5:N10" si="6">I5/100</f>
        <v>0</v>
      </c>
      <c r="O5" s="2788">
        <f t="shared" ref="O5" si="7">J5/100</f>
        <v>0</v>
      </c>
      <c r="P5" s="2788">
        <f t="shared" ref="P5" si="8">K5/100</f>
        <v>0</v>
      </c>
      <c r="Q5" s="2788">
        <f t="shared" ref="Q5" si="9">L5/100</f>
        <v>0</v>
      </c>
      <c r="R5" s="3147"/>
      <c r="S5" s="3148"/>
      <c r="T5" s="3147"/>
      <c r="U5" s="3147"/>
      <c r="V5" s="3147"/>
      <c r="W5" s="3177" t="s">
        <v>2973</v>
      </c>
      <c r="X5" s="3149">
        <f>ROUND(SUMPRODUCT(PRODUCT(1+N5:N$20)),4)</f>
        <v>1.4274</v>
      </c>
      <c r="Y5" s="3149">
        <f>ROUND(SUMPRODUCT(PRODUCT(1+O5:O$20)),4)</f>
        <v>1.2685</v>
      </c>
      <c r="Z5" s="3149">
        <f t="shared" ref="Z5" si="10">Y5</f>
        <v>1.2685</v>
      </c>
      <c r="AA5" s="3149">
        <f>ROUND(SUMPRODUCT(PRODUCT(1+P5:P$20)),4)</f>
        <v>1.4825999999999999</v>
      </c>
      <c r="AB5" s="3149">
        <f>ROUND(SUMPRODUCT(PRODUCT(1+Q5:Q$20)),4)</f>
        <v>1.2309000000000001</v>
      </c>
      <c r="AD5" s="3150">
        <f>ROUND(AVERAGE(I5:I$21)/100,4)</f>
        <v>2.3E-2</v>
      </c>
      <c r="AE5" s="3150">
        <f>ROUND(AVERAGE(J5:J$21)/100,4)</f>
        <v>1.55E-2</v>
      </c>
      <c r="AF5" s="3150">
        <f t="shared" ref="AF5" si="11">AE5</f>
        <v>1.55E-2</v>
      </c>
      <c r="AG5" s="3150">
        <f>ROUND(AVERAGE(K5:K$21)/100,4)</f>
        <v>2.5499999999999998E-2</v>
      </c>
      <c r="AH5" s="3150">
        <f>ROUND(AVERAGE(L5:L$21)/100,4)</f>
        <v>1.3100000000000001E-2</v>
      </c>
    </row>
    <row r="6" spans="1:34">
      <c r="A6" s="2681" t="s">
        <v>2969</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4">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2974</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6"/>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2583</v>
      </c>
      <c r="B8" s="2695">
        <f t="shared" si="19"/>
        <v>419.31181600000002</v>
      </c>
      <c r="C8" s="2695">
        <f t="shared" si="19"/>
        <v>313.95436800000004</v>
      </c>
      <c r="D8" s="2695">
        <f t="shared" si="3"/>
        <v>313.95436800000004</v>
      </c>
      <c r="E8" s="2695">
        <f t="shared" si="20"/>
        <v>596.63028431999999</v>
      </c>
      <c r="F8" s="2695">
        <f t="shared" si="20"/>
        <v>274.74220703999998</v>
      </c>
      <c r="G8" s="3165"/>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2584</v>
      </c>
      <c r="B9" s="2695">
        <f t="shared" si="19"/>
        <v>405.524</v>
      </c>
      <c r="C9" s="2695">
        <f t="shared" si="19"/>
        <v>307.79840000000002</v>
      </c>
      <c r="D9" s="2695">
        <f t="shared" si="3"/>
        <v>307.79840000000002</v>
      </c>
      <c r="E9" s="2695">
        <f t="shared" si="20"/>
        <v>574.67759999999998</v>
      </c>
      <c r="F9" s="2695">
        <f t="shared" si="20"/>
        <v>270.20280000000002</v>
      </c>
      <c r="G9" s="3166"/>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52">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50"/>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50"/>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51"/>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49">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50"/>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50"/>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51"/>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49">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50"/>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50"/>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51"/>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2642</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2585</v>
      </c>
      <c r="B22" s="2687">
        <v>299</v>
      </c>
      <c r="C22" s="2687">
        <v>252</v>
      </c>
      <c r="D22" s="2687">
        <f t="shared" si="29"/>
        <v>252</v>
      </c>
      <c r="E22" s="2687">
        <v>409</v>
      </c>
      <c r="F22" s="2688">
        <v>227</v>
      </c>
      <c r="G22" s="3756">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2586</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57"/>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2587</v>
      </c>
      <c r="B24" s="2695">
        <f t="shared" si="38"/>
        <v>288.2649053828776</v>
      </c>
      <c r="C24" s="2695">
        <f t="shared" si="38"/>
        <v>243.64564425013293</v>
      </c>
      <c r="D24" s="2695">
        <f t="shared" si="29"/>
        <v>243.64564425013293</v>
      </c>
      <c r="E24" s="2695">
        <f t="shared" si="39"/>
        <v>393.31080825986544</v>
      </c>
      <c r="F24" s="2695">
        <f t="shared" si="39"/>
        <v>223.07903790551154</v>
      </c>
      <c r="G24" s="3757"/>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2588</v>
      </c>
      <c r="B25" s="2695">
        <f t="shared" si="38"/>
        <v>282.50186729015837</v>
      </c>
      <c r="C25" s="2695">
        <f t="shared" si="38"/>
        <v>238.09796174155468</v>
      </c>
      <c r="D25" s="2695">
        <f t="shared" si="29"/>
        <v>238.09796174155468</v>
      </c>
      <c r="E25" s="2695">
        <f t="shared" si="39"/>
        <v>385.33438646014054</v>
      </c>
      <c r="F25" s="2695">
        <f t="shared" si="39"/>
        <v>221.55034055567739</v>
      </c>
      <c r="G25" s="3758"/>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2589</v>
      </c>
      <c r="B26" s="2725">
        <v>278</v>
      </c>
      <c r="C26" s="2725">
        <v>234</v>
      </c>
      <c r="D26" s="2725">
        <f t="shared" si="29"/>
        <v>234</v>
      </c>
      <c r="E26" s="2725">
        <v>379</v>
      </c>
      <c r="F26" s="2726">
        <v>220</v>
      </c>
      <c r="G26" s="3749">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2590</v>
      </c>
      <c r="B27" s="2695">
        <f>B26/(1+N26)</f>
        <v>275.49301357645425</v>
      </c>
      <c r="C27" s="2695">
        <f>C26/(1+O26)</f>
        <v>232.41954707985698</v>
      </c>
      <c r="D27" s="2695">
        <f t="shared" si="29"/>
        <v>232.41954707985698</v>
      </c>
      <c r="E27" s="2695">
        <f t="shared" ref="E27:F29" si="40">E26/(1+P26)</f>
        <v>375.32184591008121</v>
      </c>
      <c r="F27" s="2695">
        <f t="shared" si="40"/>
        <v>218.03766105054513</v>
      </c>
      <c r="G27" s="3750"/>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2591</v>
      </c>
      <c r="B28" s="2695">
        <f>B27/(1+N27)</f>
        <v>275.24529281292263</v>
      </c>
      <c r="C28" s="2695">
        <f>C27/(1+O27)</f>
        <v>231.74747938962707</v>
      </c>
      <c r="D28" s="2695">
        <f t="shared" si="29"/>
        <v>231.74747938962707</v>
      </c>
      <c r="E28" s="2695">
        <f t="shared" si="40"/>
        <v>375.35938184826603</v>
      </c>
      <c r="F28" s="2695">
        <f t="shared" si="40"/>
        <v>216.78033510692495</v>
      </c>
      <c r="G28" s="3750"/>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2592</v>
      </c>
      <c r="B29" s="2695">
        <f>B28/(1+N28)</f>
        <v>275.19025476197027</v>
      </c>
      <c r="C29" s="2727">
        <v>232</v>
      </c>
      <c r="D29" s="2727">
        <f t="shared" si="29"/>
        <v>232</v>
      </c>
      <c r="E29" s="2695">
        <f t="shared" si="40"/>
        <v>375.65990977608692</v>
      </c>
      <c r="F29" s="2695">
        <f t="shared" si="40"/>
        <v>214.12518283971252</v>
      </c>
      <c r="G29" s="3751"/>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2593</v>
      </c>
      <c r="B30" s="2687">
        <v>275</v>
      </c>
      <c r="C30" s="2687">
        <v>232</v>
      </c>
      <c r="D30" s="2687">
        <f t="shared" si="29"/>
        <v>232</v>
      </c>
      <c r="E30" s="2687">
        <v>376</v>
      </c>
      <c r="F30" s="2688">
        <v>213</v>
      </c>
      <c r="G30" s="3749">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2594</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50">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2595</v>
      </c>
      <c r="B32" s="2695">
        <f t="shared" si="41"/>
        <v>275.19335084830601</v>
      </c>
      <c r="C32" s="2695">
        <f t="shared" si="41"/>
        <v>230.18088050139744</v>
      </c>
      <c r="D32" s="2695">
        <f t="shared" si="29"/>
        <v>230.18088050139744</v>
      </c>
      <c r="E32" s="2695">
        <f t="shared" si="42"/>
        <v>377.58482925212331</v>
      </c>
      <c r="F32" s="2695">
        <f t="shared" si="42"/>
        <v>210.90687997847917</v>
      </c>
      <c r="G32" s="3750">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2596</v>
      </c>
      <c r="B33" s="2695">
        <f t="shared" si="41"/>
        <v>276.29854502841971</v>
      </c>
      <c r="C33" s="2695">
        <f t="shared" si="41"/>
        <v>229.79023709833027</v>
      </c>
      <c r="D33" s="2695">
        <f t="shared" si="29"/>
        <v>229.79023709833027</v>
      </c>
      <c r="E33" s="2695">
        <f t="shared" si="42"/>
        <v>379.78759731655936</v>
      </c>
      <c r="F33" s="2695">
        <f t="shared" si="42"/>
        <v>211.32953905659235</v>
      </c>
      <c r="G33" s="3751">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2597</v>
      </c>
      <c r="B34" s="2687">
        <v>269</v>
      </c>
      <c r="C34" s="2687">
        <v>221</v>
      </c>
      <c r="D34" s="2687">
        <f t="shared" si="29"/>
        <v>221</v>
      </c>
      <c r="E34" s="2687">
        <v>373</v>
      </c>
      <c r="F34" s="2688">
        <v>196</v>
      </c>
      <c r="G34" s="3749">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2598</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50">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2599</v>
      </c>
      <c r="B36" s="2695">
        <f t="shared" si="43"/>
        <v>242.95398227588385</v>
      </c>
      <c r="C36" s="2695">
        <f t="shared" si="43"/>
        <v>199.59137053614126</v>
      </c>
      <c r="D36" s="2695">
        <f t="shared" si="29"/>
        <v>199.59137053614126</v>
      </c>
      <c r="E36" s="2695">
        <f t="shared" si="44"/>
        <v>335.92189522342125</v>
      </c>
      <c r="F36" s="2695">
        <f t="shared" si="44"/>
        <v>183.10139991109489</v>
      </c>
      <c r="G36" s="3750">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2600</v>
      </c>
      <c r="B37" s="2695">
        <f t="shared" si="43"/>
        <v>232.06990378821649</v>
      </c>
      <c r="C37" s="2695">
        <f t="shared" si="43"/>
        <v>192.74878854286936</v>
      </c>
      <c r="D37" s="2695">
        <f t="shared" si="29"/>
        <v>192.74878854286936</v>
      </c>
      <c r="E37" s="2695">
        <f t="shared" si="44"/>
        <v>319.71247284992984</v>
      </c>
      <c r="F37" s="2695">
        <f t="shared" si="44"/>
        <v>175.67053622862409</v>
      </c>
      <c r="G37" s="3751">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2601</v>
      </c>
      <c r="B38" s="2687">
        <v>220</v>
      </c>
      <c r="C38" s="2687">
        <v>187</v>
      </c>
      <c r="D38" s="2687">
        <f t="shared" si="29"/>
        <v>187</v>
      </c>
      <c r="E38" s="2687">
        <v>301</v>
      </c>
      <c r="F38" s="2688">
        <v>168</v>
      </c>
      <c r="G38" s="3749">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2602</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50">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2603</v>
      </c>
      <c r="B40" s="2695">
        <f t="shared" si="45"/>
        <v>210.630522469011</v>
      </c>
      <c r="C40" s="2695">
        <f t="shared" si="45"/>
        <v>181.69567812247232</v>
      </c>
      <c r="D40" s="2695">
        <f t="shared" si="29"/>
        <v>181.69567812247232</v>
      </c>
      <c r="E40" s="2695">
        <f t="shared" si="46"/>
        <v>286.13517466736738</v>
      </c>
      <c r="F40" s="2695">
        <f t="shared" si="46"/>
        <v>165.47535084591149</v>
      </c>
      <c r="G40" s="3750">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2604</v>
      </c>
      <c r="B41" s="2695">
        <f t="shared" si="45"/>
        <v>208.83454537875372</v>
      </c>
      <c r="C41" s="2695">
        <f t="shared" si="45"/>
        <v>183.77230517090351</v>
      </c>
      <c r="D41" s="2695">
        <f t="shared" si="29"/>
        <v>183.77230517090351</v>
      </c>
      <c r="E41" s="2695">
        <f t="shared" si="46"/>
        <v>281.10342338870947</v>
      </c>
      <c r="F41" s="2695">
        <f t="shared" si="46"/>
        <v>168.97309388942256</v>
      </c>
      <c r="G41" s="3751">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2605</v>
      </c>
      <c r="B42" s="2725">
        <v>214</v>
      </c>
      <c r="C42" s="2725">
        <v>188</v>
      </c>
      <c r="D42" s="2725">
        <f t="shared" si="29"/>
        <v>188</v>
      </c>
      <c r="E42" s="2725">
        <v>289</v>
      </c>
      <c r="F42" s="2726">
        <v>166</v>
      </c>
      <c r="G42" s="3749">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2606</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50">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2607</v>
      </c>
      <c r="B44" s="2695">
        <f t="shared" si="47"/>
        <v>206.31694671589116</v>
      </c>
      <c r="C44" s="2695">
        <f t="shared" si="47"/>
        <v>183.61041121036101</v>
      </c>
      <c r="D44" s="2695">
        <f t="shared" si="29"/>
        <v>183.61041121036101</v>
      </c>
      <c r="E44" s="2695">
        <f t="shared" si="48"/>
        <v>276.66850301795557</v>
      </c>
      <c r="F44" s="2695">
        <f t="shared" si="48"/>
        <v>165.1360938278614</v>
      </c>
      <c r="G44" s="3750">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2608</v>
      </c>
      <c r="B45" s="2728">
        <f t="shared" si="47"/>
        <v>196.62341248059772</v>
      </c>
      <c r="C45" s="2728">
        <f t="shared" si="47"/>
        <v>170.99125648199012</v>
      </c>
      <c r="D45" s="2728">
        <f t="shared" si="29"/>
        <v>170.99125648199012</v>
      </c>
      <c r="E45" s="2728">
        <f t="shared" si="48"/>
        <v>266.07857570490052</v>
      </c>
      <c r="F45" s="2728">
        <f t="shared" si="48"/>
        <v>154.53499328828505</v>
      </c>
      <c r="G45" s="3751">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2609</v>
      </c>
      <c r="B46" s="2687">
        <v>188</v>
      </c>
      <c r="C46" s="2687">
        <v>165</v>
      </c>
      <c r="D46" s="2687">
        <f t="shared" si="29"/>
        <v>165</v>
      </c>
      <c r="E46" s="2687">
        <v>254</v>
      </c>
      <c r="F46" s="2688">
        <v>148</v>
      </c>
      <c r="G46" s="3749">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2610</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50">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2611</v>
      </c>
      <c r="B48" s="2695">
        <f t="shared" si="51"/>
        <v>168.82017748715555</v>
      </c>
      <c r="C48" s="2695">
        <f t="shared" si="51"/>
        <v>148.06267029972753</v>
      </c>
      <c r="D48" s="2695">
        <f t="shared" si="29"/>
        <v>148.06267029972753</v>
      </c>
      <c r="E48" s="2695">
        <f t="shared" si="52"/>
        <v>216.46288379323747</v>
      </c>
      <c r="F48" s="2695">
        <f t="shared" si="52"/>
        <v>134.23529411764704</v>
      </c>
      <c r="G48" s="3750">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2612</v>
      </c>
      <c r="B49" s="2695">
        <f t="shared" si="51"/>
        <v>163.84913591779542</v>
      </c>
      <c r="C49" s="2695">
        <f t="shared" si="51"/>
        <v>145.0283378746594</v>
      </c>
      <c r="D49" s="2695">
        <f t="shared" si="29"/>
        <v>145.0283378746594</v>
      </c>
      <c r="E49" s="2695">
        <f t="shared" si="52"/>
        <v>204.95180722891567</v>
      </c>
      <c r="F49" s="2695">
        <f t="shared" si="52"/>
        <v>125.95920303605313</v>
      </c>
      <c r="G49" s="3751">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2613</v>
      </c>
      <c r="B50" s="2709">
        <v>159</v>
      </c>
      <c r="C50" s="2709">
        <v>141</v>
      </c>
      <c r="D50" s="2709">
        <f t="shared" si="29"/>
        <v>141</v>
      </c>
      <c r="E50" s="2709">
        <v>195</v>
      </c>
      <c r="F50" s="2710">
        <v>122</v>
      </c>
      <c r="G50" s="3749">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2614</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50">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2615</v>
      </c>
      <c r="B52" s="2695">
        <f t="shared" si="55"/>
        <v>146.57412060301507</v>
      </c>
      <c r="C52" s="2695">
        <f t="shared" si="55"/>
        <v>136.46831955922866</v>
      </c>
      <c r="D52" s="2695">
        <f t="shared" si="29"/>
        <v>136.46831955922866</v>
      </c>
      <c r="E52" s="2695">
        <f t="shared" si="56"/>
        <v>166.73864894795128</v>
      </c>
      <c r="F52" s="2695">
        <f t="shared" si="56"/>
        <v>115.05882352941177</v>
      </c>
      <c r="G52" s="3750">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2616</v>
      </c>
      <c r="B53" s="2695">
        <f t="shared" si="55"/>
        <v>144.04145728643215</v>
      </c>
      <c r="C53" s="2695">
        <f t="shared" si="55"/>
        <v>136.12396694214877</v>
      </c>
      <c r="D53" s="2695">
        <f t="shared" si="29"/>
        <v>136.12396694214877</v>
      </c>
      <c r="E53" s="2695">
        <f t="shared" si="56"/>
        <v>158.32225913621264</v>
      </c>
      <c r="F53" s="2695">
        <f t="shared" si="56"/>
        <v>114.04278074866311</v>
      </c>
      <c r="G53" s="3751">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2617</v>
      </c>
      <c r="B54" s="2709">
        <v>138</v>
      </c>
      <c r="C54" s="2709">
        <v>131</v>
      </c>
      <c r="D54" s="2709">
        <f t="shared" si="29"/>
        <v>131</v>
      </c>
      <c r="E54" s="2709">
        <v>155</v>
      </c>
      <c r="F54" s="2710">
        <v>114</v>
      </c>
      <c r="G54" s="3749">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2618</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50">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2619</v>
      </c>
      <c r="B56" s="2695">
        <f t="shared" si="59"/>
        <v>124.29032258064517</v>
      </c>
      <c r="C56" s="2695">
        <f t="shared" si="59"/>
        <v>123.8968609865471</v>
      </c>
      <c r="D56" s="2695">
        <f t="shared" si="29"/>
        <v>123.8968609865471</v>
      </c>
      <c r="E56" s="2695">
        <f t="shared" si="60"/>
        <v>138.00507614213197</v>
      </c>
      <c r="F56" s="2695">
        <f t="shared" si="60"/>
        <v>107.96106557377048</v>
      </c>
      <c r="G56" s="3750">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2620</v>
      </c>
      <c r="B57" s="2695">
        <f t="shared" si="59"/>
        <v>122.57204301075269</v>
      </c>
      <c r="C57" s="2695">
        <f t="shared" si="59"/>
        <v>123.4932735426009</v>
      </c>
      <c r="D57" s="2695">
        <f t="shared" si="29"/>
        <v>123.4932735426009</v>
      </c>
      <c r="E57" s="2695">
        <f t="shared" si="60"/>
        <v>129.82233502538071</v>
      </c>
      <c r="F57" s="2695">
        <f t="shared" si="60"/>
        <v>107.39446721311475</v>
      </c>
      <c r="G57" s="3751">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2621</v>
      </c>
      <c r="B58" s="2725">
        <v>121</v>
      </c>
      <c r="C58" s="2725">
        <v>122</v>
      </c>
      <c r="D58" s="2725">
        <f t="shared" si="29"/>
        <v>122</v>
      </c>
      <c r="E58" s="2725">
        <v>124</v>
      </c>
      <c r="F58" s="2726">
        <v>107</v>
      </c>
      <c r="G58" s="3749">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2622</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50">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2623</v>
      </c>
      <c r="B60" s="2695">
        <f t="shared" si="63"/>
        <v>116.99099099099099</v>
      </c>
      <c r="C60" s="2695">
        <f t="shared" si="63"/>
        <v>118.84848484848486</v>
      </c>
      <c r="D60" s="2695">
        <f t="shared" si="29"/>
        <v>118.84848484848486</v>
      </c>
      <c r="E60" s="2695">
        <f t="shared" si="64"/>
        <v>117.60960960960961</v>
      </c>
      <c r="F60" s="2695">
        <f t="shared" si="64"/>
        <v>104</v>
      </c>
      <c r="G60" s="3750">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2624</v>
      </c>
      <c r="B61" s="2728">
        <f t="shared" si="63"/>
        <v>112.48648648648648</v>
      </c>
      <c r="C61" s="2728">
        <f t="shared" si="63"/>
        <v>115.21212121212122</v>
      </c>
      <c r="D61" s="2728">
        <f t="shared" si="29"/>
        <v>115.21212121212122</v>
      </c>
      <c r="E61" s="2728">
        <f t="shared" si="64"/>
        <v>110.4024024024024</v>
      </c>
      <c r="F61" s="2728">
        <f t="shared" si="64"/>
        <v>104</v>
      </c>
      <c r="G61" s="3751">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2625</v>
      </c>
      <c r="B62" s="2746">
        <v>111</v>
      </c>
      <c r="C62" s="2746">
        <v>114</v>
      </c>
      <c r="D62" s="2746">
        <f t="shared" si="29"/>
        <v>114</v>
      </c>
      <c r="E62" s="2746">
        <v>108</v>
      </c>
      <c r="F62" s="2747">
        <v>104</v>
      </c>
      <c r="G62" s="3749">
        <v>2003</v>
      </c>
      <c r="H62" s="2736">
        <v>4</v>
      </c>
      <c r="I62" s="2748"/>
      <c r="J62" s="2748"/>
      <c r="K62" s="2748"/>
      <c r="L62" s="2748"/>
      <c r="N62" s="2749"/>
      <c r="O62" s="2748"/>
      <c r="P62" s="2748"/>
      <c r="Q62" s="2748"/>
      <c r="S62" s="2749"/>
      <c r="T62" s="2748"/>
      <c r="U62" s="2748"/>
      <c r="V62" s="2748"/>
      <c r="X62" s="2740"/>
      <c r="Y62" s="2740"/>
      <c r="Z62" s="2740"/>
    </row>
    <row r="63" spans="1:26">
      <c r="A63" s="2681" t="s">
        <v>2626</v>
      </c>
      <c r="B63" s="2750">
        <f t="shared" ref="B63:C65" si="65">B64+(B$62-B$66)/4</f>
        <v>109.75</v>
      </c>
      <c r="C63" s="2750">
        <f t="shared" si="65"/>
        <v>112.25</v>
      </c>
      <c r="D63" s="2750">
        <f t="shared" si="29"/>
        <v>112.25</v>
      </c>
      <c r="E63" s="2750">
        <f t="shared" ref="E63:F65" si="66">E64+(E$62-E$66)/4</f>
        <v>107.25</v>
      </c>
      <c r="F63" s="2750">
        <f t="shared" si="66"/>
        <v>103.5</v>
      </c>
      <c r="G63" s="3750">
        <v>2003</v>
      </c>
      <c r="H63" s="2706">
        <v>3</v>
      </c>
      <c r="I63" s="2748"/>
      <c r="J63" s="2748"/>
      <c r="K63" s="2748"/>
      <c r="L63" s="2748"/>
      <c r="X63" s="2740"/>
      <c r="Y63" s="2740"/>
      <c r="Z63" s="2740"/>
    </row>
    <row r="64" spans="1:26">
      <c r="A64" s="2681" t="s">
        <v>2627</v>
      </c>
      <c r="B64" s="2750">
        <f t="shared" si="65"/>
        <v>108.5</v>
      </c>
      <c r="C64" s="2750">
        <f t="shared" si="65"/>
        <v>110.5</v>
      </c>
      <c r="D64" s="2750">
        <f t="shared" si="29"/>
        <v>110.5</v>
      </c>
      <c r="E64" s="2750">
        <f t="shared" si="66"/>
        <v>106.5</v>
      </c>
      <c r="F64" s="2750">
        <f t="shared" si="66"/>
        <v>103</v>
      </c>
      <c r="G64" s="3750">
        <v>2003</v>
      </c>
      <c r="H64" s="2686">
        <v>2</v>
      </c>
      <c r="I64" s="2748"/>
      <c r="J64" s="2748"/>
      <c r="K64" s="2748"/>
      <c r="L64" s="2748"/>
      <c r="X64" s="2740"/>
      <c r="Y64" s="2740"/>
      <c r="Z64" s="2740"/>
    </row>
    <row r="65" spans="1:26" ht="13.5" thickBot="1">
      <c r="A65" s="2681" t="s">
        <v>2628</v>
      </c>
      <c r="B65" s="2750">
        <f t="shared" si="65"/>
        <v>107.25</v>
      </c>
      <c r="C65" s="2750">
        <f t="shared" si="65"/>
        <v>108.75</v>
      </c>
      <c r="D65" s="2750">
        <f t="shared" si="29"/>
        <v>108.75</v>
      </c>
      <c r="E65" s="2750">
        <f t="shared" si="66"/>
        <v>105.75</v>
      </c>
      <c r="F65" s="2750">
        <f t="shared" si="66"/>
        <v>102.5</v>
      </c>
      <c r="G65" s="3751">
        <v>2003</v>
      </c>
      <c r="H65" s="2751">
        <v>1</v>
      </c>
      <c r="I65" s="2748"/>
      <c r="J65" s="2748"/>
      <c r="K65" s="2748"/>
      <c r="L65" s="2748"/>
      <c r="S65" s="2690"/>
      <c r="T65" s="2691"/>
      <c r="U65" s="2691"/>
      <c r="X65" s="2740"/>
      <c r="Y65" s="2740"/>
      <c r="Z65" s="2740"/>
    </row>
    <row r="66" spans="1:26" ht="13.5" thickBot="1">
      <c r="A66" s="2681" t="s">
        <v>2629</v>
      </c>
      <c r="B66" s="2752">
        <v>106</v>
      </c>
      <c r="C66" s="2752">
        <v>107</v>
      </c>
      <c r="D66" s="2752">
        <f t="shared" si="29"/>
        <v>107</v>
      </c>
      <c r="E66" s="2752">
        <v>105</v>
      </c>
      <c r="F66" s="2753">
        <v>102</v>
      </c>
      <c r="G66" s="3749">
        <v>2002</v>
      </c>
      <c r="H66" s="2701">
        <v>4</v>
      </c>
      <c r="I66" s="2748"/>
      <c r="J66" s="2748"/>
      <c r="K66" s="2748"/>
      <c r="L66" s="2748"/>
      <c r="N66" s="2749"/>
      <c r="O66" s="2748"/>
      <c r="P66" s="2748"/>
      <c r="Q66" s="2748"/>
      <c r="S66" s="2749"/>
      <c r="T66" s="2748"/>
      <c r="U66" s="2748"/>
      <c r="V66" s="2748"/>
      <c r="X66" s="2740"/>
      <c r="Y66" s="2740"/>
      <c r="Z66" s="2740"/>
    </row>
    <row r="67" spans="1:26">
      <c r="A67" s="2681" t="s">
        <v>2630</v>
      </c>
      <c r="B67" s="2750">
        <f t="shared" ref="B67:C69" si="67">B68+(B$66-B$70)/4</f>
        <v>105</v>
      </c>
      <c r="C67" s="2750">
        <f t="shared" si="67"/>
        <v>106</v>
      </c>
      <c r="D67" s="2750">
        <f t="shared" si="29"/>
        <v>106</v>
      </c>
      <c r="E67" s="2750">
        <f t="shared" ref="E67:F69" si="68">E68+(E$66-E$70)/4</f>
        <v>104.5</v>
      </c>
      <c r="F67" s="2750">
        <f t="shared" si="68"/>
        <v>101.5</v>
      </c>
      <c r="G67" s="3750">
        <v>2002</v>
      </c>
      <c r="H67" s="2706">
        <v>3</v>
      </c>
      <c r="I67" s="2748"/>
      <c r="J67" s="2748"/>
      <c r="K67" s="2748"/>
      <c r="L67" s="2748"/>
      <c r="X67" s="2740"/>
      <c r="Y67" s="2740"/>
      <c r="Z67" s="2740"/>
    </row>
    <row r="68" spans="1:26">
      <c r="A68" s="2681" t="s">
        <v>2631</v>
      </c>
      <c r="B68" s="2750">
        <f t="shared" si="67"/>
        <v>104</v>
      </c>
      <c r="C68" s="2750">
        <f t="shared" si="67"/>
        <v>105</v>
      </c>
      <c r="D68" s="2750">
        <f t="shared" si="29"/>
        <v>105</v>
      </c>
      <c r="E68" s="2750">
        <f t="shared" si="68"/>
        <v>104</v>
      </c>
      <c r="F68" s="2750">
        <f t="shared" si="68"/>
        <v>101</v>
      </c>
      <c r="G68" s="3750">
        <v>2002</v>
      </c>
      <c r="H68" s="2686">
        <v>2</v>
      </c>
      <c r="I68" s="2748"/>
      <c r="J68" s="2748"/>
      <c r="K68" s="2748"/>
      <c r="L68" s="2748"/>
      <c r="X68" s="2740"/>
      <c r="Y68" s="2740"/>
      <c r="Z68" s="2740"/>
    </row>
    <row r="69" spans="1:26" s="2717" customFormat="1" ht="13.5" thickBot="1">
      <c r="A69" s="2713" t="s">
        <v>2632</v>
      </c>
      <c r="B69" s="2754">
        <f t="shared" si="67"/>
        <v>103</v>
      </c>
      <c r="C69" s="2754">
        <f t="shared" si="67"/>
        <v>104</v>
      </c>
      <c r="D69" s="2754">
        <f t="shared" si="29"/>
        <v>104</v>
      </c>
      <c r="E69" s="2754">
        <f t="shared" si="68"/>
        <v>103.5</v>
      </c>
      <c r="F69" s="2754">
        <f t="shared" si="68"/>
        <v>100.5</v>
      </c>
      <c r="G69" s="3751">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2633</v>
      </c>
      <c r="G72" s="2764"/>
      <c r="N72" s="2764"/>
      <c r="S72" s="2764"/>
    </row>
    <row r="73" spans="1:26" s="2763" customFormat="1">
      <c r="A73" s="2763" t="s">
        <v>2634</v>
      </c>
      <c r="G73" s="2764"/>
      <c r="N73" s="2764"/>
      <c r="S73" s="2764"/>
    </row>
    <row r="74" spans="1:26" s="2763" customFormat="1">
      <c r="A74" s="2763" t="s">
        <v>2635</v>
      </c>
      <c r="G74" s="2764"/>
      <c r="I74" s="2765"/>
      <c r="J74" s="2765"/>
      <c r="K74" s="2765"/>
      <c r="L74" s="2765"/>
      <c r="N74" s="2766"/>
      <c r="O74" s="2765"/>
      <c r="P74" s="2765"/>
      <c r="Q74" s="2765"/>
      <c r="S74" s="2766"/>
      <c r="T74" s="2765"/>
      <c r="U74" s="2765"/>
      <c r="V74" s="2765"/>
    </row>
    <row r="75" spans="1:26" s="2763" customFormat="1">
      <c r="A75" s="2763" t="s">
        <v>2636</v>
      </c>
      <c r="G75" s="2764"/>
      <c r="N75" s="2764"/>
      <c r="S75" s="2764"/>
    </row>
    <row r="82" spans="7:22" ht="13.5" thickBot="1"/>
    <row r="83" spans="7:22">
      <c r="G83" s="2689"/>
      <c r="S83" s="2767" t="s">
        <v>2637</v>
      </c>
      <c r="T83" s="2768" t="s">
        <v>2638</v>
      </c>
      <c r="U83" s="2768" t="s">
        <v>2639</v>
      </c>
      <c r="V83" s="2768" t="s">
        <v>2640</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1" t="s">
        <v>2473</v>
      </c>
      <c r="B1" s="3762"/>
      <c r="C1" s="3763"/>
      <c r="D1" s="3764">
        <f>SUM(I10,I15,I20,I21,I23)</f>
        <v>0</v>
      </c>
      <c r="E1" s="3764"/>
      <c r="F1" s="3764"/>
      <c r="G1" s="3764"/>
      <c r="H1" s="3764"/>
      <c r="I1" s="3765"/>
    </row>
    <row r="2" spans="1:9">
      <c r="A2" s="3766" t="s">
        <v>2474</v>
      </c>
      <c r="B2" s="3767" t="s">
        <v>2475</v>
      </c>
      <c r="C2" s="3767"/>
      <c r="D2" s="2532" t="s">
        <v>2476</v>
      </c>
      <c r="E2" s="2532" t="s">
        <v>2477</v>
      </c>
      <c r="F2" s="2532" t="s">
        <v>2478</v>
      </c>
      <c r="G2" s="2532" t="s">
        <v>2479</v>
      </c>
      <c r="H2" s="2532" t="s">
        <v>2480</v>
      </c>
      <c r="I2" s="2533" t="s">
        <v>2481</v>
      </c>
    </row>
    <row r="3" spans="1:9">
      <c r="A3" s="3766"/>
      <c r="B3" s="3767" t="s">
        <v>2482</v>
      </c>
      <c r="C3" s="3767"/>
      <c r="D3" s="2534"/>
      <c r="E3" s="2532"/>
      <c r="F3" s="2535"/>
      <c r="G3" s="2535"/>
      <c r="H3" s="2536"/>
      <c r="I3" s="2537">
        <f>ROUND(D3*E3*F3*G3*H3/10000,0)</f>
        <v>0</v>
      </c>
    </row>
    <row r="4" spans="1:9">
      <c r="A4" s="3766"/>
      <c r="B4" s="3767" t="s">
        <v>2483</v>
      </c>
      <c r="C4" s="3767"/>
      <c r="D4" s="2534"/>
      <c r="E4" s="2532"/>
      <c r="F4" s="2535"/>
      <c r="G4" s="2535"/>
      <c r="H4" s="2536"/>
      <c r="I4" s="2537">
        <f t="shared" ref="I4:I9" si="0">ROUND(D4*E4*F4*G4*H4/10000,0)</f>
        <v>0</v>
      </c>
    </row>
    <row r="5" spans="1:9">
      <c r="A5" s="3766"/>
      <c r="B5" s="3767" t="s">
        <v>2484</v>
      </c>
      <c r="C5" s="3767"/>
      <c r="D5" s="2534"/>
      <c r="E5" s="2532"/>
      <c r="F5" s="2535"/>
      <c r="G5" s="2535"/>
      <c r="H5" s="2536"/>
      <c r="I5" s="2537">
        <f t="shared" si="0"/>
        <v>0</v>
      </c>
    </row>
    <row r="6" spans="1:9">
      <c r="A6" s="3766"/>
      <c r="B6" s="3767" t="s">
        <v>2485</v>
      </c>
      <c r="C6" s="3767"/>
      <c r="D6" s="2534"/>
      <c r="E6" s="2532"/>
      <c r="F6" s="2535"/>
      <c r="G6" s="2535"/>
      <c r="H6" s="2536"/>
      <c r="I6" s="2537">
        <f t="shared" si="0"/>
        <v>0</v>
      </c>
    </row>
    <row r="7" spans="1:9">
      <c r="A7" s="3766"/>
      <c r="B7" s="3767" t="s">
        <v>2486</v>
      </c>
      <c r="C7" s="3767"/>
      <c r="D7" s="2534"/>
      <c r="E7" s="2532"/>
      <c r="F7" s="2535"/>
      <c r="G7" s="2535"/>
      <c r="H7" s="2536"/>
      <c r="I7" s="2537">
        <f t="shared" si="0"/>
        <v>0</v>
      </c>
    </row>
    <row r="8" spans="1:9">
      <c r="A8" s="3766"/>
      <c r="B8" s="3767" t="s">
        <v>2487</v>
      </c>
      <c r="C8" s="3767"/>
      <c r="D8" s="2534"/>
      <c r="E8" s="2532"/>
      <c r="F8" s="2535"/>
      <c r="G8" s="2535"/>
      <c r="H8" s="2536"/>
      <c r="I8" s="2537">
        <f t="shared" si="0"/>
        <v>0</v>
      </c>
    </row>
    <row r="9" spans="1:9">
      <c r="A9" s="3766"/>
      <c r="B9" s="3767" t="s">
        <v>2488</v>
      </c>
      <c r="C9" s="3767"/>
      <c r="D9" s="2534"/>
      <c r="E9" s="2532"/>
      <c r="F9" s="2535"/>
      <c r="G9" s="2535"/>
      <c r="H9" s="2536"/>
      <c r="I9" s="2537">
        <f t="shared" si="0"/>
        <v>0</v>
      </c>
    </row>
    <row r="10" spans="1:9">
      <c r="A10" s="3766"/>
      <c r="B10" s="3768" t="s">
        <v>2489</v>
      </c>
      <c r="C10" s="3768"/>
      <c r="D10" s="2538">
        <v>527</v>
      </c>
      <c r="E10" s="2538" t="e">
        <f>ROUND(D1*10000/D10/H9,0)</f>
        <v>#DIV/0!</v>
      </c>
      <c r="F10" s="2539"/>
      <c r="G10" s="2539"/>
      <c r="H10" s="2540"/>
      <c r="I10" s="2541">
        <f>SUM(I3:I9)</f>
        <v>0</v>
      </c>
    </row>
    <row r="11" spans="1:9" ht="14.25">
      <c r="A11" s="3766" t="s">
        <v>2490</v>
      </c>
      <c r="B11" s="3767" t="s">
        <v>2491</v>
      </c>
      <c r="C11" s="3767"/>
      <c r="D11" s="2534" t="s">
        <v>2492</v>
      </c>
      <c r="E11" s="2534" t="s">
        <v>2493</v>
      </c>
      <c r="F11" s="2535" t="s">
        <v>2494</v>
      </c>
      <c r="G11" s="2535" t="s">
        <v>2495</v>
      </c>
      <c r="H11" s="2542" t="s">
        <v>2496</v>
      </c>
      <c r="I11" s="2533" t="s">
        <v>2497</v>
      </c>
    </row>
    <row r="12" spans="1:9">
      <c r="A12" s="3766"/>
      <c r="B12" s="3767" t="s">
        <v>2498</v>
      </c>
      <c r="C12" s="3767"/>
      <c r="D12" s="2534"/>
      <c r="E12" s="2534"/>
      <c r="F12" s="2535"/>
      <c r="G12" s="2536"/>
      <c r="H12" s="2543"/>
      <c r="I12" s="2533">
        <f>ROUND(D12*E12*F12*G12/10000,0)</f>
        <v>0</v>
      </c>
    </row>
    <row r="13" spans="1:9">
      <c r="A13" s="3766"/>
      <c r="B13" s="3767" t="s">
        <v>2499</v>
      </c>
      <c r="C13" s="3767"/>
      <c r="D13" s="2534"/>
      <c r="E13" s="2534"/>
      <c r="F13" s="2535"/>
      <c r="G13" s="2536"/>
      <c r="H13" s="2543"/>
      <c r="I13" s="2533">
        <f>ROUND(D13*E13*F13*G13/10000,0)</f>
        <v>0</v>
      </c>
    </row>
    <row r="14" spans="1:9">
      <c r="A14" s="3766"/>
      <c r="B14" s="3767" t="s">
        <v>2500</v>
      </c>
      <c r="C14" s="3767"/>
      <c r="D14" s="2534"/>
      <c r="E14" s="2534"/>
      <c r="F14" s="2535"/>
      <c r="G14" s="2536"/>
      <c r="H14" s="2543"/>
      <c r="I14" s="2533">
        <f>ROUND(D14*E14*F14*G14/10000,0)</f>
        <v>0</v>
      </c>
    </row>
    <row r="15" spans="1:9">
      <c r="A15" s="3766"/>
      <c r="B15" s="3768" t="s">
        <v>2489</v>
      </c>
      <c r="C15" s="3768"/>
      <c r="D15" s="2538"/>
      <c r="E15" s="2538">
        <f>SUM(E12:E14)</f>
        <v>0</v>
      </c>
      <c r="F15" s="2539"/>
      <c r="G15" s="2536"/>
      <c r="H15" s="2543"/>
      <c r="I15" s="2544">
        <f>SUM(I12:I14)</f>
        <v>0</v>
      </c>
    </row>
    <row r="16" spans="1:9" ht="24">
      <c r="A16" s="3766" t="s">
        <v>2501</v>
      </c>
      <c r="B16" s="3767" t="s">
        <v>2502</v>
      </c>
      <c r="C16" s="3767"/>
      <c r="D16" s="2534" t="s">
        <v>2503</v>
      </c>
      <c r="E16" s="2545" t="s">
        <v>2504</v>
      </c>
      <c r="F16" s="2535" t="s">
        <v>2505</v>
      </c>
      <c r="G16" s="2536" t="s">
        <v>2495</v>
      </c>
      <c r="H16" s="2542" t="s">
        <v>2496</v>
      </c>
      <c r="I16" s="2533" t="s">
        <v>2497</v>
      </c>
    </row>
    <row r="17" spans="1:9" ht="14.25">
      <c r="A17" s="3766"/>
      <c r="B17" s="3767" t="s">
        <v>2506</v>
      </c>
      <c r="C17" s="3767"/>
      <c r="D17" s="2534"/>
      <c r="E17" s="2534"/>
      <c r="F17" s="2535"/>
      <c r="G17" s="2536"/>
      <c r="H17" s="2546"/>
      <c r="I17" s="2547">
        <f>ROUND(D17*E17*F17*G17/10000,0)</f>
        <v>0</v>
      </c>
    </row>
    <row r="18" spans="1:9" ht="14.25">
      <c r="A18" s="3766"/>
      <c r="B18" s="3767" t="s">
        <v>2507</v>
      </c>
      <c r="C18" s="3767"/>
      <c r="D18" s="2534"/>
      <c r="E18" s="2534"/>
      <c r="F18" s="2535"/>
      <c r="G18" s="2536"/>
      <c r="H18" s="2546"/>
      <c r="I18" s="2547">
        <f>ROUND(D18*E18*F18*G18/10000,0)</f>
        <v>0</v>
      </c>
    </row>
    <row r="19" spans="1:9" ht="14.25">
      <c r="A19" s="3766"/>
      <c r="B19" s="3767" t="s">
        <v>2508</v>
      </c>
      <c r="C19" s="3767"/>
      <c r="D19" s="2534"/>
      <c r="E19" s="2534"/>
      <c r="F19" s="2535"/>
      <c r="G19" s="2536"/>
      <c r="H19" s="2546"/>
      <c r="I19" s="2547">
        <f>ROUND(D19*E19*F19*G19/10000,0)</f>
        <v>0</v>
      </c>
    </row>
    <row r="20" spans="1:9">
      <c r="A20" s="3766"/>
      <c r="B20" s="3768" t="s">
        <v>2489</v>
      </c>
      <c r="C20" s="3768"/>
      <c r="D20" s="2538">
        <f>SUM(D17:D19)</f>
        <v>0</v>
      </c>
      <c r="E20" s="2538"/>
      <c r="F20" s="2539"/>
      <c r="G20" s="2536"/>
      <c r="H20" s="2543"/>
      <c r="I20" s="2544">
        <f>SUM(I17:I19)</f>
        <v>0</v>
      </c>
    </row>
    <row r="21" spans="1:9">
      <c r="A21" s="3766" t="s">
        <v>2509</v>
      </c>
      <c r="B21" s="3770"/>
      <c r="C21" s="3770"/>
      <c r="D21" s="3770"/>
      <c r="E21" s="3770"/>
      <c r="F21" s="3770"/>
      <c r="G21" s="3770"/>
      <c r="H21" s="2548">
        <v>0.1</v>
      </c>
      <c r="I21" s="2541">
        <f>ROUND(I10*H21,0)</f>
        <v>0</v>
      </c>
    </row>
    <row r="22" spans="1:9" ht="14.25">
      <c r="A22" s="3771" t="s">
        <v>2510</v>
      </c>
      <c r="B22" s="3772"/>
      <c r="C22" s="3773"/>
      <c r="D22" s="2549" t="s">
        <v>2511</v>
      </c>
      <c r="E22" s="2549" t="s">
        <v>2512</v>
      </c>
      <c r="F22" s="2550" t="s">
        <v>2513</v>
      </c>
      <c r="G22" s="2550" t="s">
        <v>2514</v>
      </c>
      <c r="H22" s="2542" t="s">
        <v>2515</v>
      </c>
      <c r="I22" s="2533" t="s">
        <v>2516</v>
      </c>
    </row>
    <row r="23" spans="1:9" ht="14.25" thickBot="1">
      <c r="A23" s="3774"/>
      <c r="B23" s="3775"/>
      <c r="C23" s="3776"/>
      <c r="D23" s="2551"/>
      <c r="E23" s="2551"/>
      <c r="F23" s="2551"/>
      <c r="G23" s="2552"/>
      <c r="H23" s="2553"/>
      <c r="I23" s="2554">
        <f>ROUND(E23*D23*F23*(1-G23)/10000,0)</f>
        <v>0</v>
      </c>
    </row>
    <row r="26" spans="1:9">
      <c r="A26" s="2555" t="s">
        <v>2517</v>
      </c>
      <c r="B26" s="2555"/>
      <c r="C26" s="2555"/>
      <c r="D26" s="2555"/>
      <c r="E26" s="3777">
        <f>C27-C30-C31-C32</f>
        <v>0</v>
      </c>
      <c r="F26" s="3777"/>
      <c r="G26" s="3777"/>
      <c r="H26" s="3070" t="s">
        <v>2845</v>
      </c>
    </row>
    <row r="27" spans="1:9">
      <c r="A27" s="2556">
        <v>1</v>
      </c>
      <c r="B27" s="2557" t="s">
        <v>2518</v>
      </c>
      <c r="C27" s="2557"/>
      <c r="D27" s="2557"/>
      <c r="E27" s="3778"/>
      <c r="F27" s="3778"/>
      <c r="G27" s="3778"/>
    </row>
    <row r="28" spans="1:9">
      <c r="A28" s="2558" t="s">
        <v>2519</v>
      </c>
      <c r="B28" s="2557" t="s">
        <v>2520</v>
      </c>
      <c r="C28" s="2557"/>
      <c r="D28" s="2557"/>
      <c r="E28" s="3778"/>
      <c r="F28" s="3778"/>
      <c r="G28" s="3778"/>
    </row>
    <row r="29" spans="1:9">
      <c r="A29" s="2558" t="s">
        <v>2521</v>
      </c>
      <c r="B29" s="2557" t="s">
        <v>2461</v>
      </c>
      <c r="C29" s="2557"/>
      <c r="D29" s="2557"/>
      <c r="E29" s="2557" t="s">
        <v>2522</v>
      </c>
      <c r="F29" s="2557"/>
      <c r="G29" s="2557"/>
    </row>
    <row r="30" spans="1:9">
      <c r="A30" s="2556">
        <v>2</v>
      </c>
      <c r="B30" s="2557" t="s">
        <v>2523</v>
      </c>
      <c r="C30" s="2557">
        <f>C27*D30</f>
        <v>0</v>
      </c>
      <c r="D30" s="2559">
        <v>0.2</v>
      </c>
      <c r="E30" s="2557" t="s">
        <v>2524</v>
      </c>
      <c r="F30" s="2557"/>
      <c r="G30" s="2557"/>
    </row>
    <row r="31" spans="1:9">
      <c r="A31" s="2556">
        <v>3</v>
      </c>
      <c r="B31" s="2557" t="s">
        <v>2525</v>
      </c>
      <c r="C31" s="2557">
        <f>C25*D31</f>
        <v>0</v>
      </c>
      <c r="D31" s="2559">
        <v>0.15</v>
      </c>
      <c r="E31" s="2557" t="s">
        <v>2526</v>
      </c>
      <c r="F31" s="2557"/>
      <c r="G31" s="2557"/>
    </row>
    <row r="32" spans="1:9">
      <c r="A32" s="2556">
        <v>4</v>
      </c>
      <c r="B32" s="2557" t="s">
        <v>2527</v>
      </c>
      <c r="C32" s="2557">
        <f>C27*D32</f>
        <v>0</v>
      </c>
      <c r="D32" s="2559">
        <v>0.05</v>
      </c>
      <c r="E32" s="3769"/>
      <c r="F32" s="3769"/>
      <c r="G32" s="3769"/>
    </row>
    <row r="33" spans="1:7" hidden="1">
      <c r="A33" s="3779" t="s">
        <v>2528</v>
      </c>
      <c r="B33" s="3780"/>
      <c r="C33" s="3780"/>
      <c r="D33" s="3781"/>
      <c r="E33" s="3777"/>
      <c r="F33" s="3777"/>
      <c r="G33" s="3777"/>
    </row>
    <row r="34" spans="1:7" hidden="1">
      <c r="A34" s="2560">
        <v>1</v>
      </c>
      <c r="B34" s="2557" t="s">
        <v>2529</v>
      </c>
      <c r="C34" s="2557"/>
      <c r="D34" s="2557"/>
      <c r="E34" s="3778"/>
      <c r="F34" s="3778"/>
      <c r="G34" s="3778"/>
    </row>
    <row r="35" spans="1:7" hidden="1">
      <c r="A35" s="2560">
        <v>2</v>
      </c>
      <c r="B35" s="2557" t="s">
        <v>2530</v>
      </c>
      <c r="C35" s="2557"/>
      <c r="D35" s="2557"/>
      <c r="E35" s="3778"/>
      <c r="F35" s="3778"/>
      <c r="G35" s="3778"/>
    </row>
    <row r="36" spans="1:7" hidden="1">
      <c r="A36" s="2560">
        <v>3</v>
      </c>
      <c r="B36" s="2557" t="s">
        <v>2531</v>
      </c>
      <c r="C36" s="2557"/>
      <c r="D36" s="2557"/>
      <c r="E36" s="3778"/>
      <c r="F36" s="3778"/>
      <c r="G36" s="3778"/>
    </row>
    <row r="37" spans="1:7" hidden="1">
      <c r="A37" s="2560">
        <v>4</v>
      </c>
      <c r="B37" s="2557" t="s">
        <v>2532</v>
      </c>
      <c r="C37" s="2557"/>
      <c r="D37" s="2557"/>
      <c r="E37" s="3778"/>
      <c r="F37" s="3778"/>
      <c r="G37" s="3778"/>
    </row>
    <row r="38" spans="1:7" hidden="1">
      <c r="A38" s="3779" t="s">
        <v>2533</v>
      </c>
      <c r="B38" s="3780"/>
      <c r="C38" s="3780"/>
      <c r="D38" s="3781"/>
      <c r="E38" s="3777"/>
      <c r="F38" s="3777"/>
      <c r="G38" s="37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2440</v>
      </c>
      <c r="B8" s="2497" t="s">
        <v>2442</v>
      </c>
      <c r="C8" s="2498"/>
      <c r="D8" s="749"/>
      <c r="E8" s="750"/>
      <c r="F8" s="750"/>
      <c r="G8" s="751"/>
    </row>
    <row r="9" spans="1:25" s="2184" customFormat="1" ht="13.5" customHeight="1">
      <c r="A9" s="2494" t="s">
        <v>2441</v>
      </c>
      <c r="B9" s="2497" t="s">
        <v>2443</v>
      </c>
      <c r="C9" s="2498"/>
      <c r="D9" s="749"/>
      <c r="E9" s="750"/>
      <c r="F9" s="750"/>
      <c r="G9" s="751"/>
    </row>
    <row r="10" spans="1:25" s="2184" customFormat="1" ht="36">
      <c r="A10" s="2494">
        <v>2</v>
      </c>
      <c r="B10" s="748" t="s">
        <v>614</v>
      </c>
      <c r="C10" s="749">
        <f>C11+C14+C15</f>
        <v>0</v>
      </c>
      <c r="D10" s="760">
        <f>'数据-汇总表'!E3</f>
        <v>141864.26</v>
      </c>
      <c r="E10" s="749">
        <f>'数据-取费表'!B31</f>
        <v>200</v>
      </c>
      <c r="F10" s="761"/>
      <c r="G10" s="759" t="s">
        <v>615</v>
      </c>
    </row>
    <row r="11" spans="1:25" s="2184" customFormat="1" ht="13.5" customHeight="1">
      <c r="A11" s="2494" t="s">
        <v>2440</v>
      </c>
      <c r="B11" s="752" t="s">
        <v>611</v>
      </c>
      <c r="C11" s="753">
        <f>'数据-取费表'!B29</f>
        <v>0</v>
      </c>
      <c r="D11" s="754"/>
      <c r="E11" s="753"/>
      <c r="F11" s="755"/>
      <c r="G11" s="2503" t="s">
        <v>2451</v>
      </c>
    </row>
    <row r="12" spans="1:25" s="2184" customFormat="1" ht="13.5" customHeight="1">
      <c r="A12" s="2501" t="s">
        <v>2448</v>
      </c>
      <c r="B12" s="756" t="s">
        <v>612</v>
      </c>
      <c r="C12" s="757">
        <f>ROUND(D12*E12/10000,0)</f>
        <v>1341</v>
      </c>
      <c r="D12" s="758">
        <f>'数据-汇总表'!E5</f>
        <v>127677.83</v>
      </c>
      <c r="E12" s="757">
        <f>'数据-取费表'!B27</f>
        <v>105</v>
      </c>
      <c r="F12" s="755"/>
      <c r="G12" s="759"/>
    </row>
    <row r="13" spans="1:25" s="2184" customFormat="1" ht="13.5" customHeight="1">
      <c r="A13" s="2501" t="s">
        <v>2447</v>
      </c>
      <c r="B13" s="756" t="s">
        <v>613</v>
      </c>
      <c r="C13" s="757">
        <f>ROUND(D13*E13/10000,0)</f>
        <v>149</v>
      </c>
      <c r="D13" s="758">
        <f>'数据-汇总表'!E6</f>
        <v>14186.430000000008</v>
      </c>
      <c r="E13" s="757">
        <f>'数据-取费表'!B28</f>
        <v>105</v>
      </c>
      <c r="F13" s="755"/>
      <c r="G13" s="759"/>
    </row>
    <row r="14" spans="1:25" s="2184" customFormat="1" ht="13.5" customHeight="1">
      <c r="A14" s="2494" t="s">
        <v>2441</v>
      </c>
      <c r="B14" s="2500" t="s">
        <v>2444</v>
      </c>
      <c r="C14" s="2498"/>
      <c r="D14" s="758"/>
      <c r="E14" s="757"/>
      <c r="F14" s="2499"/>
      <c r="G14" s="2502" t="s">
        <v>2449</v>
      </c>
    </row>
    <row r="15" spans="1:25" s="2184" customFormat="1" ht="13.5" customHeight="1">
      <c r="A15" s="2494" t="s">
        <v>2446</v>
      </c>
      <c r="B15" s="2500" t="s">
        <v>2445</v>
      </c>
      <c r="C15" s="2498"/>
      <c r="D15" s="758"/>
      <c r="E15" s="757"/>
      <c r="F15" s="2499"/>
      <c r="G15" s="2502" t="s">
        <v>2450</v>
      </c>
    </row>
    <row r="16" spans="1:25" s="2185" customFormat="1" ht="48">
      <c r="A16" s="2494">
        <v>3</v>
      </c>
      <c r="B16" s="748" t="s">
        <v>616</v>
      </c>
      <c r="C16" s="2498"/>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0.06</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0.92500000000000004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abSelected="1" topLeftCell="B21" zoomScale="80" zoomScaleNormal="80" workbookViewId="0">
      <selection activeCell="N41" sqref="N4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t="s">
        <v>924</v>
      </c>
      <c r="E1" s="2651"/>
      <c r="F1" s="2833" t="s">
        <v>3267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f>ROUND(B3*D3/10000,0)</f>
        <v>382382</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29949</v>
      </c>
      <c r="C3" s="852" t="s">
        <v>723</v>
      </c>
      <c r="D3" s="851">
        <f>SUMIF('数据-汇总表'!$C19:$C33,D1,'数据-汇总表'!$E19:$E33)</f>
        <v>127677.83</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673" t="s">
        <v>523</v>
      </c>
      <c r="D4" s="3674"/>
      <c r="E4" s="3710" t="s">
        <v>524</v>
      </c>
      <c r="F4" s="3711"/>
      <c r="G4" s="3673" t="s">
        <v>525</v>
      </c>
      <c r="H4" s="3674"/>
      <c r="I4" s="3673" t="s">
        <v>526</v>
      </c>
      <c r="J4" s="3674"/>
      <c r="K4" s="853" t="s">
        <v>527</v>
      </c>
      <c r="L4" s="2134"/>
      <c r="M4" s="2135"/>
      <c r="N4" s="2135"/>
      <c r="O4" s="2135"/>
      <c r="P4" s="3675" t="s">
        <v>528</v>
      </c>
      <c r="Q4" s="3676"/>
      <c r="R4" s="3681" t="s">
        <v>524</v>
      </c>
      <c r="S4" s="3682"/>
      <c r="T4" s="3681" t="s">
        <v>525</v>
      </c>
      <c r="U4" s="3682"/>
      <c r="V4" s="3668" t="s">
        <v>526</v>
      </c>
      <c r="W4" s="3668"/>
      <c r="X4" s="1568"/>
      <c r="Y4" s="3681" t="s">
        <v>528</v>
      </c>
      <c r="Z4" s="3682"/>
      <c r="AA4" s="3670" t="s">
        <v>524</v>
      </c>
      <c r="AB4" s="3670" t="s">
        <v>525</v>
      </c>
      <c r="AC4" s="3670" t="s">
        <v>526</v>
      </c>
    </row>
    <row r="5" spans="1:29" ht="15">
      <c r="A5" s="515"/>
      <c r="B5" s="516"/>
      <c r="C5" s="3691" t="s">
        <v>2928</v>
      </c>
      <c r="D5" s="3690"/>
      <c r="E5" s="3785" t="s">
        <v>3301</v>
      </c>
      <c r="F5" s="3713"/>
      <c r="G5" s="3689" t="s">
        <v>3300</v>
      </c>
      <c r="H5" s="3690"/>
      <c r="I5" s="3689" t="s">
        <v>3302</v>
      </c>
      <c r="J5" s="3690"/>
      <c r="K5" s="854"/>
      <c r="L5" s="2134"/>
      <c r="M5" s="2135"/>
      <c r="N5" s="2135"/>
      <c r="O5" s="2135"/>
      <c r="P5" s="3677"/>
      <c r="Q5" s="3678"/>
      <c r="R5" s="3683"/>
      <c r="S5" s="3684"/>
      <c r="T5" s="3683"/>
      <c r="U5" s="3684"/>
      <c r="V5" s="3668"/>
      <c r="W5" s="3668"/>
      <c r="X5" s="1568"/>
      <c r="Y5" s="3683"/>
      <c r="Z5" s="3684"/>
      <c r="AA5" s="3671"/>
      <c r="AB5" s="3671"/>
      <c r="AC5" s="3671"/>
    </row>
    <row r="6" spans="1:29" ht="15.75" thickBot="1">
      <c r="A6" s="517"/>
      <c r="B6" s="518"/>
      <c r="C6" s="3707" t="s">
        <v>2932</v>
      </c>
      <c r="D6" s="3688"/>
      <c r="E6" s="3708" t="s">
        <v>2932</v>
      </c>
      <c r="F6" s="3709"/>
      <c r="G6" s="3707" t="s">
        <v>2932</v>
      </c>
      <c r="H6" s="3688"/>
      <c r="I6" s="3707" t="s">
        <v>2932</v>
      </c>
      <c r="J6" s="3688"/>
      <c r="K6" s="854" t="s">
        <v>529</v>
      </c>
      <c r="L6" s="2134"/>
      <c r="M6" s="2135"/>
      <c r="N6" s="2135"/>
      <c r="O6" s="2135"/>
      <c r="P6" s="3679"/>
      <c r="Q6" s="3680"/>
      <c r="R6" s="3683"/>
      <c r="S6" s="3684"/>
      <c r="T6" s="3685"/>
      <c r="U6" s="3686"/>
      <c r="V6" s="3668"/>
      <c r="W6" s="3668"/>
      <c r="X6" s="1568"/>
      <c r="Y6" s="3685"/>
      <c r="Z6" s="3686"/>
      <c r="AA6" s="3672"/>
      <c r="AB6" s="3672"/>
      <c r="AC6" s="3672"/>
    </row>
    <row r="7" spans="1:29" s="1220" customFormat="1" ht="15.75" thickBot="1">
      <c r="A7" s="2938"/>
      <c r="B7" s="2945" t="s">
        <v>530</v>
      </c>
      <c r="C7" s="519">
        <f>'数据-取费表'!B2</f>
        <v>43159</v>
      </c>
      <c r="D7" s="520">
        <v>100</v>
      </c>
      <c r="E7" s="521">
        <f>C7</f>
        <v>43159</v>
      </c>
      <c r="F7" s="522">
        <f>SUMIF(58:58,YEAR(E7)&amp;"-"&amp;MONTH(E7),59:59)</f>
        <v>100</v>
      </c>
      <c r="G7" s="523">
        <f>C7</f>
        <v>43159</v>
      </c>
      <c r="H7" s="520">
        <f>SUMIF(58:58,YEAR(G7)&amp;"-"&amp;MONTH(G7),59:59)</f>
        <v>100</v>
      </c>
      <c r="I7" s="523">
        <f>C7</f>
        <v>43159</v>
      </c>
      <c r="J7" s="520">
        <f>SUMIF(58:58,YEAR(I7)&amp;"-"&amp;MONTH(I7),59:59)</f>
        <v>100</v>
      </c>
      <c r="K7" s="855"/>
      <c r="L7" s="2136"/>
      <c r="M7" s="2137"/>
      <c r="N7" s="2137"/>
      <c r="O7" s="2137"/>
      <c r="P7" s="3700" t="s">
        <v>531</v>
      </c>
      <c r="Q7" s="3702"/>
      <c r="R7" s="1569" t="s">
        <v>13</v>
      </c>
      <c r="S7" s="1570">
        <f t="shared" ref="S7:S15" si="0">F7</f>
        <v>100</v>
      </c>
      <c r="T7" s="1569" t="s">
        <v>13</v>
      </c>
      <c r="U7" s="1570">
        <f t="shared" ref="U7:U15" si="1">H7</f>
        <v>100</v>
      </c>
      <c r="V7" s="1569" t="s">
        <v>13</v>
      </c>
      <c r="W7" s="1570">
        <f t="shared" ref="W7:W15" si="2">J7</f>
        <v>100</v>
      </c>
      <c r="X7" s="1571"/>
      <c r="Y7" s="3700" t="s">
        <v>531</v>
      </c>
      <c r="Z7" s="3701"/>
      <c r="AA7" s="1572">
        <f>D7/F7</f>
        <v>1</v>
      </c>
      <c r="AB7" s="1572">
        <f>D7/H7</f>
        <v>1</v>
      </c>
      <c r="AC7" s="1572">
        <f>D7/J7</f>
        <v>1</v>
      </c>
    </row>
    <row r="8" spans="1:29" s="1220" customFormat="1" ht="15.75" thickBot="1">
      <c r="A8" s="2939"/>
      <c r="B8" s="2946" t="s">
        <v>532</v>
      </c>
      <c r="C8" s="525" t="s">
        <v>577</v>
      </c>
      <c r="D8" s="520">
        <v>100</v>
      </c>
      <c r="E8" s="856" t="s">
        <v>3259</v>
      </c>
      <c r="F8" s="522">
        <f>SUMIF(61:61,E8,62:62)-SUMIF(61:61,C8,62:62)+100</f>
        <v>100</v>
      </c>
      <c r="G8" s="525" t="s">
        <v>3259</v>
      </c>
      <c r="H8" s="520">
        <f>SUMIF(61:61,G8,62:62)-SUMIF(61:61,C8,62:62)+100</f>
        <v>100</v>
      </c>
      <c r="I8" s="856" t="s">
        <v>3259</v>
      </c>
      <c r="J8" s="520">
        <f>SUMIF(61:61,I8,62:62)-SUMIF(61:61,C8,62:62)+100</f>
        <v>100</v>
      </c>
      <c r="K8" s="855"/>
      <c r="L8" s="2136"/>
      <c r="M8" s="2137"/>
      <c r="N8" s="2137"/>
      <c r="O8" s="2137"/>
      <c r="P8" s="3700" t="s">
        <v>534</v>
      </c>
      <c r="Q8" s="3701"/>
      <c r="R8" s="1569" t="s">
        <v>13</v>
      </c>
      <c r="S8" s="1570">
        <f t="shared" si="0"/>
        <v>100</v>
      </c>
      <c r="T8" s="1569" t="s">
        <v>13</v>
      </c>
      <c r="U8" s="1570">
        <f t="shared" si="1"/>
        <v>100</v>
      </c>
      <c r="V8" s="1569" t="s">
        <v>13</v>
      </c>
      <c r="W8" s="1570">
        <f t="shared" si="2"/>
        <v>100</v>
      </c>
      <c r="X8" s="1571"/>
      <c r="Y8" s="3700" t="s">
        <v>534</v>
      </c>
      <c r="Z8" s="3701"/>
      <c r="AA8" s="1572">
        <f t="shared" ref="AA8:AA46" si="3">D8/F8</f>
        <v>1</v>
      </c>
      <c r="AB8" s="1572">
        <f t="shared" ref="AB8:AB46" si="4">D8/H8</f>
        <v>1</v>
      </c>
      <c r="AC8" s="1572">
        <f t="shared" ref="AC8:AC46" si="5">D8/J8</f>
        <v>1</v>
      </c>
    </row>
    <row r="9" spans="1:29" s="1220" customFormat="1" ht="15">
      <c r="A9" s="2940"/>
      <c r="B9" s="2947" t="s">
        <v>2758</v>
      </c>
      <c r="C9" s="3493" t="s">
        <v>3268</v>
      </c>
      <c r="D9" s="254">
        <v>100</v>
      </c>
      <c r="E9" s="858" t="s">
        <v>924</v>
      </c>
      <c r="F9" s="859">
        <f>SUMIF(63:63,E9,64:64)-SUMIF(63:63,C9,64:64)+100</f>
        <v>100</v>
      </c>
      <c r="G9" s="860" t="s">
        <v>924</v>
      </c>
      <c r="H9" s="254">
        <f>SUMIF(63:63,G9,64:64)-SUMIF(63:63,C9,64:64)+100</f>
        <v>100</v>
      </c>
      <c r="I9" s="860" t="s">
        <v>924</v>
      </c>
      <c r="J9" s="254">
        <f>SUMIF(63:63,I9,64:64)-SUMIF(63:63,C9,64:64)+100</f>
        <v>100</v>
      </c>
      <c r="K9" s="855"/>
      <c r="L9" s="2136"/>
      <c r="M9" s="2137"/>
      <c r="N9" s="2137"/>
      <c r="O9" s="2138"/>
      <c r="P9" s="3667" t="s">
        <v>536</v>
      </c>
      <c r="Q9" s="1151" t="str">
        <f t="shared" ref="Q9:Q15" si="6">B9</f>
        <v>用途</v>
      </c>
      <c r="R9" s="1569" t="s">
        <v>8</v>
      </c>
      <c r="S9" s="1570">
        <f t="shared" si="0"/>
        <v>100</v>
      </c>
      <c r="T9" s="1569" t="s">
        <v>8</v>
      </c>
      <c r="U9" s="1570">
        <f t="shared" si="1"/>
        <v>100</v>
      </c>
      <c r="V9" s="1569" t="s">
        <v>8</v>
      </c>
      <c r="W9" s="1570">
        <f t="shared" si="2"/>
        <v>100</v>
      </c>
      <c r="X9" s="1571"/>
      <c r="Y9" s="3613" t="s">
        <v>537</v>
      </c>
      <c r="Z9" s="1150" t="str">
        <f t="shared" ref="Z9:Z15" si="7">Q9</f>
        <v>用途</v>
      </c>
      <c r="AA9" s="1572">
        <f t="shared" si="3"/>
        <v>1</v>
      </c>
      <c r="AB9" s="1572">
        <f t="shared" si="4"/>
        <v>1</v>
      </c>
      <c r="AC9" s="1572">
        <f t="shared" si="5"/>
        <v>1</v>
      </c>
    </row>
    <row r="10" spans="1:29" s="1338" customFormat="1" ht="27">
      <c r="A10" s="2941"/>
      <c r="B10" s="2946" t="s">
        <v>2759</v>
      </c>
      <c r="C10" s="861" t="s">
        <v>3269</v>
      </c>
      <c r="D10" s="255">
        <v>100</v>
      </c>
      <c r="E10" s="862" t="s">
        <v>3269</v>
      </c>
      <c r="F10" s="863">
        <f>SUMIF(65:65,E10,66:66)-SUMIF(65:65,C10,66:66)+100</f>
        <v>100</v>
      </c>
      <c r="G10" s="861" t="s">
        <v>3269</v>
      </c>
      <c r="H10" s="255">
        <f>SUMIF(65:65,G10,66:66)-SUMIF(65:65,C10,66:66)+100</f>
        <v>100</v>
      </c>
      <c r="I10" s="861" t="s">
        <v>3269</v>
      </c>
      <c r="J10" s="255">
        <f>SUMIF(65:65,I10,66:66)-SUMIF(65:65,C10,66:66)+100</f>
        <v>100</v>
      </c>
      <c r="K10" s="864"/>
      <c r="L10" s="2139"/>
      <c r="M10" s="2179"/>
      <c r="N10" s="2179"/>
      <c r="O10" s="2140"/>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75" thickBot="1">
      <c r="A11" s="2942"/>
      <c r="B11" s="2946" t="s">
        <v>2760</v>
      </c>
      <c r="C11" s="533">
        <v>2.5</v>
      </c>
      <c r="D11" s="255">
        <v>100</v>
      </c>
      <c r="E11" s="534">
        <v>3</v>
      </c>
      <c r="F11" s="863">
        <f>LOOKUP(E11,68:68,69:69)-LOOKUP(C11,68:68,69:69)+100</f>
        <v>95</v>
      </c>
      <c r="G11" s="533">
        <v>1.6</v>
      </c>
      <c r="H11" s="255">
        <f>LOOKUP(G11,68:68,69:69)-LOOKUP(C11,68:68,69:69)+100</f>
        <v>105</v>
      </c>
      <c r="I11" s="533">
        <v>2.5</v>
      </c>
      <c r="J11" s="255">
        <f>LOOKUP(I11,68:68,69:69)-LOOKUP(C11,68:68,69:69)+100</f>
        <v>100</v>
      </c>
      <c r="K11" s="864">
        <f>'比较法-住宅、综合'!K13</f>
        <v>5</v>
      </c>
      <c r="L11" s="2141"/>
      <c r="M11" s="2135"/>
      <c r="N11" s="2135"/>
      <c r="O11" s="2142"/>
      <c r="P11" s="3667"/>
      <c r="Q11" s="1151" t="str">
        <f t="shared" si="6"/>
        <v>容积率</v>
      </c>
      <c r="R11" s="1569" t="s">
        <v>11</v>
      </c>
      <c r="S11" s="1570">
        <f t="shared" si="0"/>
        <v>95</v>
      </c>
      <c r="T11" s="1569" t="s">
        <v>11</v>
      </c>
      <c r="U11" s="1570">
        <f t="shared" si="1"/>
        <v>105</v>
      </c>
      <c r="V11" s="1569" t="s">
        <v>11</v>
      </c>
      <c r="W11" s="1570">
        <f t="shared" si="2"/>
        <v>100</v>
      </c>
      <c r="X11" s="1571"/>
      <c r="Y11" s="3613"/>
      <c r="Z11" s="1150" t="str">
        <f t="shared" si="7"/>
        <v>容积率</v>
      </c>
      <c r="AA11" s="1572">
        <f t="shared" si="3"/>
        <v>1.0526315789473684</v>
      </c>
      <c r="AB11" s="1572">
        <f t="shared" si="4"/>
        <v>0.95238095238095233</v>
      </c>
      <c r="AC11" s="1572">
        <f t="shared" si="5"/>
        <v>1</v>
      </c>
    </row>
    <row r="12" spans="1:29" s="1220" customFormat="1" ht="15" hidden="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67"/>
      <c r="Q12" s="1151">
        <f t="shared" si="6"/>
        <v>111</v>
      </c>
      <c r="R12" s="1569" t="s">
        <v>11</v>
      </c>
      <c r="S12" s="1570">
        <f t="shared" si="0"/>
        <v>100</v>
      </c>
      <c r="T12" s="1569" t="s">
        <v>11</v>
      </c>
      <c r="U12" s="1570">
        <f t="shared" si="1"/>
        <v>100</v>
      </c>
      <c r="V12" s="1569" t="s">
        <v>11</v>
      </c>
      <c r="W12" s="1570">
        <f t="shared" si="2"/>
        <v>100</v>
      </c>
      <c r="X12" s="1571"/>
      <c r="Y12" s="3613"/>
      <c r="Z12" s="1150">
        <f t="shared" si="7"/>
        <v>111</v>
      </c>
      <c r="AA12" s="1572">
        <f>D12/F12</f>
        <v>1</v>
      </c>
      <c r="AB12" s="1572">
        <f>D12/H12</f>
        <v>1</v>
      </c>
      <c r="AC12" s="1572">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67"/>
      <c r="Q13" s="1151">
        <f t="shared" si="6"/>
        <v>111</v>
      </c>
      <c r="R13" s="1569" t="s">
        <v>11</v>
      </c>
      <c r="S13" s="1570">
        <f t="shared" si="0"/>
        <v>100</v>
      </c>
      <c r="T13" s="1569" t="s">
        <v>11</v>
      </c>
      <c r="U13" s="1570">
        <f t="shared" si="1"/>
        <v>100</v>
      </c>
      <c r="V13" s="1569" t="s">
        <v>11</v>
      </c>
      <c r="W13" s="1570">
        <f t="shared" si="2"/>
        <v>100</v>
      </c>
      <c r="X13" s="1571"/>
      <c r="Y13" s="3613"/>
      <c r="Z13" s="1150">
        <f t="shared" si="7"/>
        <v>111</v>
      </c>
      <c r="AA13" s="1572">
        <f t="shared" si="3"/>
        <v>1</v>
      </c>
      <c r="AB13" s="1572">
        <f t="shared" si="4"/>
        <v>1</v>
      </c>
      <c r="AC13" s="1572">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67"/>
      <c r="Q14" s="1151">
        <f t="shared" si="6"/>
        <v>111</v>
      </c>
      <c r="R14" s="1569" t="s">
        <v>11</v>
      </c>
      <c r="S14" s="1570">
        <f t="shared" si="0"/>
        <v>100</v>
      </c>
      <c r="T14" s="1569" t="s">
        <v>11</v>
      </c>
      <c r="U14" s="1570">
        <f t="shared" si="1"/>
        <v>100</v>
      </c>
      <c r="V14" s="1569" t="s">
        <v>11</v>
      </c>
      <c r="W14" s="1570">
        <f t="shared" si="2"/>
        <v>100</v>
      </c>
      <c r="X14" s="1571"/>
      <c r="Y14" s="3613"/>
      <c r="Z14" s="1150">
        <f t="shared" si="7"/>
        <v>111</v>
      </c>
      <c r="AA14" s="1572">
        <f t="shared" si="3"/>
        <v>1</v>
      </c>
      <c r="AB14" s="1572">
        <f t="shared" si="4"/>
        <v>1</v>
      </c>
      <c r="AC14" s="1572">
        <f t="shared" si="5"/>
        <v>1</v>
      </c>
    </row>
    <row r="15" spans="1:29" ht="99.75">
      <c r="A15" s="2936"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102</v>
      </c>
      <c r="G15" s="552"/>
      <c r="H15" s="549">
        <f>SUMIF(76:76,G16,77:77)-SUMIF(76:76,C16,77:77)+100</f>
        <v>100</v>
      </c>
      <c r="I15" s="550"/>
      <c r="J15" s="549">
        <f>SUMIF(76:76,I16,77:77)-SUMIF(76:76,C16,77:77)+100</f>
        <v>100</v>
      </c>
      <c r="K15" s="868">
        <f>'比较法-住宅、综合'!K17</f>
        <v>2</v>
      </c>
      <c r="L15" s="2143"/>
      <c r="M15" s="2135"/>
      <c r="N15" s="2135"/>
      <c r="O15" s="2142"/>
      <c r="P15" s="3703" t="s">
        <v>541</v>
      </c>
      <c r="Q15" s="1573" t="str">
        <f t="shared" si="6"/>
        <v>居住社区成熟度</v>
      </c>
      <c r="R15" s="1574" t="s">
        <v>11</v>
      </c>
      <c r="S15" s="1575">
        <f t="shared" si="0"/>
        <v>102</v>
      </c>
      <c r="T15" s="1574" t="s">
        <v>11</v>
      </c>
      <c r="U15" s="1575">
        <f t="shared" si="1"/>
        <v>100</v>
      </c>
      <c r="V15" s="1574" t="s">
        <v>11</v>
      </c>
      <c r="W15" s="1575">
        <f t="shared" si="2"/>
        <v>100</v>
      </c>
      <c r="X15" s="1568"/>
      <c r="Y15" s="3703" t="s">
        <v>541</v>
      </c>
      <c r="Z15" s="1576" t="str">
        <f t="shared" si="7"/>
        <v>居住社区成熟度</v>
      </c>
      <c r="AA15" s="1577">
        <f t="shared" si="3"/>
        <v>0.98039215686274506</v>
      </c>
      <c r="AB15" s="1577">
        <f t="shared" si="4"/>
        <v>1</v>
      </c>
      <c r="AC15" s="1577">
        <f t="shared" si="5"/>
        <v>1</v>
      </c>
    </row>
    <row r="16" spans="1:29" ht="15">
      <c r="A16" s="532"/>
      <c r="B16" s="869"/>
      <c r="C16" s="576" t="s">
        <v>3237</v>
      </c>
      <c r="D16" s="555"/>
      <c r="E16" s="556" t="s">
        <v>3235</v>
      </c>
      <c r="F16" s="557"/>
      <c r="G16" s="558" t="s">
        <v>3237</v>
      </c>
      <c r="H16" s="559"/>
      <c r="I16" s="556" t="s">
        <v>3237</v>
      </c>
      <c r="J16" s="555"/>
      <c r="K16" s="870"/>
      <c r="L16" s="2143"/>
      <c r="M16" s="2135"/>
      <c r="N16" s="2135"/>
      <c r="O16" s="2142"/>
      <c r="P16" s="3704"/>
      <c r="Q16" s="1573"/>
      <c r="R16" s="1574"/>
      <c r="S16" s="1575"/>
      <c r="T16" s="1574"/>
      <c r="U16" s="1575"/>
      <c r="V16" s="1574"/>
      <c r="W16" s="1575"/>
      <c r="X16" s="1568"/>
      <c r="Y16" s="370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102</v>
      </c>
      <c r="I17" s="562"/>
      <c r="J17" s="565">
        <f>SUMIF(78:78,I18,79:79)-SUMIF(78:78,C18,79:79)+100</f>
        <v>100</v>
      </c>
      <c r="K17" s="868">
        <f>'比较法-住宅、综合'!K23</f>
        <v>2</v>
      </c>
      <c r="L17" s="2143"/>
      <c r="M17" s="2135"/>
      <c r="N17" s="2135"/>
      <c r="O17" s="2142"/>
      <c r="P17" s="3704"/>
      <c r="Q17" s="1573" t="str">
        <f>B17</f>
        <v>交通便捷度</v>
      </c>
      <c r="R17" s="1574" t="s">
        <v>11</v>
      </c>
      <c r="S17" s="1575">
        <f>F17</f>
        <v>102</v>
      </c>
      <c r="T17" s="1574" t="s">
        <v>11</v>
      </c>
      <c r="U17" s="1575">
        <f>H17</f>
        <v>102</v>
      </c>
      <c r="V17" s="1574" t="s">
        <v>11</v>
      </c>
      <c r="W17" s="1575">
        <f>J17</f>
        <v>100</v>
      </c>
      <c r="X17" s="1568"/>
      <c r="Y17" s="3704"/>
      <c r="Z17" s="1576" t="str">
        <f>Q17</f>
        <v>交通便捷度</v>
      </c>
      <c r="AA17" s="1577">
        <f t="shared" si="3"/>
        <v>0.98039215686274506</v>
      </c>
      <c r="AB17" s="1577">
        <f t="shared" si="4"/>
        <v>0.98039215686274506</v>
      </c>
      <c r="AC17" s="1577">
        <f t="shared" si="5"/>
        <v>1</v>
      </c>
    </row>
    <row r="18" spans="1:29" ht="15">
      <c r="A18" s="532"/>
      <c r="B18" s="595"/>
      <c r="C18" s="873" t="s">
        <v>3237</v>
      </c>
      <c r="D18" s="559"/>
      <c r="E18" s="568" t="s">
        <v>3235</v>
      </c>
      <c r="F18" s="563"/>
      <c r="G18" s="569" t="s">
        <v>3235</v>
      </c>
      <c r="H18" s="555"/>
      <c r="I18" s="568" t="s">
        <v>3237</v>
      </c>
      <c r="J18" s="555"/>
      <c r="K18" s="870"/>
      <c r="L18" s="2143"/>
      <c r="M18" s="2135"/>
      <c r="N18" s="2135"/>
      <c r="O18" s="2142"/>
      <c r="P18" s="3704"/>
      <c r="Q18" s="1573"/>
      <c r="R18" s="1574"/>
      <c r="S18" s="1575"/>
      <c r="T18" s="1574"/>
      <c r="U18" s="1575"/>
      <c r="V18" s="1574"/>
      <c r="W18" s="1575"/>
      <c r="X18" s="1568"/>
      <c r="Y18" s="3704"/>
      <c r="Z18" s="1576"/>
      <c r="AA18" s="1577">
        <v>1</v>
      </c>
      <c r="AB18" s="1577">
        <v>1</v>
      </c>
      <c r="AC18" s="1577">
        <v>1</v>
      </c>
    </row>
    <row r="19" spans="1:29" ht="42.75">
      <c r="A19" s="532"/>
      <c r="B19" s="2625" t="s">
        <v>2548</v>
      </c>
      <c r="C19" s="872" t="str">
        <f>估价对象房地状况!C7</f>
        <v>估价对象所在区域公共配套设施齐备情况</v>
      </c>
      <c r="D19" s="565">
        <v>100</v>
      </c>
      <c r="E19" s="570"/>
      <c r="F19" s="571">
        <f>SUMIF(80:80,E20,81:81)-SUMIF(80:80,C20,81:81)+100</f>
        <v>102</v>
      </c>
      <c r="G19" s="572"/>
      <c r="H19" s="559">
        <f>SUMIF(80:80,G20,81:81)-SUMIF(80:80,C20,81:81)+100</f>
        <v>102</v>
      </c>
      <c r="I19" s="570"/>
      <c r="J19" s="559">
        <f>SUMIF(80:80,I20,81:81)-SUMIF(80:80,C20,81:81)+100</f>
        <v>100</v>
      </c>
      <c r="K19" s="868">
        <f>'比较法-住宅、综合'!K29</f>
        <v>2</v>
      </c>
      <c r="L19" s="2143"/>
      <c r="M19" s="2135"/>
      <c r="N19" s="2135"/>
      <c r="O19" s="2142"/>
      <c r="P19" s="3704"/>
      <c r="Q19" s="1573" t="str">
        <f>B19</f>
        <v>公共配套设施</v>
      </c>
      <c r="R19" s="1574" t="s">
        <v>11</v>
      </c>
      <c r="S19" s="1575">
        <f>F19</f>
        <v>102</v>
      </c>
      <c r="T19" s="1574" t="s">
        <v>11</v>
      </c>
      <c r="U19" s="1575">
        <f>H19</f>
        <v>102</v>
      </c>
      <c r="V19" s="1574" t="s">
        <v>11</v>
      </c>
      <c r="W19" s="1575">
        <f>J19</f>
        <v>100</v>
      </c>
      <c r="X19" s="1568"/>
      <c r="Y19" s="3704"/>
      <c r="Z19" s="1576" t="str">
        <f>Q19</f>
        <v>公共配套设施</v>
      </c>
      <c r="AA19" s="1577">
        <f t="shared" si="3"/>
        <v>0.98039215686274506</v>
      </c>
      <c r="AB19" s="1577">
        <f t="shared" si="4"/>
        <v>0.98039215686274506</v>
      </c>
      <c r="AC19" s="1577">
        <f t="shared" si="5"/>
        <v>1</v>
      </c>
    </row>
    <row r="20" spans="1:29" ht="15">
      <c r="A20" s="532"/>
      <c r="B20" s="595"/>
      <c r="C20" s="576" t="s">
        <v>3237</v>
      </c>
      <c r="D20" s="555"/>
      <c r="E20" s="556" t="s">
        <v>3235</v>
      </c>
      <c r="F20" s="557"/>
      <c r="G20" s="558" t="s">
        <v>3235</v>
      </c>
      <c r="H20" s="555"/>
      <c r="I20" s="556" t="s">
        <v>3237</v>
      </c>
      <c r="J20" s="555"/>
      <c r="K20" s="870"/>
      <c r="L20" s="2143"/>
      <c r="M20" s="2135"/>
      <c r="N20" s="2135"/>
      <c r="O20" s="2142"/>
      <c r="P20" s="3704"/>
      <c r="Q20" s="1573"/>
      <c r="R20" s="1574"/>
      <c r="S20" s="1575"/>
      <c r="T20" s="1574"/>
      <c r="U20" s="1575"/>
      <c r="V20" s="1574"/>
      <c r="W20" s="1575"/>
      <c r="X20" s="1568"/>
      <c r="Y20" s="3704"/>
      <c r="Z20" s="1576"/>
      <c r="AA20" s="1577">
        <v>1</v>
      </c>
      <c r="AB20" s="1577">
        <v>1</v>
      </c>
      <c r="AC20" s="1577">
        <v>1</v>
      </c>
    </row>
    <row r="21" spans="1:29" ht="28.5">
      <c r="A21" s="532"/>
      <c r="B21" s="2618"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3"/>
      <c r="M21" s="2135"/>
      <c r="N21" s="2135"/>
      <c r="O21" s="2142"/>
      <c r="P21" s="3704"/>
      <c r="Q21" s="2604" t="str">
        <f>B21</f>
        <v>基础设施水平</v>
      </c>
      <c r="R21" s="1574" t="s">
        <v>11</v>
      </c>
      <c r="S21" s="1575">
        <f>F21</f>
        <v>100</v>
      </c>
      <c r="T21" s="1574" t="s">
        <v>11</v>
      </c>
      <c r="U21" s="1575">
        <f>H21</f>
        <v>100</v>
      </c>
      <c r="V21" s="1574" t="s">
        <v>11</v>
      </c>
      <c r="W21" s="1575">
        <f>J21</f>
        <v>100</v>
      </c>
      <c r="X21" s="2606"/>
      <c r="Y21" s="3704"/>
      <c r="Z21" s="2605" t="str">
        <f>Q21</f>
        <v>基础设施水平</v>
      </c>
      <c r="AA21" s="1577">
        <f t="shared" ref="AA21" si="8">D21/F21</f>
        <v>1</v>
      </c>
      <c r="AB21" s="1577">
        <f t="shared" ref="AB21" si="9">D21/H21</f>
        <v>1</v>
      </c>
      <c r="AC21" s="1577">
        <f t="shared" ref="AC21" si="10">D21/J21</f>
        <v>1</v>
      </c>
    </row>
    <row r="22" spans="1:29" ht="15">
      <c r="A22" s="532"/>
      <c r="B22" s="922"/>
      <c r="C22" s="873" t="s">
        <v>3242</v>
      </c>
      <c r="D22" s="555"/>
      <c r="E22" s="576" t="s">
        <v>3242</v>
      </c>
      <c r="F22" s="557"/>
      <c r="G22" s="576" t="s">
        <v>3242</v>
      </c>
      <c r="H22" s="555"/>
      <c r="I22" s="576" t="s">
        <v>3242</v>
      </c>
      <c r="J22" s="555"/>
      <c r="K22" s="2624"/>
      <c r="L22" s="2143"/>
      <c r="M22" s="2135"/>
      <c r="N22" s="2135"/>
      <c r="O22" s="2142"/>
      <c r="P22" s="3704"/>
      <c r="Q22" s="2604"/>
      <c r="R22" s="1574"/>
      <c r="S22" s="1575"/>
      <c r="T22" s="1574"/>
      <c r="U22" s="1575"/>
      <c r="V22" s="1574"/>
      <c r="W22" s="1575"/>
      <c r="X22" s="2606"/>
      <c r="Y22" s="3704"/>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98</v>
      </c>
      <c r="K23" s="868">
        <f>'比较法-住宅、综合'!K27</f>
        <v>2</v>
      </c>
      <c r="L23" s="2143"/>
      <c r="M23" s="2135"/>
      <c r="N23" s="2135"/>
      <c r="O23" s="2142"/>
      <c r="P23" s="3704"/>
      <c r="Q23" s="1573" t="str">
        <f>B23</f>
        <v>自然及人文环境</v>
      </c>
      <c r="R23" s="1574" t="s">
        <v>11</v>
      </c>
      <c r="S23" s="1575">
        <f>F23</f>
        <v>100</v>
      </c>
      <c r="T23" s="1574" t="s">
        <v>11</v>
      </c>
      <c r="U23" s="1575">
        <f>H23</f>
        <v>100</v>
      </c>
      <c r="V23" s="1574" t="s">
        <v>11</v>
      </c>
      <c r="W23" s="1575">
        <f>J23</f>
        <v>98</v>
      </c>
      <c r="X23" s="1568"/>
      <c r="Y23" s="3704"/>
      <c r="Z23" s="1576" t="str">
        <f>Q23</f>
        <v>自然及人文环境</v>
      </c>
      <c r="AA23" s="1577">
        <f t="shared" si="3"/>
        <v>1</v>
      </c>
      <c r="AB23" s="1577">
        <f t="shared" si="4"/>
        <v>1</v>
      </c>
      <c r="AC23" s="1577">
        <f t="shared" si="5"/>
        <v>1.0204081632653061</v>
      </c>
    </row>
    <row r="24" spans="1:29" ht="15.75" thickBot="1">
      <c r="A24" s="532"/>
      <c r="B24" s="595"/>
      <c r="C24" s="576" t="s">
        <v>3235</v>
      </c>
      <c r="D24" s="555"/>
      <c r="E24" s="556" t="s">
        <v>3235</v>
      </c>
      <c r="F24" s="557"/>
      <c r="G24" s="558" t="s">
        <v>3235</v>
      </c>
      <c r="H24" s="555"/>
      <c r="I24" s="556" t="s">
        <v>3237</v>
      </c>
      <c r="J24" s="555"/>
      <c r="K24" s="870"/>
      <c r="L24" s="2143"/>
      <c r="M24" s="2135"/>
      <c r="N24" s="2135"/>
      <c r="O24" s="2142"/>
      <c r="P24" s="3704"/>
      <c r="Q24" s="1573"/>
      <c r="R24" s="1574"/>
      <c r="S24" s="1575"/>
      <c r="T24" s="1574"/>
      <c r="U24" s="1575"/>
      <c r="V24" s="1574"/>
      <c r="W24" s="1575"/>
      <c r="X24" s="1568"/>
      <c r="Y24" s="3704"/>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04"/>
      <c r="Q25" s="1573" t="str">
        <f t="shared" ref="Q25:Q46" si="11">B25</f>
        <v>楼层-1</v>
      </c>
      <c r="R25" s="1574" t="s">
        <v>11</v>
      </c>
      <c r="S25" s="1575">
        <f>F25</f>
        <v>100</v>
      </c>
      <c r="T25" s="1574" t="s">
        <v>11</v>
      </c>
      <c r="U25" s="1575">
        <f>H25</f>
        <v>100</v>
      </c>
      <c r="V25" s="1574" t="s">
        <v>11</v>
      </c>
      <c r="W25" s="1575">
        <f>J25</f>
        <v>100</v>
      </c>
      <c r="X25" s="1568"/>
      <c r="Y25" s="3704"/>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04"/>
      <c r="Q26" s="1573" t="str">
        <f t="shared" si="11"/>
        <v>朝向</v>
      </c>
      <c r="R26" s="1574" t="s">
        <v>11</v>
      </c>
      <c r="S26" s="1575">
        <f>F26</f>
        <v>100</v>
      </c>
      <c r="T26" s="1574" t="s">
        <v>11</v>
      </c>
      <c r="U26" s="1575">
        <f>H26</f>
        <v>100</v>
      </c>
      <c r="V26" s="1574" t="s">
        <v>11</v>
      </c>
      <c r="W26" s="1575">
        <f>J26</f>
        <v>100</v>
      </c>
      <c r="X26" s="1568"/>
      <c r="Y26" s="3704"/>
      <c r="Z26" s="1576" t="str">
        <f>Q26</f>
        <v>朝向</v>
      </c>
      <c r="AA26" s="1577">
        <f t="shared" si="3"/>
        <v>1</v>
      </c>
      <c r="AB26" s="1577">
        <f t="shared" si="4"/>
        <v>1</v>
      </c>
      <c r="AC26" s="1577">
        <f t="shared" si="5"/>
        <v>1</v>
      </c>
    </row>
    <row r="27" spans="1:29" s="1220" customFormat="1" ht="15" hidden="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04"/>
      <c r="Q27" s="1151" t="str">
        <f t="shared" si="11"/>
        <v>道路级别</v>
      </c>
      <c r="R27" s="1569" t="s">
        <v>11</v>
      </c>
      <c r="S27" s="1570">
        <f>F27</f>
        <v>100</v>
      </c>
      <c r="T27" s="1569" t="s">
        <v>11</v>
      </c>
      <c r="U27" s="1570">
        <f>H27</f>
        <v>100</v>
      </c>
      <c r="V27" s="1569" t="s">
        <v>11</v>
      </c>
      <c r="W27" s="1570">
        <f>J27</f>
        <v>100</v>
      </c>
      <c r="X27" s="1571"/>
      <c r="Y27" s="3704"/>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04"/>
      <c r="Q28" s="1573">
        <f t="shared" si="11"/>
        <v>111</v>
      </c>
      <c r="R28" s="1574" t="s">
        <v>11</v>
      </c>
      <c r="S28" s="1575">
        <f t="shared" ref="S28:S46" si="12">F28</f>
        <v>100</v>
      </c>
      <c r="T28" s="1574" t="s">
        <v>11</v>
      </c>
      <c r="U28" s="1575">
        <f t="shared" ref="U28:U46" si="13">H28</f>
        <v>100</v>
      </c>
      <c r="V28" s="1574" t="s">
        <v>11</v>
      </c>
      <c r="W28" s="1575">
        <f t="shared" ref="W28:W46" si="14">J28</f>
        <v>100</v>
      </c>
      <c r="X28" s="1568"/>
      <c r="Y28" s="3704"/>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04"/>
      <c r="Q29" s="1573">
        <f t="shared" si="11"/>
        <v>111</v>
      </c>
      <c r="R29" s="1574" t="s">
        <v>11</v>
      </c>
      <c r="S29" s="1575">
        <f t="shared" si="12"/>
        <v>100</v>
      </c>
      <c r="T29" s="1574" t="s">
        <v>11</v>
      </c>
      <c r="U29" s="1575">
        <f t="shared" si="13"/>
        <v>100</v>
      </c>
      <c r="V29" s="1574" t="s">
        <v>11</v>
      </c>
      <c r="W29" s="1575">
        <f t="shared" si="14"/>
        <v>100</v>
      </c>
      <c r="X29" s="1568"/>
      <c r="Y29" s="3704"/>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04"/>
      <c r="Q30" s="1573">
        <f t="shared" si="11"/>
        <v>111</v>
      </c>
      <c r="R30" s="1574" t="s">
        <v>11</v>
      </c>
      <c r="S30" s="1575">
        <f t="shared" si="12"/>
        <v>100</v>
      </c>
      <c r="T30" s="1574" t="s">
        <v>11</v>
      </c>
      <c r="U30" s="1575">
        <f t="shared" si="13"/>
        <v>100</v>
      </c>
      <c r="V30" s="1574" t="s">
        <v>11</v>
      </c>
      <c r="W30" s="1575">
        <f t="shared" si="14"/>
        <v>100</v>
      </c>
      <c r="X30" s="1568"/>
      <c r="Y30" s="3704"/>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04"/>
      <c r="Q31" s="1573">
        <f t="shared" si="11"/>
        <v>111</v>
      </c>
      <c r="R31" s="1574" t="s">
        <v>11</v>
      </c>
      <c r="S31" s="1575">
        <f t="shared" si="12"/>
        <v>100</v>
      </c>
      <c r="T31" s="1574" t="s">
        <v>11</v>
      </c>
      <c r="U31" s="1575">
        <f t="shared" si="13"/>
        <v>100</v>
      </c>
      <c r="V31" s="1574" t="s">
        <v>11</v>
      </c>
      <c r="W31" s="1575">
        <f t="shared" si="14"/>
        <v>100</v>
      </c>
      <c r="X31" s="1568"/>
      <c r="Y31" s="3704"/>
      <c r="Z31" s="1576">
        <f t="shared" si="15"/>
        <v>111</v>
      </c>
      <c r="AA31" s="1577">
        <f t="shared" si="3"/>
        <v>1</v>
      </c>
      <c r="AB31" s="1577">
        <f t="shared" si="4"/>
        <v>1</v>
      </c>
      <c r="AC31" s="1577">
        <f t="shared" si="5"/>
        <v>1</v>
      </c>
    </row>
    <row r="32" spans="1:29" ht="15">
      <c r="A32" s="2933" t="s">
        <v>2757</v>
      </c>
      <c r="B32" s="172" t="s">
        <v>726</v>
      </c>
      <c r="C32" s="878" t="s">
        <v>3292</v>
      </c>
      <c r="D32" s="597">
        <v>100</v>
      </c>
      <c r="E32" s="879" t="s">
        <v>3292</v>
      </c>
      <c r="F32" s="575">
        <f>SUMIF(100:100,E32,101:101)-SUMIF(100:100,C32,101:101)+100</f>
        <v>100</v>
      </c>
      <c r="G32" s="878" t="s">
        <v>3298</v>
      </c>
      <c r="H32" s="597">
        <f>SUMIF(100:100,G32,101:101)-SUMIF(100:100,C32,101:101)+100</f>
        <v>103</v>
      </c>
      <c r="I32" s="879" t="s">
        <v>3292</v>
      </c>
      <c r="J32" s="540">
        <f>SUMIF(100:100,I32,101:101)-SUMIF(100:100,C32,101:101)+100</f>
        <v>100</v>
      </c>
      <c r="K32" s="864">
        <v>3</v>
      </c>
      <c r="L32" s="2143"/>
      <c r="M32" s="2135"/>
      <c r="N32" s="2135"/>
      <c r="O32" s="2142"/>
      <c r="P32" s="3705" t="s">
        <v>551</v>
      </c>
      <c r="Q32" s="1573" t="str">
        <f t="shared" si="11"/>
        <v>建筑类型</v>
      </c>
      <c r="R32" s="1574" t="s">
        <v>11</v>
      </c>
      <c r="S32" s="1575">
        <f t="shared" si="12"/>
        <v>100</v>
      </c>
      <c r="T32" s="1574" t="s">
        <v>11</v>
      </c>
      <c r="U32" s="1575">
        <f t="shared" si="13"/>
        <v>103</v>
      </c>
      <c r="V32" s="1574" t="s">
        <v>11</v>
      </c>
      <c r="W32" s="1575">
        <f t="shared" si="14"/>
        <v>100</v>
      </c>
      <c r="X32" s="1568"/>
      <c r="Y32" s="3706" t="s">
        <v>551</v>
      </c>
      <c r="Z32" s="1576" t="str">
        <f t="shared" si="15"/>
        <v>建筑类型</v>
      </c>
      <c r="AA32" s="1577">
        <f t="shared" si="3"/>
        <v>1</v>
      </c>
      <c r="AB32" s="1577">
        <f t="shared" si="4"/>
        <v>0.970873786407767</v>
      </c>
      <c r="AC32" s="1577">
        <f t="shared" si="5"/>
        <v>1</v>
      </c>
    </row>
    <row r="33" spans="1:29" s="1339" customFormat="1" ht="15">
      <c r="A33" s="603"/>
      <c r="B33" s="527" t="s">
        <v>727</v>
      </c>
      <c r="C33" s="880">
        <f>'数据-基础表'!B3</f>
        <v>141864.26</v>
      </c>
      <c r="D33" s="255">
        <v>100</v>
      </c>
      <c r="E33" s="534">
        <v>258000</v>
      </c>
      <c r="F33" s="863">
        <f>LOOKUP(E33,103:103,104:104)-LOOKUP(C33,103:103,104:104)+100</f>
        <v>103</v>
      </c>
      <c r="G33" s="533">
        <v>195870</v>
      </c>
      <c r="H33" s="255">
        <f>LOOKUP(G33,103:103,104:104)-LOOKUP(C33,103:103,104:104)+100</f>
        <v>101</v>
      </c>
      <c r="I33" s="534">
        <v>100445</v>
      </c>
      <c r="J33" s="255">
        <f>LOOKUP(I33,103:103,104:104)-LOOKUP(C33,103:103,104:104)+100</f>
        <v>100</v>
      </c>
      <c r="K33" s="865"/>
      <c r="L33" s="2141"/>
      <c r="M33" s="2172"/>
      <c r="N33" s="2172"/>
      <c r="O33" s="2144"/>
      <c r="P33" s="3706"/>
      <c r="Q33" s="1606" t="str">
        <f t="shared" si="11"/>
        <v>项目建筑规模</v>
      </c>
      <c r="R33" s="1578" t="s">
        <v>11</v>
      </c>
      <c r="S33" s="1579">
        <f t="shared" si="12"/>
        <v>103</v>
      </c>
      <c r="T33" s="1578" t="s">
        <v>11</v>
      </c>
      <c r="U33" s="1579">
        <f t="shared" si="13"/>
        <v>101</v>
      </c>
      <c r="V33" s="1578" t="s">
        <v>11</v>
      </c>
      <c r="W33" s="1579">
        <f t="shared" si="14"/>
        <v>100</v>
      </c>
      <c r="X33" s="1580"/>
      <c r="Y33" s="3706"/>
      <c r="Z33" s="1581" t="str">
        <f t="shared" si="15"/>
        <v>项目建筑规模</v>
      </c>
      <c r="AA33" s="1577">
        <f t="shared" si="3"/>
        <v>0.970873786407767</v>
      </c>
      <c r="AB33" s="1577">
        <f t="shared" si="4"/>
        <v>0.99009900990099009</v>
      </c>
      <c r="AC33" s="1577">
        <f t="shared" si="5"/>
        <v>1</v>
      </c>
    </row>
    <row r="34" spans="1:29" ht="15">
      <c r="A34" s="594"/>
      <c r="B34" s="527" t="s">
        <v>728</v>
      </c>
      <c r="C34" s="881" t="s">
        <v>3271</v>
      </c>
      <c r="D34" s="540">
        <v>100</v>
      </c>
      <c r="E34" s="882" t="s">
        <v>3271</v>
      </c>
      <c r="F34" s="575">
        <f>SUMIF(105:105,E34,106:106)-SUMIF(105:105,C34,106:106)+100</f>
        <v>100</v>
      </c>
      <c r="G34" s="881" t="s">
        <v>3271</v>
      </c>
      <c r="H34" s="540">
        <f>SUMIF(105:105,G34,106:106)-SUMIF(105:105,C34,106:106)+100</f>
        <v>100</v>
      </c>
      <c r="I34" s="882" t="s">
        <v>3271</v>
      </c>
      <c r="J34" s="540">
        <f>SUMIF(105:105,I34,106:106)-SUMIF(105:105,C34,106:106)+100</f>
        <v>100</v>
      </c>
      <c r="K34" s="864">
        <v>2</v>
      </c>
      <c r="L34" s="2143"/>
      <c r="M34" s="2135"/>
      <c r="N34" s="2135"/>
      <c r="O34" s="2142"/>
      <c r="P34" s="3706"/>
      <c r="Q34" s="1573" t="str">
        <f t="shared" si="11"/>
        <v>建筑结构</v>
      </c>
      <c r="R34" s="1574" t="s">
        <v>11</v>
      </c>
      <c r="S34" s="1575">
        <f t="shared" si="12"/>
        <v>100</v>
      </c>
      <c r="T34" s="1574" t="s">
        <v>11</v>
      </c>
      <c r="U34" s="1575">
        <f t="shared" si="13"/>
        <v>100</v>
      </c>
      <c r="V34" s="1574" t="s">
        <v>11</v>
      </c>
      <c r="W34" s="1575">
        <f t="shared" si="14"/>
        <v>100</v>
      </c>
      <c r="X34" s="1568"/>
      <c r="Y34" s="3706"/>
      <c r="Z34" s="1576" t="str">
        <f t="shared" si="15"/>
        <v>建筑结构</v>
      </c>
      <c r="AA34" s="1577">
        <f t="shared" si="3"/>
        <v>1</v>
      </c>
      <c r="AB34" s="1577">
        <f t="shared" si="4"/>
        <v>1</v>
      </c>
      <c r="AC34" s="1577">
        <f t="shared" si="5"/>
        <v>1</v>
      </c>
    </row>
    <row r="35" spans="1:29" ht="15">
      <c r="A35" s="594"/>
      <c r="B35" s="527" t="s">
        <v>729</v>
      </c>
      <c r="C35" s="599" t="s">
        <v>3274</v>
      </c>
      <c r="D35" s="540">
        <v>100</v>
      </c>
      <c r="E35" s="874" t="s">
        <v>3274</v>
      </c>
      <c r="F35" s="575">
        <f>SUMIF(107:107,E35,108:108)-SUMIF(107:107,C35,108:108)+100</f>
        <v>100</v>
      </c>
      <c r="G35" s="599" t="s">
        <v>3274</v>
      </c>
      <c r="H35" s="540">
        <f>SUMIF(107:107,G35,108:108)-SUMIF(107:107,C35,108:108)+100</f>
        <v>100</v>
      </c>
      <c r="I35" s="874" t="s">
        <v>3276</v>
      </c>
      <c r="J35" s="540">
        <f>SUMIF(107:107,I35,108:108)-SUMIF(107:107,C35,108:108)+100</f>
        <v>97</v>
      </c>
      <c r="K35" s="864">
        <v>3</v>
      </c>
      <c r="L35" s="2143"/>
      <c r="M35" s="2135"/>
      <c r="N35" s="2135"/>
      <c r="O35" s="2142"/>
      <c r="P35" s="3706"/>
      <c r="Q35" s="1573" t="str">
        <f t="shared" si="11"/>
        <v>建筑品质</v>
      </c>
      <c r="R35" s="1574" t="s">
        <v>11</v>
      </c>
      <c r="S35" s="1575">
        <f t="shared" si="12"/>
        <v>100</v>
      </c>
      <c r="T35" s="1574" t="s">
        <v>11</v>
      </c>
      <c r="U35" s="1575">
        <f t="shared" si="13"/>
        <v>100</v>
      </c>
      <c r="V35" s="1574" t="s">
        <v>11</v>
      </c>
      <c r="W35" s="1575">
        <f t="shared" si="14"/>
        <v>97</v>
      </c>
      <c r="X35" s="1568"/>
      <c r="Y35" s="3706"/>
      <c r="Z35" s="1576" t="str">
        <f t="shared" si="15"/>
        <v>建筑品质</v>
      </c>
      <c r="AA35" s="1577">
        <f t="shared" si="3"/>
        <v>1</v>
      </c>
      <c r="AB35" s="1577">
        <f t="shared" si="4"/>
        <v>1</v>
      </c>
      <c r="AC35" s="1577">
        <f t="shared" si="5"/>
        <v>1.0309278350515463</v>
      </c>
    </row>
    <row r="36" spans="1:29" ht="15">
      <c r="A36" s="594"/>
      <c r="B36" s="527" t="s">
        <v>730</v>
      </c>
      <c r="C36" s="599" t="s">
        <v>3279</v>
      </c>
      <c r="D36" s="540">
        <v>100</v>
      </c>
      <c r="E36" s="874" t="s">
        <v>3279</v>
      </c>
      <c r="F36" s="575">
        <f>SUMIF(109:109,E36,110:110)-SUMIF(109:109,C36,110:110)+100</f>
        <v>100</v>
      </c>
      <c r="G36" s="599" t="s">
        <v>3279</v>
      </c>
      <c r="H36" s="540">
        <f>SUMIF(109:109,G36,110:110)-SUMIF(109:109,C36,110:110)+100</f>
        <v>100</v>
      </c>
      <c r="I36" s="874" t="s">
        <v>3279</v>
      </c>
      <c r="J36" s="540">
        <f>SUMIF(109:109,I36,110:110)-SUMIF(109:109,C36,110:110)+100</f>
        <v>100</v>
      </c>
      <c r="K36" s="864">
        <v>2</v>
      </c>
      <c r="L36" s="2143"/>
      <c r="M36" s="2135"/>
      <c r="N36" s="2135"/>
      <c r="O36" s="2142"/>
      <c r="P36" s="3706"/>
      <c r="Q36" s="1573" t="str">
        <f t="shared" si="11"/>
        <v>公共部分装修</v>
      </c>
      <c r="R36" s="1574" t="s">
        <v>11</v>
      </c>
      <c r="S36" s="1575">
        <f t="shared" si="12"/>
        <v>100</v>
      </c>
      <c r="T36" s="1574" t="s">
        <v>11</v>
      </c>
      <c r="U36" s="1575">
        <f t="shared" si="13"/>
        <v>100</v>
      </c>
      <c r="V36" s="1574" t="s">
        <v>11</v>
      </c>
      <c r="W36" s="1575">
        <f t="shared" si="14"/>
        <v>100</v>
      </c>
      <c r="X36" s="1568"/>
      <c r="Y36" s="3706"/>
      <c r="Z36" s="1576" t="str">
        <f t="shared" si="15"/>
        <v>公共部分装修</v>
      </c>
      <c r="AA36" s="1577">
        <f t="shared" si="3"/>
        <v>1</v>
      </c>
      <c r="AB36" s="1577">
        <f t="shared" si="4"/>
        <v>1</v>
      </c>
      <c r="AC36" s="1577">
        <f t="shared" si="5"/>
        <v>1</v>
      </c>
    </row>
    <row r="37" spans="1:29" s="1220" customFormat="1" ht="15" hidden="1">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706"/>
      <c r="Q37" s="1151" t="str">
        <f t="shared" si="11"/>
        <v>成新度</v>
      </c>
      <c r="R37" s="1569" t="s">
        <v>11</v>
      </c>
      <c r="S37" s="1570">
        <f t="shared" si="12"/>
        <v>100</v>
      </c>
      <c r="T37" s="1569" t="s">
        <v>11</v>
      </c>
      <c r="U37" s="1570">
        <f t="shared" si="13"/>
        <v>100</v>
      </c>
      <c r="V37" s="1569" t="s">
        <v>11</v>
      </c>
      <c r="W37" s="1570">
        <f t="shared" si="14"/>
        <v>100</v>
      </c>
      <c r="X37" s="1571"/>
      <c r="Y37" s="3706"/>
      <c r="Z37" s="1150" t="str">
        <f t="shared" si="15"/>
        <v>成新度</v>
      </c>
      <c r="AA37" s="1572">
        <f t="shared" si="3"/>
        <v>1</v>
      </c>
      <c r="AB37" s="1572">
        <f t="shared" si="4"/>
        <v>1</v>
      </c>
      <c r="AC37" s="1572">
        <f t="shared" si="5"/>
        <v>1</v>
      </c>
    </row>
    <row r="38" spans="1:29" ht="15">
      <c r="A38" s="594"/>
      <c r="B38" s="527" t="s">
        <v>732</v>
      </c>
      <c r="C38" s="599" t="s">
        <v>3284</v>
      </c>
      <c r="D38" s="540">
        <v>100</v>
      </c>
      <c r="E38" s="874" t="s">
        <v>3284</v>
      </c>
      <c r="F38" s="575">
        <f>SUMIF(114:114,E38,115:115)-SUMIF(114:114,C38,115:115)+100</f>
        <v>100</v>
      </c>
      <c r="G38" s="599" t="s">
        <v>3284</v>
      </c>
      <c r="H38" s="540">
        <f>SUMIF(114:114,G38,115:115)-SUMIF(114:114,C38,115:115)+100</f>
        <v>100</v>
      </c>
      <c r="I38" s="874" t="s">
        <v>3284</v>
      </c>
      <c r="J38" s="540">
        <f>SUMIF(114:114,I38,115:115)-SUMIF(114:114,C38,115:115)+100</f>
        <v>100</v>
      </c>
      <c r="K38" s="864">
        <v>2</v>
      </c>
      <c r="L38" s="2143"/>
      <c r="M38" s="2135"/>
      <c r="N38" s="2135"/>
      <c r="O38" s="2142"/>
      <c r="P38" s="3706" t="s">
        <v>551</v>
      </c>
      <c r="Q38" s="1573" t="str">
        <f t="shared" si="11"/>
        <v>物业管理</v>
      </c>
      <c r="R38" s="1574" t="s">
        <v>11</v>
      </c>
      <c r="S38" s="1575">
        <f t="shared" si="12"/>
        <v>100</v>
      </c>
      <c r="T38" s="1574" t="s">
        <v>11</v>
      </c>
      <c r="U38" s="1575">
        <f t="shared" si="13"/>
        <v>100</v>
      </c>
      <c r="V38" s="1574" t="s">
        <v>11</v>
      </c>
      <c r="W38" s="1575">
        <f t="shared" si="14"/>
        <v>100</v>
      </c>
      <c r="X38" s="1568"/>
      <c r="Y38" s="3706" t="s">
        <v>551</v>
      </c>
      <c r="Z38" s="1576" t="str">
        <f t="shared" si="15"/>
        <v>物业管理</v>
      </c>
      <c r="AA38" s="1577">
        <f t="shared" si="3"/>
        <v>1</v>
      </c>
      <c r="AB38" s="1577">
        <f t="shared" si="4"/>
        <v>1</v>
      </c>
      <c r="AC38" s="1577">
        <f t="shared" si="5"/>
        <v>1</v>
      </c>
    </row>
    <row r="39" spans="1:29" ht="15">
      <c r="A39" s="594"/>
      <c r="B39" s="1896" t="s">
        <v>2566</v>
      </c>
      <c r="C39" s="599" t="s">
        <v>3242</v>
      </c>
      <c r="D39" s="540">
        <v>100</v>
      </c>
      <c r="E39" s="874" t="s">
        <v>3242</v>
      </c>
      <c r="F39" s="575">
        <f>SUMIF(116:116,E39,117:117)-SUMIF(116:116,C39,117:117)+100</f>
        <v>100</v>
      </c>
      <c r="G39" s="599" t="s">
        <v>3242</v>
      </c>
      <c r="H39" s="540">
        <f>SUMIF(116:116,G39,117:117)-SUMIF(116:116,C39,117:117)+100</f>
        <v>100</v>
      </c>
      <c r="I39" s="874" t="s">
        <v>3242</v>
      </c>
      <c r="J39" s="540">
        <f>SUMIF(116:116,I39,117:117)-SUMIF(116:116,C39,117:117)+100</f>
        <v>100</v>
      </c>
      <c r="K39" s="864">
        <v>1</v>
      </c>
      <c r="L39" s="2143"/>
      <c r="M39" s="2135"/>
      <c r="N39" s="2135"/>
      <c r="O39" s="2142"/>
      <c r="P39" s="3706"/>
      <c r="Q39" s="1573" t="str">
        <f t="shared" si="11"/>
        <v>市政基础设施</v>
      </c>
      <c r="R39" s="1574" t="s">
        <v>11</v>
      </c>
      <c r="S39" s="1575">
        <f t="shared" si="12"/>
        <v>100</v>
      </c>
      <c r="T39" s="1574" t="s">
        <v>11</v>
      </c>
      <c r="U39" s="1575">
        <f t="shared" si="13"/>
        <v>100</v>
      </c>
      <c r="V39" s="1574" t="s">
        <v>11</v>
      </c>
      <c r="W39" s="1575">
        <f t="shared" si="14"/>
        <v>100</v>
      </c>
      <c r="X39" s="1568"/>
      <c r="Y39" s="3706"/>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06"/>
      <c r="Q40" s="1573" t="str">
        <f t="shared" si="11"/>
        <v>房型</v>
      </c>
      <c r="R40" s="1574" t="s">
        <v>11</v>
      </c>
      <c r="S40" s="1575">
        <f t="shared" si="12"/>
        <v>100</v>
      </c>
      <c r="T40" s="1574" t="s">
        <v>11</v>
      </c>
      <c r="U40" s="1575">
        <f t="shared" si="13"/>
        <v>100</v>
      </c>
      <c r="V40" s="1574" t="s">
        <v>11</v>
      </c>
      <c r="W40" s="1575">
        <f t="shared" si="14"/>
        <v>100</v>
      </c>
      <c r="X40" s="1568"/>
      <c r="Y40" s="3706"/>
      <c r="Z40" s="1576" t="str">
        <f t="shared" si="15"/>
        <v>房型</v>
      </c>
      <c r="AA40" s="1577">
        <f t="shared" si="3"/>
        <v>1</v>
      </c>
      <c r="AB40" s="1577">
        <f t="shared" si="4"/>
        <v>1</v>
      </c>
      <c r="AC40" s="1577">
        <f t="shared" si="5"/>
        <v>1</v>
      </c>
    </row>
    <row r="41" spans="1:29" s="1339" customFormat="1" ht="28.5">
      <c r="A41" s="603"/>
      <c r="B41" s="527" t="s">
        <v>734</v>
      </c>
      <c r="C41" s="880" t="s">
        <v>3270</v>
      </c>
      <c r="D41" s="255">
        <v>100</v>
      </c>
      <c r="E41" s="534" t="s">
        <v>3270</v>
      </c>
      <c r="F41" s="863">
        <f>SUMIF(120:120,E41,121:121)-SUMIF(120:120,C41,121:121)+100</f>
        <v>100</v>
      </c>
      <c r="G41" s="534" t="s">
        <v>3270</v>
      </c>
      <c r="H41" s="255">
        <f>SUMIF(120:120,G41,121:121)-SUMIF(120:120,C41,121:121)+100</f>
        <v>100</v>
      </c>
      <c r="I41" s="534" t="s">
        <v>3270</v>
      </c>
      <c r="J41" s="540">
        <f>SUMIF(120:120,I41,121:121)-SUMIF(120:120,C41,121:121)+100</f>
        <v>100</v>
      </c>
      <c r="K41" s="865"/>
      <c r="L41" s="2141"/>
      <c r="M41" s="2172"/>
      <c r="N41" s="2172"/>
      <c r="O41" s="2144"/>
      <c r="P41" s="3706"/>
      <c r="Q41" s="1606" t="str">
        <f t="shared" si="11"/>
        <v>单套/主力户型建筑面积</v>
      </c>
      <c r="R41" s="1578" t="s">
        <v>11</v>
      </c>
      <c r="S41" s="1579">
        <f t="shared" si="12"/>
        <v>100</v>
      </c>
      <c r="T41" s="1578" t="s">
        <v>11</v>
      </c>
      <c r="U41" s="1579">
        <f t="shared" si="13"/>
        <v>100</v>
      </c>
      <c r="V41" s="1578" t="s">
        <v>11</v>
      </c>
      <c r="W41" s="1579">
        <f t="shared" si="14"/>
        <v>100</v>
      </c>
      <c r="X41" s="1580"/>
      <c r="Y41" s="3706"/>
      <c r="Z41" s="1581" t="str">
        <f t="shared" si="15"/>
        <v>单套/主力户型建筑面积</v>
      </c>
      <c r="AA41" s="1577">
        <f t="shared" si="3"/>
        <v>1</v>
      </c>
      <c r="AB41" s="1577">
        <f t="shared" si="4"/>
        <v>1</v>
      </c>
      <c r="AC41" s="1577">
        <f t="shared" si="5"/>
        <v>1</v>
      </c>
    </row>
    <row r="42" spans="1:29" ht="15.75" thickBot="1">
      <c r="A42" s="594"/>
      <c r="B42" s="527" t="s">
        <v>735</v>
      </c>
      <c r="C42" s="599" t="s">
        <v>3279</v>
      </c>
      <c r="D42" s="540">
        <v>100</v>
      </c>
      <c r="E42" s="874" t="s">
        <v>3279</v>
      </c>
      <c r="F42" s="575">
        <f>SUMIF(122:122,E42,123:123)-SUMIF(122:122,C42,123:123)+100</f>
        <v>100</v>
      </c>
      <c r="G42" s="599" t="s">
        <v>3279</v>
      </c>
      <c r="H42" s="540">
        <f>SUMIF(122:122,G42,123:123)-SUMIF(122:122,C42,123:123)+100</f>
        <v>100</v>
      </c>
      <c r="I42" s="874" t="s">
        <v>3281</v>
      </c>
      <c r="J42" s="540">
        <f>SUMIF(122:122,I42,123:123)-SUMIF(122:122,C42,123:123)+100</f>
        <v>95</v>
      </c>
      <c r="K42" s="864">
        <v>5</v>
      </c>
      <c r="L42" s="2143"/>
      <c r="M42" s="2135"/>
      <c r="N42" s="2135"/>
      <c r="O42" s="2142"/>
      <c r="P42" s="3706"/>
      <c r="Q42" s="1573" t="str">
        <f t="shared" si="11"/>
        <v>内部装修</v>
      </c>
      <c r="R42" s="1574" t="s">
        <v>11</v>
      </c>
      <c r="S42" s="1575">
        <f t="shared" si="12"/>
        <v>100</v>
      </c>
      <c r="T42" s="1574" t="s">
        <v>11</v>
      </c>
      <c r="U42" s="1575">
        <f t="shared" si="13"/>
        <v>100</v>
      </c>
      <c r="V42" s="1574" t="s">
        <v>11</v>
      </c>
      <c r="W42" s="1575">
        <f t="shared" si="14"/>
        <v>95</v>
      </c>
      <c r="X42" s="1568"/>
      <c r="Y42" s="3706"/>
      <c r="Z42" s="1576" t="str">
        <f t="shared" si="15"/>
        <v>内部装修</v>
      </c>
      <c r="AA42" s="1577">
        <f t="shared" si="3"/>
        <v>1</v>
      </c>
      <c r="AB42" s="1577">
        <f t="shared" si="4"/>
        <v>1</v>
      </c>
      <c r="AC42" s="1577">
        <f t="shared" si="5"/>
        <v>1.0526315789473684</v>
      </c>
    </row>
    <row r="43" spans="1:29" ht="27" hidden="1">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706"/>
      <c r="Q43" s="1573" t="str">
        <f t="shared" si="11"/>
        <v>内部装修维护情况</v>
      </c>
      <c r="R43" s="1574" t="s">
        <v>11</v>
      </c>
      <c r="S43" s="1575">
        <f t="shared" si="12"/>
        <v>100</v>
      </c>
      <c r="T43" s="1574" t="s">
        <v>11</v>
      </c>
      <c r="U43" s="1575">
        <f t="shared" si="13"/>
        <v>100</v>
      </c>
      <c r="V43" s="1574" t="s">
        <v>11</v>
      </c>
      <c r="W43" s="1575">
        <f t="shared" si="14"/>
        <v>100</v>
      </c>
      <c r="X43" s="1568"/>
      <c r="Y43" s="3706"/>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706"/>
      <c r="Q44" s="1151">
        <f t="shared" si="11"/>
        <v>111</v>
      </c>
      <c r="R44" s="1569" t="s">
        <v>11</v>
      </c>
      <c r="S44" s="1570">
        <f t="shared" si="12"/>
        <v>100</v>
      </c>
      <c r="T44" s="1569" t="s">
        <v>11</v>
      </c>
      <c r="U44" s="1570">
        <f t="shared" si="13"/>
        <v>100</v>
      </c>
      <c r="V44" s="1569" t="s">
        <v>11</v>
      </c>
      <c r="W44" s="1570">
        <f t="shared" si="14"/>
        <v>100</v>
      </c>
      <c r="X44" s="1571"/>
      <c r="Y44" s="3706"/>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06"/>
      <c r="Q45" s="1573">
        <f t="shared" si="11"/>
        <v>111</v>
      </c>
      <c r="R45" s="1574" t="s">
        <v>11</v>
      </c>
      <c r="S45" s="1575">
        <f t="shared" si="12"/>
        <v>100</v>
      </c>
      <c r="T45" s="1574" t="s">
        <v>11</v>
      </c>
      <c r="U45" s="1575">
        <f t="shared" si="13"/>
        <v>100</v>
      </c>
      <c r="V45" s="1574" t="s">
        <v>11</v>
      </c>
      <c r="W45" s="1575">
        <f t="shared" si="14"/>
        <v>100</v>
      </c>
      <c r="X45" s="1568"/>
      <c r="Y45" s="3706"/>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84"/>
      <c r="Q46" s="1573">
        <f t="shared" si="11"/>
        <v>111</v>
      </c>
      <c r="R46" s="1574" t="s">
        <v>10</v>
      </c>
      <c r="S46" s="1575">
        <f t="shared" si="12"/>
        <v>100</v>
      </c>
      <c r="T46" s="1574" t="s">
        <v>10</v>
      </c>
      <c r="U46" s="1575">
        <f t="shared" si="13"/>
        <v>100</v>
      </c>
      <c r="V46" s="1574" t="s">
        <v>10</v>
      </c>
      <c r="W46" s="1575">
        <f t="shared" si="14"/>
        <v>100</v>
      </c>
      <c r="X46" s="1568"/>
      <c r="Y46" s="3784"/>
      <c r="Z46" s="1576">
        <f t="shared" si="15"/>
        <v>111</v>
      </c>
      <c r="AA46" s="1577">
        <f t="shared" si="3"/>
        <v>1</v>
      </c>
      <c r="AB46" s="1577">
        <f t="shared" si="4"/>
        <v>1</v>
      </c>
      <c r="AC46" s="1577">
        <f t="shared" si="5"/>
        <v>1</v>
      </c>
    </row>
    <row r="47" spans="1:29" ht="15">
      <c r="A47" s="607" t="s">
        <v>737</v>
      </c>
      <c r="B47" s="887"/>
      <c r="C47" s="2652" t="s">
        <v>9</v>
      </c>
      <c r="D47" s="2653"/>
      <c r="E47" s="2654">
        <f>ROUND(31500*0.99,0)</f>
        <v>31185</v>
      </c>
      <c r="F47" s="2655"/>
      <c r="G47" s="2656">
        <f>ROUND(33500*0.98,0)</f>
        <v>32830</v>
      </c>
      <c r="H47" s="2657"/>
      <c r="I47" s="2654">
        <f>ROUND(28500*0.98,0)</f>
        <v>27930</v>
      </c>
      <c r="J47" s="2657"/>
      <c r="K47" s="1607"/>
      <c r="L47" s="2145"/>
      <c r="M47" s="2146"/>
      <c r="N47" s="2135"/>
      <c r="O47" s="2146"/>
      <c r="P47" s="3667" t="str">
        <f>A47</f>
        <v>成交单价（元/平方米）</v>
      </c>
      <c r="Q47" s="3667"/>
      <c r="R47" s="3783">
        <f>E47</f>
        <v>31185</v>
      </c>
      <c r="S47" s="3783"/>
      <c r="T47" s="3783">
        <f>G47</f>
        <v>32830</v>
      </c>
      <c r="U47" s="3783"/>
      <c r="V47" s="3783">
        <f>I47</f>
        <v>27930</v>
      </c>
      <c r="W47" s="3783"/>
      <c r="X47" s="1560"/>
      <c r="Y47" s="1582"/>
      <c r="Z47" s="1560"/>
      <c r="AA47" s="1560"/>
      <c r="AB47" s="1560"/>
      <c r="AC47" s="1560"/>
    </row>
    <row r="48" spans="1:29" ht="15.75" thickBot="1">
      <c r="A48" s="615" t="s">
        <v>2762</v>
      </c>
      <c r="B48" s="888"/>
      <c r="C48" s="2658">
        <f>R49</f>
        <v>29949</v>
      </c>
      <c r="D48" s="2659"/>
      <c r="E48" s="2660">
        <f>R48</f>
        <v>30032</v>
      </c>
      <c r="F48" s="2660"/>
      <c r="G48" s="2658">
        <f>T48</f>
        <v>28888</v>
      </c>
      <c r="H48" s="2659"/>
      <c r="I48" s="2660">
        <f>V48</f>
        <v>30928</v>
      </c>
      <c r="J48" s="2659"/>
      <c r="K48" s="1608"/>
      <c r="L48" s="2145"/>
      <c r="M48" s="2146"/>
      <c r="N48" s="2146"/>
      <c r="O48" s="2146"/>
      <c r="P48" s="3667" t="str">
        <f>A48</f>
        <v>比较价格（元/平方米）</v>
      </c>
      <c r="Q48" s="3667"/>
      <c r="R48" s="3783">
        <f>IF(F1="售价",ROUND(PRODUCT(R47,AA7:AA46),0),ROUND(PRODUCT(R47,AA7:AA46),1))</f>
        <v>30032</v>
      </c>
      <c r="S48" s="3783"/>
      <c r="T48" s="3783">
        <f>IF(F1="售价",ROUND(PRODUCT(T47,AB7:AB46),0),ROUND(PRODUCT(T47,AB7:AB46),1))</f>
        <v>28888</v>
      </c>
      <c r="U48" s="3783"/>
      <c r="V48" s="3783">
        <f>IF(F1="售价",ROUND(PRODUCT(V47,AC7:AC46),0),ROUND(PRODUCT(V47,AC7:AC46),1))</f>
        <v>30928</v>
      </c>
      <c r="W48" s="3783"/>
      <c r="X48" s="1560"/>
      <c r="Y48" s="1560"/>
      <c r="Z48" s="1560"/>
      <c r="AA48" s="1560"/>
      <c r="AB48" s="1560"/>
      <c r="AC48" s="1560"/>
    </row>
    <row r="49" spans="1:29" ht="15.75" thickBot="1">
      <c r="A49" s="621" t="s">
        <v>2934</v>
      </c>
      <c r="B49" s="622"/>
      <c r="C49" s="2661">
        <f>R49</f>
        <v>29949</v>
      </c>
      <c r="D49" s="2661"/>
      <c r="E49" s="2661"/>
      <c r="F49" s="2661"/>
      <c r="G49" s="2661"/>
      <c r="H49" s="2661"/>
      <c r="I49" s="2661"/>
      <c r="J49" s="2661"/>
      <c r="K49" s="1609"/>
      <c r="L49" s="2145"/>
      <c r="M49" s="2146"/>
      <c r="N49" s="2146"/>
      <c r="O49" s="2146"/>
      <c r="P49" s="3664" t="str">
        <f>A49</f>
        <v>估价对象XX用房的比较价格（楼面单价，元/平方米）</v>
      </c>
      <c r="Q49" s="3665"/>
      <c r="R49" s="3782">
        <f>IF(F1="售价",ROUND(AVERAGE(R48:V48),0),ROUND(AVERAGE(R48:V48),1))</f>
        <v>29949</v>
      </c>
      <c r="S49" s="3782"/>
      <c r="T49" s="3782"/>
      <c r="U49" s="3782"/>
      <c r="V49" s="3782"/>
      <c r="W49" s="378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3.8392381459776193E-2</v>
      </c>
      <c r="F52" s="627" t="str">
        <f>IF(OR(E52&gt;=0.3,E52&lt;=-0.3),"超过30%","")</f>
        <v/>
      </c>
      <c r="G52" s="626">
        <f>IF(G47&lt;G48,G48/G47-1,G47/G48-1)</f>
        <v>0.1364580448629189</v>
      </c>
      <c r="H52" s="627" t="str">
        <f>IF(OR(G52&gt;=0.3,G52&lt;=-0.3),"超过30%","")</f>
        <v/>
      </c>
      <c r="I52" s="626">
        <f>IF(I47&lt;I48,I48/I47-1,I47/I48-1)</f>
        <v>0.10733977801646977</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3.9601218499030644E-2</v>
      </c>
      <c r="F53" s="627" t="str">
        <f>IF(OR(E53&gt;=0.2,E53&lt;=-0.2),"超过20%","")</f>
        <v/>
      </c>
      <c r="G53" s="626">
        <f>IF(G48&lt;I48,I48/G48-1,G48/I48-1)</f>
        <v>7.0617557463306557E-2</v>
      </c>
      <c r="H53" s="627" t="str">
        <f>IF(OR(G53&gt;=0.2,G53&lt;=-0.2),"超过20%","")</f>
        <v/>
      </c>
      <c r="I53" s="626">
        <f>IF(I48&lt;E48,E48/I48-1,I48/E48-1)</f>
        <v>2.9834842834310038E-2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5.2749719416386176E-2</v>
      </c>
      <c r="F54" s="627" t="str">
        <f>IF(OR(E54&gt;=0.3,E54&lt;=-0.3),"超过30%","")</f>
        <v/>
      </c>
      <c r="G54" s="626">
        <f>IF(G47&lt;I47,I47/G47-1,G47/I47-1)</f>
        <v>0.17543859649122817</v>
      </c>
      <c r="H54" s="627" t="str">
        <f>IF(OR(G54&gt;=0.3,G54&lt;=-0.3),"超过30%","")</f>
        <v/>
      </c>
      <c r="I54" s="626">
        <f>IF(I47&lt;E47,E47/I47-1,I47/E47-1)</f>
        <v>0.11654135338345872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30" t="str">
        <f>YEAR(C7)&amp;"-"&amp;MONTH(C7)</f>
        <v>2018-2</v>
      </c>
      <c r="D58" s="2830">
        <f>EDATE(C58,-1)</f>
        <v>43101</v>
      </c>
      <c r="E58" s="2830">
        <f t="shared" ref="E58:O58" si="16">EDATE(D58,-1)</f>
        <v>43070</v>
      </c>
      <c r="F58" s="2830">
        <f t="shared" si="16"/>
        <v>43040</v>
      </c>
      <c r="G58" s="2830">
        <f t="shared" si="16"/>
        <v>43009</v>
      </c>
      <c r="H58" s="2830">
        <f t="shared" si="16"/>
        <v>42979</v>
      </c>
      <c r="I58" s="2830">
        <f t="shared" si="16"/>
        <v>42948</v>
      </c>
      <c r="J58" s="2830">
        <f t="shared" si="16"/>
        <v>42917</v>
      </c>
      <c r="K58" s="2830">
        <f t="shared" si="16"/>
        <v>42887</v>
      </c>
      <c r="L58" s="2830">
        <f t="shared" si="16"/>
        <v>42856</v>
      </c>
      <c r="M58" s="2830">
        <f t="shared" si="16"/>
        <v>42826</v>
      </c>
      <c r="N58" s="2830">
        <f t="shared" si="16"/>
        <v>42795</v>
      </c>
      <c r="O58" s="2830">
        <f t="shared" si="16"/>
        <v>42767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2560</v>
      </c>
      <c r="C82" s="2623" t="s">
        <v>2561</v>
      </c>
      <c r="D82" s="2623" t="s">
        <v>2562</v>
      </c>
      <c r="E82" s="2623" t="s">
        <v>2563</v>
      </c>
      <c r="F82" s="2623" t="s">
        <v>2564</v>
      </c>
      <c r="G82" s="2623" t="s">
        <v>2565</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hidden="1"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hidden="1"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552</v>
      </c>
      <c r="B100" s="665" t="s">
        <v>748</v>
      </c>
      <c r="C100" s="3479" t="s">
        <v>3294</v>
      </c>
      <c r="D100" s="3479" t="s">
        <v>3295</v>
      </c>
      <c r="E100" s="3479" t="s">
        <v>3296</v>
      </c>
      <c r="F100" s="3479" t="s">
        <v>3297</v>
      </c>
      <c r="G100" s="3479" t="s">
        <v>3299</v>
      </c>
      <c r="H100" s="3479" t="s">
        <v>3293</v>
      </c>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v>
      </c>
      <c r="E103" s="730">
        <v>100000</v>
      </c>
      <c r="F103" s="730">
        <v>150000</v>
      </c>
      <c r="G103" s="730">
        <v>200000</v>
      </c>
      <c r="H103" s="730">
        <v>250000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81" t="s">
        <v>3272</v>
      </c>
      <c r="D105" s="3481" t="s">
        <v>3273</v>
      </c>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480" t="s">
        <v>3275</v>
      </c>
      <c r="D107" s="3480" t="s">
        <v>3277</v>
      </c>
      <c r="E107" s="3480" t="s">
        <v>3278</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481" t="s">
        <v>3280</v>
      </c>
      <c r="D109" s="3481" t="s">
        <v>3282</v>
      </c>
      <c r="E109" s="3481" t="s">
        <v>3283</v>
      </c>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481" t="s">
        <v>3285</v>
      </c>
      <c r="D114" s="3481" t="s">
        <v>3286</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3481" t="s">
        <v>3287</v>
      </c>
      <c r="D116" s="3481" t="s">
        <v>3288</v>
      </c>
      <c r="E116" s="3481" t="s">
        <v>3289</v>
      </c>
      <c r="F116" s="3481" t="s">
        <v>3290</v>
      </c>
      <c r="G116" s="3481" t="s">
        <v>3291</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hidden="1"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t="s">
        <v>3270</v>
      </c>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81" t="s">
        <v>3280</v>
      </c>
      <c r="D122" s="3481" t="s">
        <v>3282</v>
      </c>
      <c r="E122" s="3481" t="s">
        <v>3283</v>
      </c>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hidden="1"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673" t="s">
        <v>523</v>
      </c>
      <c r="D4" s="3674"/>
      <c r="E4" s="3710" t="s">
        <v>524</v>
      </c>
      <c r="F4" s="3711"/>
      <c r="G4" s="3673" t="s">
        <v>525</v>
      </c>
      <c r="H4" s="3674"/>
      <c r="I4" s="3673" t="s">
        <v>526</v>
      </c>
      <c r="J4" s="3674"/>
      <c r="K4" s="514" t="s">
        <v>527</v>
      </c>
      <c r="L4" s="2134"/>
      <c r="M4" s="2135"/>
      <c r="N4" s="2135"/>
      <c r="O4" s="2135"/>
      <c r="P4" s="3675" t="s">
        <v>528</v>
      </c>
      <c r="Q4" s="3676"/>
      <c r="R4" s="3681" t="s">
        <v>524</v>
      </c>
      <c r="S4" s="3682"/>
      <c r="T4" s="3681" t="s">
        <v>525</v>
      </c>
      <c r="U4" s="3682"/>
      <c r="V4" s="3668" t="s">
        <v>526</v>
      </c>
      <c r="W4" s="3668"/>
      <c r="X4" s="1568"/>
      <c r="Y4" s="3681" t="s">
        <v>528</v>
      </c>
      <c r="Z4" s="3682"/>
      <c r="AA4" s="3670" t="s">
        <v>524</v>
      </c>
      <c r="AB4" s="3668" t="s">
        <v>525</v>
      </c>
      <c r="AC4" s="3670" t="s">
        <v>526</v>
      </c>
    </row>
    <row r="5" spans="1:29" ht="15">
      <c r="A5" s="515"/>
      <c r="B5" s="516"/>
      <c r="C5" s="3691" t="s">
        <v>2928</v>
      </c>
      <c r="D5" s="3690"/>
      <c r="E5" s="3712" t="s">
        <v>2929</v>
      </c>
      <c r="F5" s="3713"/>
      <c r="G5" s="3691" t="s">
        <v>2930</v>
      </c>
      <c r="H5" s="3690"/>
      <c r="I5" s="3691" t="s">
        <v>2931</v>
      </c>
      <c r="J5" s="3690"/>
      <c r="K5" s="514"/>
      <c r="L5" s="2134"/>
      <c r="M5" s="2135"/>
      <c r="N5" s="2135"/>
      <c r="O5" s="2135"/>
      <c r="P5" s="3677"/>
      <c r="Q5" s="3678"/>
      <c r="R5" s="3683"/>
      <c r="S5" s="3684"/>
      <c r="T5" s="3683"/>
      <c r="U5" s="3684"/>
      <c r="V5" s="3668"/>
      <c r="W5" s="3668"/>
      <c r="X5" s="1568"/>
      <c r="Y5" s="3683"/>
      <c r="Z5" s="3684"/>
      <c r="AA5" s="3671"/>
      <c r="AB5" s="3668"/>
      <c r="AC5" s="3671"/>
    </row>
    <row r="6" spans="1:29" ht="15.75" thickBot="1">
      <c r="A6" s="517"/>
      <c r="B6" s="518"/>
      <c r="C6" s="3707" t="s">
        <v>2932</v>
      </c>
      <c r="D6" s="3688"/>
      <c r="E6" s="3708" t="s">
        <v>2932</v>
      </c>
      <c r="F6" s="3709"/>
      <c r="G6" s="3707" t="s">
        <v>2932</v>
      </c>
      <c r="H6" s="3688"/>
      <c r="I6" s="3707" t="s">
        <v>2932</v>
      </c>
      <c r="J6" s="3688"/>
      <c r="K6" s="514" t="s">
        <v>529</v>
      </c>
      <c r="L6" s="2134"/>
      <c r="M6" s="2135"/>
      <c r="N6" s="2135"/>
      <c r="O6" s="2135"/>
      <c r="P6" s="3679"/>
      <c r="Q6" s="3680"/>
      <c r="R6" s="3683"/>
      <c r="S6" s="3684"/>
      <c r="T6" s="3685"/>
      <c r="U6" s="3686"/>
      <c r="V6" s="3668"/>
      <c r="W6" s="3668"/>
      <c r="X6" s="1568"/>
      <c r="Y6" s="3685"/>
      <c r="Z6" s="3686"/>
      <c r="AA6" s="3672"/>
      <c r="AB6" s="3668"/>
      <c r="AC6" s="3672"/>
    </row>
    <row r="7" spans="1:29" s="1220" customFormat="1" ht="15.75" thickBot="1">
      <c r="A7" s="2938"/>
      <c r="B7" s="2945" t="s">
        <v>530</v>
      </c>
      <c r="C7" s="519">
        <f>'数据-取费表'!B2</f>
        <v>43159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700" t="s">
        <v>531</v>
      </c>
      <c r="Q7" s="3702"/>
      <c r="R7" s="1569" t="s">
        <v>8</v>
      </c>
      <c r="S7" s="1570">
        <f t="shared" ref="S7:S15" si="0">F7</f>
        <v>0</v>
      </c>
      <c r="T7" s="1569" t="s">
        <v>8</v>
      </c>
      <c r="U7" s="1570">
        <f t="shared" ref="U7:U15" si="1">H7</f>
        <v>0</v>
      </c>
      <c r="V7" s="1569" t="s">
        <v>8</v>
      </c>
      <c r="W7" s="1570">
        <f t="shared" ref="W7:W15" si="2">J7</f>
        <v>0</v>
      </c>
      <c r="X7" s="1571"/>
      <c r="Y7" s="3700" t="s">
        <v>531</v>
      </c>
      <c r="Z7" s="3701"/>
      <c r="AA7" s="1572" t="e">
        <f>D7/F7</f>
        <v>#DIV/0!</v>
      </c>
      <c r="AB7" s="1572" t="e">
        <f>D7/H7</f>
        <v>#DIV/0!</v>
      </c>
      <c r="AC7" s="1572"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700" t="s">
        <v>534</v>
      </c>
      <c r="Q8" s="3701"/>
      <c r="R8" s="1569" t="s">
        <v>8</v>
      </c>
      <c r="S8" s="1570">
        <f t="shared" si="0"/>
        <v>0</v>
      </c>
      <c r="T8" s="1569" t="s">
        <v>8</v>
      </c>
      <c r="U8" s="1570">
        <f t="shared" si="1"/>
        <v>0</v>
      </c>
      <c r="V8" s="1569" t="s">
        <v>8</v>
      </c>
      <c r="W8" s="1570">
        <f t="shared" si="2"/>
        <v>0</v>
      </c>
      <c r="X8" s="1571"/>
      <c r="Y8" s="3700" t="s">
        <v>534</v>
      </c>
      <c r="Z8" s="3701"/>
      <c r="AA8" s="1572" t="e">
        <f t="shared" ref="AA8:AA46" si="3">D8/F8</f>
        <v>#DIV/0!</v>
      </c>
      <c r="AB8" s="1572" t="e">
        <f t="shared" ref="AB8:AB46" si="4">D8/H8</f>
        <v>#DIV/0!</v>
      </c>
      <c r="AC8" s="1572" t="e">
        <f t="shared" ref="AC8:AC46" si="5">D8/J8</f>
        <v>#DIV/0!</v>
      </c>
    </row>
    <row r="9" spans="1:29" s="1220" customFormat="1" ht="15">
      <c r="A9" s="2940"/>
      <c r="B9" s="2947"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67" t="s">
        <v>536</v>
      </c>
      <c r="Q9" s="1151" t="str">
        <f t="shared" ref="Q9:Q15" si="6">B9</f>
        <v>用途</v>
      </c>
      <c r="R9" s="1569" t="s">
        <v>8</v>
      </c>
      <c r="S9" s="1570">
        <f t="shared" si="0"/>
        <v>100</v>
      </c>
      <c r="T9" s="1569" t="s">
        <v>8</v>
      </c>
      <c r="U9" s="1570">
        <f t="shared" si="1"/>
        <v>100</v>
      </c>
      <c r="V9" s="1569" t="s">
        <v>8</v>
      </c>
      <c r="W9" s="1570">
        <f t="shared" si="2"/>
        <v>100</v>
      </c>
      <c r="X9" s="1571"/>
      <c r="Y9" s="3613" t="s">
        <v>537</v>
      </c>
      <c r="Z9" s="1150" t="str">
        <f t="shared" ref="Z9:Z15" si="7">Q9</f>
        <v>用途</v>
      </c>
      <c r="AA9" s="1572">
        <f t="shared" si="3"/>
        <v>1</v>
      </c>
      <c r="AB9" s="1572">
        <f t="shared" si="4"/>
        <v>1</v>
      </c>
      <c r="AC9" s="1572">
        <f t="shared" si="5"/>
        <v>1</v>
      </c>
    </row>
    <row r="10" spans="1:29" s="1338" customFormat="1" ht="27">
      <c r="A10" s="2941"/>
      <c r="B10" s="2946"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
      <c r="A11" s="2942"/>
      <c r="B11" s="2946"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67"/>
      <c r="Q11" s="1151" t="str">
        <f t="shared" si="6"/>
        <v>容积率</v>
      </c>
      <c r="R11" s="1569" t="s">
        <v>8</v>
      </c>
      <c r="S11" s="1570" t="e">
        <f t="shared" si="0"/>
        <v>#N/A</v>
      </c>
      <c r="T11" s="1569" t="s">
        <v>8</v>
      </c>
      <c r="U11" s="1570" t="e">
        <f t="shared" si="1"/>
        <v>#N/A</v>
      </c>
      <c r="V11" s="1569" t="s">
        <v>8</v>
      </c>
      <c r="W11" s="1570" t="e">
        <f t="shared" si="2"/>
        <v>#N/A</v>
      </c>
      <c r="X11" s="1571"/>
      <c r="Y11" s="3613"/>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67"/>
      <c r="Q12" s="1151">
        <f t="shared" si="6"/>
        <v>111</v>
      </c>
      <c r="R12" s="1569" t="s">
        <v>8</v>
      </c>
      <c r="S12" s="1570">
        <f t="shared" si="0"/>
        <v>100</v>
      </c>
      <c r="T12" s="1569" t="s">
        <v>8</v>
      </c>
      <c r="U12" s="1570">
        <f t="shared" si="1"/>
        <v>100</v>
      </c>
      <c r="V12" s="1569" t="s">
        <v>8</v>
      </c>
      <c r="W12" s="1570">
        <f t="shared" si="2"/>
        <v>100</v>
      </c>
      <c r="X12" s="1571"/>
      <c r="Y12" s="3613"/>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67"/>
      <c r="Q13" s="1151">
        <f t="shared" si="6"/>
        <v>111</v>
      </c>
      <c r="R13" s="1569" t="s">
        <v>8</v>
      </c>
      <c r="S13" s="1570">
        <f t="shared" si="0"/>
        <v>100</v>
      </c>
      <c r="T13" s="1569" t="s">
        <v>8</v>
      </c>
      <c r="U13" s="1570">
        <f t="shared" si="1"/>
        <v>100</v>
      </c>
      <c r="V13" s="1569" t="s">
        <v>8</v>
      </c>
      <c r="W13" s="1570">
        <f t="shared" si="2"/>
        <v>100</v>
      </c>
      <c r="X13" s="1571"/>
      <c r="Y13" s="3613"/>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67"/>
      <c r="Q14" s="1151">
        <f t="shared" si="6"/>
        <v>111</v>
      </c>
      <c r="R14" s="1569" t="s">
        <v>8</v>
      </c>
      <c r="S14" s="1570">
        <f t="shared" si="0"/>
        <v>100</v>
      </c>
      <c r="T14" s="1569" t="s">
        <v>8</v>
      </c>
      <c r="U14" s="1570">
        <f t="shared" si="1"/>
        <v>100</v>
      </c>
      <c r="V14" s="1569" t="s">
        <v>8</v>
      </c>
      <c r="W14" s="1570">
        <f t="shared" si="2"/>
        <v>100</v>
      </c>
      <c r="X14" s="1571"/>
      <c r="Y14" s="3613"/>
      <c r="Z14" s="1150">
        <f t="shared" si="7"/>
        <v>111</v>
      </c>
      <c r="AA14" s="1572">
        <f t="shared" si="3"/>
        <v>1</v>
      </c>
      <c r="AB14" s="1572">
        <f t="shared" si="4"/>
        <v>1</v>
      </c>
      <c r="AC14" s="1572">
        <f t="shared" si="5"/>
        <v>1</v>
      </c>
    </row>
    <row r="15" spans="1:29" ht="71.25">
      <c r="A15" s="2936" t="s">
        <v>2756</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703" t="s">
        <v>541</v>
      </c>
      <c r="Q15" s="1573" t="str">
        <f t="shared" si="6"/>
        <v>商业繁华度</v>
      </c>
      <c r="R15" s="1574" t="s">
        <v>8</v>
      </c>
      <c r="S15" s="1575">
        <f t="shared" si="0"/>
        <v>100</v>
      </c>
      <c r="T15" s="1574" t="s">
        <v>8</v>
      </c>
      <c r="U15" s="1575">
        <f t="shared" si="1"/>
        <v>100</v>
      </c>
      <c r="V15" s="1574" t="s">
        <v>8</v>
      </c>
      <c r="W15" s="1575">
        <f t="shared" si="2"/>
        <v>100</v>
      </c>
      <c r="X15" s="1568"/>
      <c r="Y15" s="3703"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704"/>
      <c r="Q16" s="1573"/>
      <c r="R16" s="1574"/>
      <c r="S16" s="1575"/>
      <c r="T16" s="1574"/>
      <c r="U16" s="1575"/>
      <c r="V16" s="1574"/>
      <c r="W16" s="1575"/>
      <c r="X16" s="1568"/>
      <c r="Y16" s="370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704"/>
      <c r="Q17" s="1573" t="str">
        <f>B17</f>
        <v>交通便捷度</v>
      </c>
      <c r="R17" s="1574" t="s">
        <v>8</v>
      </c>
      <c r="S17" s="1575">
        <f>F17</f>
        <v>100</v>
      </c>
      <c r="T17" s="1574" t="s">
        <v>8</v>
      </c>
      <c r="U17" s="1575">
        <f>H17</f>
        <v>100</v>
      </c>
      <c r="V17" s="1574" t="s">
        <v>8</v>
      </c>
      <c r="W17" s="1575">
        <f>J17</f>
        <v>100</v>
      </c>
      <c r="X17" s="1568"/>
      <c r="Y17" s="370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704"/>
      <c r="Q18" s="1573"/>
      <c r="R18" s="1574"/>
      <c r="S18" s="1575"/>
      <c r="T18" s="1574"/>
      <c r="U18" s="1575"/>
      <c r="V18" s="1574"/>
      <c r="W18" s="1575"/>
      <c r="X18" s="1568"/>
      <c r="Y18" s="3704"/>
      <c r="Z18" s="1576"/>
      <c r="AA18" s="1577">
        <v>1</v>
      </c>
      <c r="AB18" s="1577">
        <v>1</v>
      </c>
      <c r="AC18" s="1577">
        <v>1</v>
      </c>
    </row>
    <row r="19" spans="1:29" ht="42.75">
      <c r="A19" s="532"/>
      <c r="B19" s="2625"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704"/>
      <c r="Q19" s="1573" t="str">
        <f>B19</f>
        <v>公共配套设施</v>
      </c>
      <c r="R19" s="1574" t="s">
        <v>8</v>
      </c>
      <c r="S19" s="1575">
        <f>F19</f>
        <v>100</v>
      </c>
      <c r="T19" s="1574" t="s">
        <v>8</v>
      </c>
      <c r="U19" s="1575">
        <f>H19</f>
        <v>100</v>
      </c>
      <c r="V19" s="1574" t="s">
        <v>8</v>
      </c>
      <c r="W19" s="1575">
        <f>J19</f>
        <v>100</v>
      </c>
      <c r="X19" s="1568"/>
      <c r="Y19" s="370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704"/>
      <c r="Q20" s="1573"/>
      <c r="R20" s="1574"/>
      <c r="S20" s="1575"/>
      <c r="T20" s="1574"/>
      <c r="U20" s="1575"/>
      <c r="V20" s="1574"/>
      <c r="W20" s="1575"/>
      <c r="X20" s="1568"/>
      <c r="Y20" s="3704"/>
      <c r="Z20" s="1576"/>
      <c r="AA20" s="1577">
        <v>1</v>
      </c>
      <c r="AB20" s="1577">
        <v>1</v>
      </c>
      <c r="AC20" s="1577">
        <v>1</v>
      </c>
    </row>
    <row r="21" spans="1:29" ht="28.5">
      <c r="A21" s="532"/>
      <c r="B21" s="2618"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704"/>
      <c r="Q21" s="2604" t="str">
        <f>B21</f>
        <v>基础设施水平</v>
      </c>
      <c r="R21" s="1574" t="s">
        <v>8</v>
      </c>
      <c r="S21" s="1575">
        <f>F21</f>
        <v>100</v>
      </c>
      <c r="T21" s="1574" t="s">
        <v>8</v>
      </c>
      <c r="U21" s="1575">
        <f>H21</f>
        <v>100</v>
      </c>
      <c r="V21" s="1574" t="s">
        <v>8</v>
      </c>
      <c r="W21" s="1575">
        <f>J21</f>
        <v>100</v>
      </c>
      <c r="X21" s="2606"/>
      <c r="Y21" s="3704"/>
      <c r="Z21" s="2605"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7"/>
      <c r="L22" s="2143"/>
      <c r="M22" s="2135"/>
      <c r="N22" s="2135"/>
      <c r="O22" s="2142"/>
      <c r="P22" s="3704"/>
      <c r="Q22" s="2604"/>
      <c r="R22" s="1574"/>
      <c r="S22" s="1575"/>
      <c r="T22" s="1574"/>
      <c r="U22" s="1575"/>
      <c r="V22" s="1574"/>
      <c r="W22" s="1575"/>
      <c r="X22" s="2606"/>
      <c r="Y22" s="3704"/>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704"/>
      <c r="Q23" s="1573" t="str">
        <f>B23</f>
        <v>自然及人文环境</v>
      </c>
      <c r="R23" s="1574" t="s">
        <v>8</v>
      </c>
      <c r="S23" s="1575">
        <f>F23</f>
        <v>100</v>
      </c>
      <c r="T23" s="1574" t="s">
        <v>8</v>
      </c>
      <c r="U23" s="1575">
        <f>H23</f>
        <v>100</v>
      </c>
      <c r="V23" s="1574" t="s">
        <v>8</v>
      </c>
      <c r="W23" s="1575">
        <f>J23</f>
        <v>100</v>
      </c>
      <c r="X23" s="1568"/>
      <c r="Y23" s="370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704"/>
      <c r="Q24" s="1573"/>
      <c r="R24" s="1574"/>
      <c r="S24" s="1575"/>
      <c r="T24" s="1574"/>
      <c r="U24" s="1575"/>
      <c r="V24" s="1574"/>
      <c r="W24" s="1575"/>
      <c r="X24" s="1568"/>
      <c r="Y24" s="3704"/>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704"/>
      <c r="Q25" s="1573" t="str">
        <f t="shared" ref="Q25:Q46" si="11">B25</f>
        <v>临街状况</v>
      </c>
      <c r="R25" s="1574" t="s">
        <v>8</v>
      </c>
      <c r="S25" s="1575">
        <f>F25</f>
        <v>100</v>
      </c>
      <c r="T25" s="1574" t="s">
        <v>8</v>
      </c>
      <c r="U25" s="1575">
        <f>H25</f>
        <v>100</v>
      </c>
      <c r="V25" s="1574" t="s">
        <v>8</v>
      </c>
      <c r="W25" s="1575">
        <f>J25</f>
        <v>100</v>
      </c>
      <c r="X25" s="1568"/>
      <c r="Y25" s="3704"/>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704"/>
      <c r="Q26" s="1573" t="str">
        <f t="shared" si="11"/>
        <v>平面位置/可视性</v>
      </c>
      <c r="R26" s="1574" t="s">
        <v>8</v>
      </c>
      <c r="S26" s="1575">
        <f>F26</f>
        <v>100</v>
      </c>
      <c r="T26" s="1574" t="s">
        <v>8</v>
      </c>
      <c r="U26" s="1575">
        <f>H26</f>
        <v>100</v>
      </c>
      <c r="V26" s="1574" t="s">
        <v>8</v>
      </c>
      <c r="W26" s="1575">
        <f>J26</f>
        <v>100</v>
      </c>
      <c r="X26" s="1568"/>
      <c r="Y26" s="3704"/>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704"/>
      <c r="Q27" s="1151" t="str">
        <f t="shared" si="11"/>
        <v>人流量</v>
      </c>
      <c r="R27" s="1569" t="s">
        <v>8</v>
      </c>
      <c r="S27" s="1570">
        <f>F27</f>
        <v>100</v>
      </c>
      <c r="T27" s="1569" t="s">
        <v>8</v>
      </c>
      <c r="U27" s="1570">
        <f>H27</f>
        <v>100</v>
      </c>
      <c r="V27" s="1569" t="s">
        <v>8</v>
      </c>
      <c r="W27" s="1570">
        <f>J27</f>
        <v>100</v>
      </c>
      <c r="X27" s="1571"/>
      <c r="Y27" s="3704"/>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70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0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704"/>
      <c r="Q29" s="1573">
        <f t="shared" si="11"/>
        <v>111</v>
      </c>
      <c r="R29" s="1574" t="s">
        <v>8</v>
      </c>
      <c r="S29" s="1575">
        <f t="shared" si="12"/>
        <v>100</v>
      </c>
      <c r="T29" s="1574" t="s">
        <v>8</v>
      </c>
      <c r="U29" s="1575">
        <f t="shared" si="13"/>
        <v>100</v>
      </c>
      <c r="V29" s="1574" t="s">
        <v>8</v>
      </c>
      <c r="W29" s="1575">
        <f t="shared" si="14"/>
        <v>100</v>
      </c>
      <c r="X29" s="1568"/>
      <c r="Y29" s="370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704"/>
      <c r="Q30" s="1573">
        <f t="shared" si="11"/>
        <v>111</v>
      </c>
      <c r="R30" s="1574" t="s">
        <v>8</v>
      </c>
      <c r="S30" s="1575">
        <f t="shared" si="12"/>
        <v>100</v>
      </c>
      <c r="T30" s="1574" t="s">
        <v>8</v>
      </c>
      <c r="U30" s="1575">
        <f t="shared" si="13"/>
        <v>100</v>
      </c>
      <c r="V30" s="1574" t="s">
        <v>8</v>
      </c>
      <c r="W30" s="1575">
        <f t="shared" si="14"/>
        <v>100</v>
      </c>
      <c r="X30" s="1568"/>
      <c r="Y30" s="370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704"/>
      <c r="Q31" s="1573">
        <f t="shared" si="11"/>
        <v>111</v>
      </c>
      <c r="R31" s="1574" t="s">
        <v>8</v>
      </c>
      <c r="S31" s="1575">
        <f t="shared" si="12"/>
        <v>100</v>
      </c>
      <c r="T31" s="1574" t="s">
        <v>8</v>
      </c>
      <c r="U31" s="1575">
        <f t="shared" si="13"/>
        <v>100</v>
      </c>
      <c r="V31" s="1574" t="s">
        <v>8</v>
      </c>
      <c r="W31" s="1575">
        <f t="shared" si="14"/>
        <v>100</v>
      </c>
      <c r="X31" s="1568"/>
      <c r="Y31" s="3704"/>
      <c r="Z31" s="1576">
        <f t="shared" si="15"/>
        <v>111</v>
      </c>
      <c r="AA31" s="1577">
        <f t="shared" si="3"/>
        <v>1</v>
      </c>
      <c r="AB31" s="1577">
        <f t="shared" si="4"/>
        <v>1</v>
      </c>
      <c r="AC31" s="1577">
        <f t="shared" si="5"/>
        <v>1</v>
      </c>
    </row>
    <row r="32" spans="1:29" ht="15">
      <c r="A32" s="2933" t="s">
        <v>2757</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705" t="s">
        <v>551</v>
      </c>
      <c r="Q32" s="1573" t="str">
        <f t="shared" si="11"/>
        <v>商业类型</v>
      </c>
      <c r="R32" s="1574" t="s">
        <v>8</v>
      </c>
      <c r="S32" s="1575">
        <f t="shared" si="12"/>
        <v>100</v>
      </c>
      <c r="T32" s="1574" t="s">
        <v>8</v>
      </c>
      <c r="U32" s="1575">
        <f t="shared" si="13"/>
        <v>100</v>
      </c>
      <c r="V32" s="1574" t="s">
        <v>8</v>
      </c>
      <c r="W32" s="1575">
        <f t="shared" si="14"/>
        <v>100</v>
      </c>
      <c r="X32" s="1568"/>
      <c r="Y32" s="3706"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706"/>
      <c r="Q33" s="1606" t="str">
        <f t="shared" si="11"/>
        <v>项目建筑规模</v>
      </c>
      <c r="R33" s="1578" t="s">
        <v>8</v>
      </c>
      <c r="S33" s="1579" t="e">
        <f t="shared" si="12"/>
        <v>#N/A</v>
      </c>
      <c r="T33" s="1578" t="s">
        <v>8</v>
      </c>
      <c r="U33" s="1579" t="e">
        <f t="shared" si="13"/>
        <v>#N/A</v>
      </c>
      <c r="V33" s="1578" t="s">
        <v>8</v>
      </c>
      <c r="W33" s="1579" t="e">
        <f t="shared" si="14"/>
        <v>#N/A</v>
      </c>
      <c r="X33" s="1580"/>
      <c r="Y33" s="3706"/>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706"/>
      <c r="Q34" s="1573" t="str">
        <f t="shared" si="11"/>
        <v>建筑结构</v>
      </c>
      <c r="R34" s="1574" t="s">
        <v>8</v>
      </c>
      <c r="S34" s="1575">
        <f t="shared" si="12"/>
        <v>100</v>
      </c>
      <c r="T34" s="1574" t="s">
        <v>8</v>
      </c>
      <c r="U34" s="1575">
        <f t="shared" si="13"/>
        <v>100</v>
      </c>
      <c r="V34" s="1574" t="s">
        <v>8</v>
      </c>
      <c r="W34" s="1575">
        <f t="shared" si="14"/>
        <v>100</v>
      </c>
      <c r="X34" s="1568"/>
      <c r="Y34" s="3706"/>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706"/>
      <c r="Q35" s="1573" t="str">
        <f t="shared" si="11"/>
        <v>公共部分装修</v>
      </c>
      <c r="R35" s="1574" t="s">
        <v>8</v>
      </c>
      <c r="S35" s="1575">
        <f t="shared" si="12"/>
        <v>100</v>
      </c>
      <c r="T35" s="1574" t="s">
        <v>8</v>
      </c>
      <c r="U35" s="1575">
        <f t="shared" si="13"/>
        <v>100</v>
      </c>
      <c r="V35" s="1574" t="s">
        <v>8</v>
      </c>
      <c r="W35" s="1575">
        <f t="shared" si="14"/>
        <v>100</v>
      </c>
      <c r="X35" s="1568"/>
      <c r="Y35" s="3706"/>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706"/>
      <c r="Q36" s="1573" t="str">
        <f t="shared" si="11"/>
        <v>成新度</v>
      </c>
      <c r="R36" s="1574" t="s">
        <v>8</v>
      </c>
      <c r="S36" s="1575" t="e">
        <f t="shared" si="12"/>
        <v>#N/A</v>
      </c>
      <c r="T36" s="1574" t="s">
        <v>8</v>
      </c>
      <c r="U36" s="1575" t="e">
        <f t="shared" si="13"/>
        <v>#N/A</v>
      </c>
      <c r="V36" s="1574" t="s">
        <v>8</v>
      </c>
      <c r="W36" s="1575" t="e">
        <f t="shared" si="14"/>
        <v>#N/A</v>
      </c>
      <c r="X36" s="1568"/>
      <c r="Y36" s="3706"/>
      <c r="Z36" s="1576" t="str">
        <f t="shared" si="15"/>
        <v>成新度</v>
      </c>
      <c r="AA36" s="1577" t="e">
        <f t="shared" si="3"/>
        <v>#N/A</v>
      </c>
      <c r="AB36" s="1577" t="e">
        <f t="shared" si="4"/>
        <v>#N/A</v>
      </c>
      <c r="AC36" s="1577" t="e">
        <f t="shared" si="5"/>
        <v>#N/A</v>
      </c>
    </row>
    <row r="37" spans="1:29" s="1220"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706"/>
      <c r="Q37" s="1151" t="str">
        <f t="shared" si="11"/>
        <v>市政基础设施</v>
      </c>
      <c r="R37" s="1569" t="s">
        <v>8</v>
      </c>
      <c r="S37" s="1570">
        <f t="shared" si="12"/>
        <v>100</v>
      </c>
      <c r="T37" s="1569" t="s">
        <v>8</v>
      </c>
      <c r="U37" s="1570">
        <f t="shared" si="13"/>
        <v>100</v>
      </c>
      <c r="V37" s="1569" t="s">
        <v>8</v>
      </c>
      <c r="W37" s="1570">
        <f t="shared" si="14"/>
        <v>100</v>
      </c>
      <c r="X37" s="1571"/>
      <c r="Y37" s="3706"/>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706" t="s">
        <v>767</v>
      </c>
      <c r="Q38" s="1573" t="str">
        <f t="shared" si="11"/>
        <v>业态</v>
      </c>
      <c r="R38" s="1574" t="s">
        <v>8</v>
      </c>
      <c r="S38" s="1575">
        <f t="shared" si="12"/>
        <v>100</v>
      </c>
      <c r="T38" s="1574" t="s">
        <v>8</v>
      </c>
      <c r="U38" s="1575">
        <f t="shared" si="13"/>
        <v>100</v>
      </c>
      <c r="V38" s="1574" t="s">
        <v>8</v>
      </c>
      <c r="W38" s="1575">
        <f t="shared" si="14"/>
        <v>100</v>
      </c>
      <c r="X38" s="1568"/>
      <c r="Y38" s="3706"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06"/>
      <c r="Q39" s="1573" t="str">
        <f t="shared" si="11"/>
        <v>层高</v>
      </c>
      <c r="R39" s="1574" t="s">
        <v>8</v>
      </c>
      <c r="S39" s="1575">
        <f t="shared" si="12"/>
        <v>100</v>
      </c>
      <c r="T39" s="1574" t="s">
        <v>8</v>
      </c>
      <c r="U39" s="1575">
        <f t="shared" si="13"/>
        <v>100</v>
      </c>
      <c r="V39" s="1574" t="s">
        <v>8</v>
      </c>
      <c r="W39" s="1575">
        <f t="shared" si="14"/>
        <v>100</v>
      </c>
      <c r="X39" s="1568"/>
      <c r="Y39" s="3706"/>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706"/>
      <c r="Q40" s="1573" t="str">
        <f t="shared" si="11"/>
        <v>单套建筑面积</v>
      </c>
      <c r="R40" s="1574" t="s">
        <v>8</v>
      </c>
      <c r="S40" s="1575">
        <f t="shared" si="12"/>
        <v>100</v>
      </c>
      <c r="T40" s="1574" t="s">
        <v>8</v>
      </c>
      <c r="U40" s="1575">
        <f t="shared" si="13"/>
        <v>100</v>
      </c>
      <c r="V40" s="1574" t="s">
        <v>8</v>
      </c>
      <c r="W40" s="1575">
        <f t="shared" si="14"/>
        <v>100</v>
      </c>
      <c r="X40" s="1568"/>
      <c r="Y40" s="3706"/>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706"/>
      <c r="Q41" s="1606" t="str">
        <f t="shared" si="11"/>
        <v>进深比</v>
      </c>
      <c r="R41" s="1578" t="s">
        <v>8</v>
      </c>
      <c r="S41" s="1579">
        <f t="shared" si="12"/>
        <v>100</v>
      </c>
      <c r="T41" s="1578" t="s">
        <v>8</v>
      </c>
      <c r="U41" s="1579">
        <f t="shared" si="13"/>
        <v>100</v>
      </c>
      <c r="V41" s="1578" t="s">
        <v>8</v>
      </c>
      <c r="W41" s="1579">
        <f t="shared" si="14"/>
        <v>100</v>
      </c>
      <c r="X41" s="1580"/>
      <c r="Y41" s="3706"/>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706"/>
      <c r="Q42" s="1573" t="str">
        <f t="shared" si="11"/>
        <v>内部装修</v>
      </c>
      <c r="R42" s="1574" t="s">
        <v>8</v>
      </c>
      <c r="S42" s="1575">
        <f t="shared" si="12"/>
        <v>100</v>
      </c>
      <c r="T42" s="1574" t="s">
        <v>8</v>
      </c>
      <c r="U42" s="1575">
        <f t="shared" si="13"/>
        <v>100</v>
      </c>
      <c r="V42" s="1574" t="s">
        <v>8</v>
      </c>
      <c r="W42" s="1575">
        <f t="shared" si="14"/>
        <v>100</v>
      </c>
      <c r="X42" s="1568"/>
      <c r="Y42" s="3706"/>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706"/>
      <c r="Q43" s="1573" t="str">
        <f t="shared" si="11"/>
        <v>内部装修维护情况</v>
      </c>
      <c r="R43" s="1574" t="s">
        <v>8</v>
      </c>
      <c r="S43" s="1575">
        <f t="shared" si="12"/>
        <v>100</v>
      </c>
      <c r="T43" s="1574" t="s">
        <v>8</v>
      </c>
      <c r="U43" s="1575">
        <f t="shared" si="13"/>
        <v>100</v>
      </c>
      <c r="V43" s="1574" t="s">
        <v>8</v>
      </c>
      <c r="W43" s="1575">
        <f t="shared" si="14"/>
        <v>100</v>
      </c>
      <c r="X43" s="1568"/>
      <c r="Y43" s="370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706"/>
      <c r="Q44" s="1151">
        <f t="shared" si="11"/>
        <v>111</v>
      </c>
      <c r="R44" s="1569" t="s">
        <v>8</v>
      </c>
      <c r="S44" s="1570">
        <f t="shared" si="12"/>
        <v>100</v>
      </c>
      <c r="T44" s="1569" t="s">
        <v>8</v>
      </c>
      <c r="U44" s="1570">
        <f t="shared" si="13"/>
        <v>100</v>
      </c>
      <c r="V44" s="1569" t="s">
        <v>8</v>
      </c>
      <c r="W44" s="1570">
        <f t="shared" si="14"/>
        <v>100</v>
      </c>
      <c r="X44" s="1571"/>
      <c r="Y44" s="370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706"/>
      <c r="Q45" s="1573">
        <f t="shared" si="11"/>
        <v>111</v>
      </c>
      <c r="R45" s="1574" t="s">
        <v>8</v>
      </c>
      <c r="S45" s="1575">
        <f t="shared" si="12"/>
        <v>100</v>
      </c>
      <c r="T45" s="1574" t="s">
        <v>8</v>
      </c>
      <c r="U45" s="1575">
        <f t="shared" si="13"/>
        <v>100</v>
      </c>
      <c r="V45" s="1574" t="s">
        <v>8</v>
      </c>
      <c r="W45" s="1575">
        <f t="shared" si="14"/>
        <v>100</v>
      </c>
      <c r="X45" s="1568"/>
      <c r="Y45" s="370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84"/>
      <c r="Q46" s="1573">
        <f t="shared" si="11"/>
        <v>111</v>
      </c>
      <c r="R46" s="1574" t="s">
        <v>8</v>
      </c>
      <c r="S46" s="1575">
        <f t="shared" si="12"/>
        <v>100</v>
      </c>
      <c r="T46" s="1574" t="s">
        <v>8</v>
      </c>
      <c r="U46" s="1575">
        <f t="shared" si="13"/>
        <v>100</v>
      </c>
      <c r="V46" s="1574" t="s">
        <v>8</v>
      </c>
      <c r="W46" s="1575">
        <f t="shared" si="14"/>
        <v>100</v>
      </c>
      <c r="X46" s="1568"/>
      <c r="Y46" s="3784"/>
      <c r="Z46" s="1576">
        <f t="shared" si="15"/>
        <v>111</v>
      </c>
      <c r="AA46" s="1577">
        <f t="shared" si="3"/>
        <v>1</v>
      </c>
      <c r="AB46" s="1577">
        <f t="shared" si="4"/>
        <v>1</v>
      </c>
      <c r="AC46" s="1577">
        <f t="shared" si="5"/>
        <v>1</v>
      </c>
    </row>
    <row r="47" spans="1:29" ht="15">
      <c r="A47" s="607" t="s">
        <v>737</v>
      </c>
      <c r="B47" s="887"/>
      <c r="C47" s="2652" t="s">
        <v>1</v>
      </c>
      <c r="D47" s="2653"/>
      <c r="E47" s="2654"/>
      <c r="F47" s="2655"/>
      <c r="G47" s="2656"/>
      <c r="H47" s="2657"/>
      <c r="I47" s="2654"/>
      <c r="J47" s="2657"/>
      <c r="K47" s="1612"/>
      <c r="L47" s="2145"/>
      <c r="M47" s="2146"/>
      <c r="N47" s="2135"/>
      <c r="O47" s="2146"/>
      <c r="P47" s="3667" t="str">
        <f>A47</f>
        <v>成交单价（元/平方米）</v>
      </c>
      <c r="Q47" s="3667"/>
      <c r="R47" s="3783">
        <f>E47</f>
        <v>0</v>
      </c>
      <c r="S47" s="3783"/>
      <c r="T47" s="3783">
        <f>G47</f>
        <v>0</v>
      </c>
      <c r="U47" s="3783"/>
      <c r="V47" s="3783">
        <f>I47</f>
        <v>0</v>
      </c>
      <c r="W47" s="3783"/>
      <c r="X47" s="1560"/>
      <c r="Y47" s="1582"/>
      <c r="Z47" s="1560"/>
      <c r="AA47" s="1560"/>
      <c r="AB47" s="1560"/>
      <c r="AC47" s="1560"/>
    </row>
    <row r="48" spans="1:29" ht="15.75" thickBot="1">
      <c r="A48" s="615" t="s">
        <v>2762</v>
      </c>
      <c r="B48" s="888"/>
      <c r="C48" s="2658" t="e">
        <f>R49</f>
        <v>#DIV/0!</v>
      </c>
      <c r="D48" s="2659"/>
      <c r="E48" s="2660" t="e">
        <f>R48</f>
        <v>#DIV/0!</v>
      </c>
      <c r="F48" s="2660"/>
      <c r="G48" s="2658" t="e">
        <f>T48</f>
        <v>#DIV/0!</v>
      </c>
      <c r="H48" s="2659"/>
      <c r="I48" s="2660" t="e">
        <f>V48</f>
        <v>#DIV/0!</v>
      </c>
      <c r="J48" s="2659"/>
      <c r="K48" s="1613"/>
      <c r="L48" s="2145"/>
      <c r="M48" s="2146"/>
      <c r="N48" s="2135"/>
      <c r="O48" s="2146"/>
      <c r="P48" s="3667" t="str">
        <f>A48</f>
        <v>比较价格（元/平方米）</v>
      </c>
      <c r="Q48" s="3667"/>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1560"/>
      <c r="Y48" s="1560"/>
      <c r="Z48" s="1560"/>
      <c r="AA48" s="1560"/>
      <c r="AB48" s="1560"/>
      <c r="AC48" s="1560"/>
    </row>
    <row r="49" spans="1:29" ht="15.75" thickBot="1">
      <c r="A49" s="621" t="s">
        <v>2934</v>
      </c>
      <c r="B49" s="622"/>
      <c r="C49" s="2661" t="e">
        <f>R49</f>
        <v>#DIV/0!</v>
      </c>
      <c r="D49" s="2661"/>
      <c r="E49" s="2661"/>
      <c r="F49" s="2661"/>
      <c r="G49" s="2661"/>
      <c r="H49" s="2661"/>
      <c r="I49" s="2661"/>
      <c r="J49" s="2661"/>
      <c r="K49" s="1614"/>
      <c r="L49" s="2145"/>
      <c r="M49" s="2146"/>
      <c r="N49" s="2135"/>
      <c r="O49" s="2146"/>
      <c r="P49" s="3664" t="str">
        <f>A49</f>
        <v>估价对象XX用房的比较价格（楼面单价，元/平方米）</v>
      </c>
      <c r="Q49" s="3665"/>
      <c r="R49" s="3782" t="e">
        <f>IF(F1="售价",ROUND(AVERAGE(R48:V48),0),ROUND(AVERAGE(R48:V48),1))</f>
        <v>#DIV/0!</v>
      </c>
      <c r="S49" s="3782"/>
      <c r="T49" s="3782"/>
      <c r="U49" s="3782"/>
      <c r="V49" s="3782"/>
      <c r="W49" s="378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2018-2</v>
      </c>
      <c r="D58" s="2830">
        <f>EDATE(C58,-1)</f>
        <v>43101</v>
      </c>
      <c r="E58" s="2830">
        <f t="shared" ref="E58:O58" si="16">EDATE(D58,-1)</f>
        <v>43070</v>
      </c>
      <c r="F58" s="2830">
        <f t="shared" si="16"/>
        <v>43040</v>
      </c>
      <c r="G58" s="2830">
        <f t="shared" si="16"/>
        <v>43009</v>
      </c>
      <c r="H58" s="2830">
        <f t="shared" si="16"/>
        <v>42979</v>
      </c>
      <c r="I58" s="2830">
        <f t="shared" si="16"/>
        <v>42948</v>
      </c>
      <c r="J58" s="2830">
        <f t="shared" si="16"/>
        <v>42917</v>
      </c>
      <c r="K58" s="2830">
        <f t="shared" si="16"/>
        <v>42887</v>
      </c>
      <c r="L58" s="2830">
        <f t="shared" si="16"/>
        <v>42856</v>
      </c>
      <c r="M58" s="2830">
        <f t="shared" si="16"/>
        <v>42826</v>
      </c>
      <c r="N58" s="2830">
        <f t="shared" si="16"/>
        <v>42795</v>
      </c>
      <c r="O58" s="2830">
        <f t="shared" si="16"/>
        <v>42767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2560</v>
      </c>
      <c r="C82" s="2623" t="s">
        <v>2561</v>
      </c>
      <c r="D82" s="2623" t="s">
        <v>2562</v>
      </c>
      <c r="E82" s="2623" t="s">
        <v>2563</v>
      </c>
      <c r="F82" s="2623" t="s">
        <v>2564</v>
      </c>
      <c r="G82" s="2623" t="s">
        <v>2565</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673" t="s">
        <v>523</v>
      </c>
      <c r="D4" s="3674"/>
      <c r="E4" s="3710" t="s">
        <v>524</v>
      </c>
      <c r="F4" s="3711"/>
      <c r="G4" s="3673" t="s">
        <v>525</v>
      </c>
      <c r="H4" s="3674"/>
      <c r="I4" s="3673" t="s">
        <v>526</v>
      </c>
      <c r="J4" s="3674"/>
      <c r="K4" s="514" t="s">
        <v>527</v>
      </c>
      <c r="L4" s="2134"/>
      <c r="M4" s="2135"/>
      <c r="N4" s="2135"/>
      <c r="O4" s="2135"/>
      <c r="P4" s="3787" t="s">
        <v>528</v>
      </c>
      <c r="Q4" s="3676"/>
      <c r="R4" s="3681" t="s">
        <v>524</v>
      </c>
      <c r="S4" s="3682"/>
      <c r="T4" s="3681" t="s">
        <v>525</v>
      </c>
      <c r="U4" s="3682"/>
      <c r="V4" s="3668" t="s">
        <v>526</v>
      </c>
      <c r="W4" s="3668"/>
      <c r="X4" s="1568"/>
      <c r="Y4" s="3681" t="s">
        <v>528</v>
      </c>
      <c r="Z4" s="3682"/>
      <c r="AA4" s="3670" t="s">
        <v>524</v>
      </c>
      <c r="AB4" s="3670" t="s">
        <v>525</v>
      </c>
      <c r="AC4" s="3670" t="s">
        <v>526</v>
      </c>
    </row>
    <row r="5" spans="1:29" ht="15">
      <c r="A5" s="515"/>
      <c r="B5" s="516"/>
      <c r="C5" s="3691" t="s">
        <v>2928</v>
      </c>
      <c r="D5" s="3690"/>
      <c r="E5" s="3712" t="s">
        <v>2929</v>
      </c>
      <c r="F5" s="3713"/>
      <c r="G5" s="3691" t="s">
        <v>2930</v>
      </c>
      <c r="H5" s="3690"/>
      <c r="I5" s="3691" t="s">
        <v>2931</v>
      </c>
      <c r="J5" s="3690"/>
      <c r="K5" s="514"/>
      <c r="L5" s="2134"/>
      <c r="M5" s="2135"/>
      <c r="N5" s="2135"/>
      <c r="O5" s="2135"/>
      <c r="P5" s="3788"/>
      <c r="Q5" s="3678"/>
      <c r="R5" s="3683"/>
      <c r="S5" s="3684"/>
      <c r="T5" s="3683"/>
      <c r="U5" s="3684"/>
      <c r="V5" s="3668"/>
      <c r="W5" s="3668"/>
      <c r="X5" s="1568"/>
      <c r="Y5" s="3683"/>
      <c r="Z5" s="3684"/>
      <c r="AA5" s="3671"/>
      <c r="AB5" s="3671"/>
      <c r="AC5" s="3671"/>
    </row>
    <row r="6" spans="1:29" ht="15.75" thickBot="1">
      <c r="A6" s="517"/>
      <c r="B6" s="518"/>
      <c r="C6" s="3707" t="s">
        <v>2932</v>
      </c>
      <c r="D6" s="3688"/>
      <c r="E6" s="3708" t="s">
        <v>2932</v>
      </c>
      <c r="F6" s="3709"/>
      <c r="G6" s="3707" t="s">
        <v>2932</v>
      </c>
      <c r="H6" s="3688"/>
      <c r="I6" s="3707" t="s">
        <v>2932</v>
      </c>
      <c r="J6" s="3688"/>
      <c r="K6" s="514" t="s">
        <v>529</v>
      </c>
      <c r="L6" s="2134"/>
      <c r="M6" s="2135"/>
      <c r="N6" s="2135"/>
      <c r="O6" s="2135"/>
      <c r="P6" s="3789"/>
      <c r="Q6" s="3680"/>
      <c r="R6" s="3683"/>
      <c r="S6" s="3684"/>
      <c r="T6" s="3685"/>
      <c r="U6" s="3686"/>
      <c r="V6" s="3668"/>
      <c r="W6" s="3668"/>
      <c r="X6" s="1568"/>
      <c r="Y6" s="3685"/>
      <c r="Z6" s="3686"/>
      <c r="AA6" s="3672"/>
      <c r="AB6" s="3672"/>
      <c r="AC6" s="3672"/>
    </row>
    <row r="7" spans="1:29" s="1220" customFormat="1" ht="15.75" thickBot="1">
      <c r="A7" s="2938"/>
      <c r="B7" s="2945" t="s">
        <v>530</v>
      </c>
      <c r="C7" s="519">
        <f>'数据-取费表'!B2</f>
        <v>43159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702" t="s">
        <v>531</v>
      </c>
      <c r="Q7" s="3702"/>
      <c r="R7" s="1569" t="s">
        <v>8</v>
      </c>
      <c r="S7" s="1570">
        <f t="shared" ref="S7:S15" si="0">F7</f>
        <v>0</v>
      </c>
      <c r="T7" s="1569" t="s">
        <v>8</v>
      </c>
      <c r="U7" s="1570">
        <f t="shared" ref="U7:U15" si="1">H7</f>
        <v>0</v>
      </c>
      <c r="V7" s="1569" t="s">
        <v>8</v>
      </c>
      <c r="W7" s="1570">
        <f t="shared" ref="W7:W15" si="2">J7</f>
        <v>0</v>
      </c>
      <c r="X7" s="1571"/>
      <c r="Y7" s="3700" t="s">
        <v>531</v>
      </c>
      <c r="Z7" s="3701"/>
      <c r="AA7" s="1572" t="e">
        <f>D7/F7</f>
        <v>#DIV/0!</v>
      </c>
      <c r="AB7" s="1572" t="e">
        <f>D7/H7</f>
        <v>#DIV/0!</v>
      </c>
      <c r="AC7" s="1572"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702" t="s">
        <v>534</v>
      </c>
      <c r="Q8" s="3701"/>
      <c r="R8" s="1569" t="s">
        <v>8</v>
      </c>
      <c r="S8" s="1570">
        <f t="shared" si="0"/>
        <v>0</v>
      </c>
      <c r="T8" s="1569" t="s">
        <v>8</v>
      </c>
      <c r="U8" s="1570">
        <f t="shared" si="1"/>
        <v>0</v>
      </c>
      <c r="V8" s="1569" t="s">
        <v>8</v>
      </c>
      <c r="W8" s="1570">
        <f t="shared" si="2"/>
        <v>0</v>
      </c>
      <c r="X8" s="1571"/>
      <c r="Y8" s="3700" t="s">
        <v>534</v>
      </c>
      <c r="Z8" s="3701"/>
      <c r="AA8" s="1572" t="e">
        <f t="shared" ref="AA8:AA47" si="3">D8/F8</f>
        <v>#DIV/0!</v>
      </c>
      <c r="AB8" s="1572" t="e">
        <f t="shared" ref="AB8:AB47" si="4">D8/H8</f>
        <v>#DIV/0!</v>
      </c>
      <c r="AC8" s="1572" t="e">
        <f t="shared" ref="AC8:AC47" si="5">D8/J8</f>
        <v>#DIV/0!</v>
      </c>
    </row>
    <row r="9" spans="1:29" s="1220" customFormat="1" ht="15">
      <c r="A9" s="2940"/>
      <c r="B9" s="2947"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67" t="s">
        <v>536</v>
      </c>
      <c r="Q9" s="1151" t="str">
        <f t="shared" ref="Q9:Q15" si="6">B9</f>
        <v>用途</v>
      </c>
      <c r="R9" s="1569" t="s">
        <v>8</v>
      </c>
      <c r="S9" s="1570">
        <f t="shared" si="0"/>
        <v>100</v>
      </c>
      <c r="T9" s="1569" t="s">
        <v>8</v>
      </c>
      <c r="U9" s="1570">
        <f t="shared" si="1"/>
        <v>100</v>
      </c>
      <c r="V9" s="1569" t="s">
        <v>8</v>
      </c>
      <c r="W9" s="1570">
        <f t="shared" si="2"/>
        <v>100</v>
      </c>
      <c r="X9" s="1571"/>
      <c r="Y9" s="3613" t="s">
        <v>537</v>
      </c>
      <c r="Z9" s="1150" t="str">
        <f t="shared" ref="Z9:Z15" si="7">Q9</f>
        <v>用途</v>
      </c>
      <c r="AA9" s="1572">
        <f t="shared" si="3"/>
        <v>1</v>
      </c>
      <c r="AB9" s="1572">
        <f t="shared" si="4"/>
        <v>1</v>
      </c>
      <c r="AC9" s="1572">
        <f t="shared" si="5"/>
        <v>1</v>
      </c>
    </row>
    <row r="10" spans="1:29" s="1338" customFormat="1" ht="27">
      <c r="A10" s="2941"/>
      <c r="B10" s="2946"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
      <c r="A11" s="2942"/>
      <c r="B11" s="2946"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67"/>
      <c r="Q11" s="1151" t="str">
        <f t="shared" si="6"/>
        <v>容积率</v>
      </c>
      <c r="R11" s="1569" t="s">
        <v>8</v>
      </c>
      <c r="S11" s="1570" t="e">
        <f t="shared" si="0"/>
        <v>#N/A</v>
      </c>
      <c r="T11" s="1569" t="s">
        <v>8</v>
      </c>
      <c r="U11" s="1570" t="e">
        <f t="shared" si="1"/>
        <v>#N/A</v>
      </c>
      <c r="V11" s="1569" t="s">
        <v>8</v>
      </c>
      <c r="W11" s="1570" t="e">
        <f t="shared" si="2"/>
        <v>#N/A</v>
      </c>
      <c r="X11" s="1571"/>
      <c r="Y11" s="3613"/>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67"/>
      <c r="Q12" s="1151">
        <f t="shared" si="6"/>
        <v>111</v>
      </c>
      <c r="R12" s="1569" t="s">
        <v>8</v>
      </c>
      <c r="S12" s="1570">
        <f t="shared" si="0"/>
        <v>100</v>
      </c>
      <c r="T12" s="1569" t="s">
        <v>8</v>
      </c>
      <c r="U12" s="1570">
        <f t="shared" si="1"/>
        <v>100</v>
      </c>
      <c r="V12" s="1569" t="s">
        <v>8</v>
      </c>
      <c r="W12" s="1570">
        <f t="shared" si="2"/>
        <v>100</v>
      </c>
      <c r="X12" s="1571"/>
      <c r="Y12" s="3613"/>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67"/>
      <c r="Q13" s="1151">
        <f t="shared" si="6"/>
        <v>111</v>
      </c>
      <c r="R13" s="1569" t="s">
        <v>8</v>
      </c>
      <c r="S13" s="1570">
        <f t="shared" si="0"/>
        <v>100</v>
      </c>
      <c r="T13" s="1569" t="s">
        <v>8</v>
      </c>
      <c r="U13" s="1570">
        <f t="shared" si="1"/>
        <v>100</v>
      </c>
      <c r="V13" s="1569" t="s">
        <v>8</v>
      </c>
      <c r="W13" s="1570">
        <f t="shared" si="2"/>
        <v>100</v>
      </c>
      <c r="X13" s="1571"/>
      <c r="Y13" s="3613"/>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67"/>
      <c r="Q14" s="1151">
        <f t="shared" si="6"/>
        <v>111</v>
      </c>
      <c r="R14" s="1569" t="s">
        <v>8</v>
      </c>
      <c r="S14" s="1570">
        <f t="shared" si="0"/>
        <v>100</v>
      </c>
      <c r="T14" s="1569" t="s">
        <v>8</v>
      </c>
      <c r="U14" s="1570">
        <f t="shared" si="1"/>
        <v>100</v>
      </c>
      <c r="V14" s="1569" t="s">
        <v>8</v>
      </c>
      <c r="W14" s="1570">
        <f t="shared" si="2"/>
        <v>100</v>
      </c>
      <c r="X14" s="1571"/>
      <c r="Y14" s="3613"/>
      <c r="Z14" s="1150">
        <f t="shared" si="7"/>
        <v>111</v>
      </c>
      <c r="AA14" s="1572">
        <f t="shared" si="3"/>
        <v>1</v>
      </c>
      <c r="AB14" s="1572">
        <f t="shared" si="4"/>
        <v>1</v>
      </c>
      <c r="AC14" s="1572">
        <f t="shared" si="5"/>
        <v>1</v>
      </c>
    </row>
    <row r="15" spans="1:29" ht="71.25">
      <c r="A15" s="2936" t="s">
        <v>2756</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703" t="s">
        <v>541</v>
      </c>
      <c r="Q15" s="1573" t="str">
        <f t="shared" si="6"/>
        <v>办公集聚程度</v>
      </c>
      <c r="R15" s="1574" t="s">
        <v>8</v>
      </c>
      <c r="S15" s="1575">
        <f t="shared" si="0"/>
        <v>100</v>
      </c>
      <c r="T15" s="1574" t="s">
        <v>8</v>
      </c>
      <c r="U15" s="1575">
        <f t="shared" si="1"/>
        <v>100</v>
      </c>
      <c r="V15" s="1574" t="s">
        <v>8</v>
      </c>
      <c r="W15" s="1575">
        <f t="shared" si="2"/>
        <v>100</v>
      </c>
      <c r="X15" s="1568"/>
      <c r="Y15" s="3703"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704"/>
      <c r="Q16" s="1573"/>
      <c r="R16" s="1574"/>
      <c r="S16" s="1575"/>
      <c r="T16" s="1574"/>
      <c r="U16" s="1575"/>
      <c r="V16" s="1574"/>
      <c r="W16" s="1575"/>
      <c r="X16" s="1568"/>
      <c r="Y16" s="370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704"/>
      <c r="Q17" s="1573" t="str">
        <f>B17</f>
        <v>交通便捷度</v>
      </c>
      <c r="R17" s="1574" t="s">
        <v>8</v>
      </c>
      <c r="S17" s="1575">
        <f>F17</f>
        <v>100</v>
      </c>
      <c r="T17" s="1574" t="s">
        <v>8</v>
      </c>
      <c r="U17" s="1575">
        <f>H17</f>
        <v>100</v>
      </c>
      <c r="V17" s="1574" t="s">
        <v>8</v>
      </c>
      <c r="W17" s="1575">
        <f>J17</f>
        <v>100</v>
      </c>
      <c r="X17" s="1568"/>
      <c r="Y17" s="370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704"/>
      <c r="Q18" s="1573"/>
      <c r="R18" s="1574"/>
      <c r="S18" s="1575"/>
      <c r="T18" s="1574"/>
      <c r="U18" s="1575"/>
      <c r="V18" s="1574"/>
      <c r="W18" s="1575"/>
      <c r="X18" s="1568"/>
      <c r="Y18" s="3704"/>
      <c r="Z18" s="1576"/>
      <c r="AA18" s="1577">
        <v>1</v>
      </c>
      <c r="AB18" s="1577">
        <v>1</v>
      </c>
      <c r="AC18" s="1577">
        <v>1</v>
      </c>
    </row>
    <row r="19" spans="1:29" ht="42.75">
      <c r="A19" s="532"/>
      <c r="B19" s="2628"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704"/>
      <c r="Q19" s="1573" t="str">
        <f>B19</f>
        <v>公共配套设施</v>
      </c>
      <c r="R19" s="1574" t="s">
        <v>8</v>
      </c>
      <c r="S19" s="1575">
        <f>F19</f>
        <v>100</v>
      </c>
      <c r="T19" s="1574" t="s">
        <v>8</v>
      </c>
      <c r="U19" s="1575">
        <f>H19</f>
        <v>100</v>
      </c>
      <c r="V19" s="1574" t="s">
        <v>8</v>
      </c>
      <c r="W19" s="1575">
        <f>J19</f>
        <v>100</v>
      </c>
      <c r="X19" s="1568"/>
      <c r="Y19" s="370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704"/>
      <c r="Q20" s="1573"/>
      <c r="R20" s="1574"/>
      <c r="S20" s="1575"/>
      <c r="T20" s="1574"/>
      <c r="U20" s="1575"/>
      <c r="V20" s="1574"/>
      <c r="W20" s="1575"/>
      <c r="X20" s="1568"/>
      <c r="Y20" s="3704"/>
      <c r="Z20" s="1576"/>
      <c r="AA20" s="1577">
        <v>1</v>
      </c>
      <c r="AB20" s="1577">
        <v>1</v>
      </c>
      <c r="AC20" s="1577">
        <v>1</v>
      </c>
    </row>
    <row r="21" spans="1:29" ht="28.5">
      <c r="A21" s="532"/>
      <c r="B21" s="2616"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704"/>
      <c r="Q21" s="2604" t="str">
        <f>B21</f>
        <v>基础设施水平</v>
      </c>
      <c r="R21" s="1574" t="s">
        <v>8</v>
      </c>
      <c r="S21" s="1575">
        <f>F21</f>
        <v>100</v>
      </c>
      <c r="T21" s="1574" t="s">
        <v>8</v>
      </c>
      <c r="U21" s="1575">
        <f>H21</f>
        <v>100</v>
      </c>
      <c r="V21" s="1574" t="s">
        <v>8</v>
      </c>
      <c r="W21" s="1575">
        <f>J21</f>
        <v>100</v>
      </c>
      <c r="X21" s="2606"/>
      <c r="Y21" s="3704"/>
      <c r="Z21" s="2605"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7"/>
      <c r="L22" s="2143"/>
      <c r="M22" s="2135"/>
      <c r="N22" s="2135"/>
      <c r="O22" s="2135"/>
      <c r="P22" s="3704"/>
      <c r="Q22" s="2604"/>
      <c r="R22" s="1574"/>
      <c r="S22" s="1575"/>
      <c r="T22" s="1574"/>
      <c r="U22" s="1575"/>
      <c r="V22" s="1574"/>
      <c r="W22" s="1575"/>
      <c r="X22" s="2606"/>
      <c r="Y22" s="3704"/>
      <c r="Z22" s="2605"/>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704"/>
      <c r="Q23" s="1573" t="str">
        <f>B23</f>
        <v>环境质量</v>
      </c>
      <c r="R23" s="1574" t="s">
        <v>8</v>
      </c>
      <c r="S23" s="1575">
        <f>F23</f>
        <v>100</v>
      </c>
      <c r="T23" s="1574" t="s">
        <v>8</v>
      </c>
      <c r="U23" s="1575">
        <f>H23</f>
        <v>100</v>
      </c>
      <c r="V23" s="1574" t="s">
        <v>8</v>
      </c>
      <c r="W23" s="1575">
        <f>J23</f>
        <v>100</v>
      </c>
      <c r="X23" s="1568"/>
      <c r="Y23" s="370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704"/>
      <c r="Q24" s="1573"/>
      <c r="R24" s="1574"/>
      <c r="S24" s="1575"/>
      <c r="T24" s="1574"/>
      <c r="U24" s="1575"/>
      <c r="V24" s="1574"/>
      <c r="W24" s="1575"/>
      <c r="X24" s="1568"/>
      <c r="Y24" s="3704"/>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704"/>
      <c r="Q25" s="1573" t="str">
        <f>B25</f>
        <v>毗邻道路的类型与等级</v>
      </c>
      <c r="R25" s="1574" t="s">
        <v>8</v>
      </c>
      <c r="S25" s="1575">
        <f>F25</f>
        <v>100</v>
      </c>
      <c r="T25" s="1574" t="s">
        <v>8</v>
      </c>
      <c r="U25" s="1575">
        <f>H25</f>
        <v>100</v>
      </c>
      <c r="V25" s="1574" t="s">
        <v>8</v>
      </c>
      <c r="W25" s="1575">
        <f>J25</f>
        <v>100</v>
      </c>
      <c r="X25" s="1568"/>
      <c r="Y25" s="370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704"/>
      <c r="Q26" s="1573"/>
      <c r="R26" s="1574"/>
      <c r="S26" s="1575"/>
      <c r="T26" s="1574"/>
      <c r="U26" s="1575"/>
      <c r="V26" s="1574"/>
      <c r="W26" s="1575"/>
      <c r="X26" s="1568"/>
      <c r="Y26" s="3704"/>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704"/>
      <c r="Q27" s="1573" t="str">
        <f t="shared" ref="Q27:Q47" si="11">B27</f>
        <v>楼层</v>
      </c>
      <c r="R27" s="1574" t="s">
        <v>8</v>
      </c>
      <c r="S27" s="1575">
        <f>F27</f>
        <v>100</v>
      </c>
      <c r="T27" s="1574" t="s">
        <v>8</v>
      </c>
      <c r="U27" s="1575">
        <f>H27</f>
        <v>100</v>
      </c>
      <c r="V27" s="1574" t="s">
        <v>8</v>
      </c>
      <c r="W27" s="1575">
        <f>J27</f>
        <v>100</v>
      </c>
      <c r="X27" s="1568"/>
      <c r="Y27" s="3704"/>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704"/>
      <c r="Q28" s="1151" t="str">
        <f t="shared" si="11"/>
        <v>朝向</v>
      </c>
      <c r="R28" s="1569" t="s">
        <v>8</v>
      </c>
      <c r="S28" s="1570">
        <f>F28</f>
        <v>100</v>
      </c>
      <c r="T28" s="1569" t="s">
        <v>8</v>
      </c>
      <c r="U28" s="1570">
        <f>H28</f>
        <v>100</v>
      </c>
      <c r="V28" s="1569" t="s">
        <v>8</v>
      </c>
      <c r="W28" s="1570">
        <f>J28</f>
        <v>100</v>
      </c>
      <c r="X28" s="1571"/>
      <c r="Y28" s="370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704"/>
      <c r="Q29" s="1573">
        <f t="shared" si="11"/>
        <v>111</v>
      </c>
      <c r="R29" s="1574" t="s">
        <v>8</v>
      </c>
      <c r="S29" s="1575">
        <f t="shared" ref="S29:S47" si="12">F29</f>
        <v>100</v>
      </c>
      <c r="T29" s="1574" t="s">
        <v>8</v>
      </c>
      <c r="U29" s="1575">
        <f t="shared" ref="U29:U47" si="13">H29</f>
        <v>100</v>
      </c>
      <c r="V29" s="1574" t="s">
        <v>8</v>
      </c>
      <c r="W29" s="1575">
        <f t="shared" ref="W29:W47" si="14">J29</f>
        <v>100</v>
      </c>
      <c r="X29" s="1568"/>
      <c r="Y29" s="370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704"/>
      <c r="Q30" s="1573">
        <f t="shared" si="11"/>
        <v>111</v>
      </c>
      <c r="R30" s="1574" t="s">
        <v>8</v>
      </c>
      <c r="S30" s="1575">
        <f t="shared" si="12"/>
        <v>100</v>
      </c>
      <c r="T30" s="1574" t="s">
        <v>8</v>
      </c>
      <c r="U30" s="1575">
        <f t="shared" si="13"/>
        <v>100</v>
      </c>
      <c r="V30" s="1574" t="s">
        <v>8</v>
      </c>
      <c r="W30" s="1575">
        <f t="shared" si="14"/>
        <v>100</v>
      </c>
      <c r="X30" s="1568"/>
      <c r="Y30" s="370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704"/>
      <c r="Q31" s="1573">
        <f t="shared" si="11"/>
        <v>111</v>
      </c>
      <c r="R31" s="1574" t="s">
        <v>8</v>
      </c>
      <c r="S31" s="1575">
        <f t="shared" si="12"/>
        <v>100</v>
      </c>
      <c r="T31" s="1574" t="s">
        <v>8</v>
      </c>
      <c r="U31" s="1575">
        <f t="shared" si="13"/>
        <v>100</v>
      </c>
      <c r="V31" s="1574" t="s">
        <v>8</v>
      </c>
      <c r="W31" s="1575">
        <f t="shared" si="14"/>
        <v>100</v>
      </c>
      <c r="X31" s="1568"/>
      <c r="Y31" s="370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704"/>
      <c r="Q32" s="1573">
        <f t="shared" si="11"/>
        <v>111</v>
      </c>
      <c r="R32" s="1574" t="s">
        <v>8</v>
      </c>
      <c r="S32" s="1575">
        <f t="shared" si="12"/>
        <v>100</v>
      </c>
      <c r="T32" s="1574" t="s">
        <v>8</v>
      </c>
      <c r="U32" s="1575">
        <f t="shared" si="13"/>
        <v>100</v>
      </c>
      <c r="V32" s="1574" t="s">
        <v>8</v>
      </c>
      <c r="W32" s="1575">
        <f t="shared" si="14"/>
        <v>100</v>
      </c>
      <c r="X32" s="1568"/>
      <c r="Y32" s="3704"/>
      <c r="Z32" s="1576">
        <f t="shared" si="15"/>
        <v>111</v>
      </c>
      <c r="AA32" s="1577">
        <f t="shared" si="3"/>
        <v>1</v>
      </c>
      <c r="AB32" s="1577">
        <f t="shared" si="4"/>
        <v>1</v>
      </c>
      <c r="AC32" s="1577">
        <f t="shared" si="5"/>
        <v>1</v>
      </c>
    </row>
    <row r="33" spans="1:29" ht="15">
      <c r="A33" s="2933" t="s">
        <v>2757</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705" t="s">
        <v>551</v>
      </c>
      <c r="Q33" s="1573" t="str">
        <f t="shared" si="11"/>
        <v>建筑类型</v>
      </c>
      <c r="R33" s="1574" t="s">
        <v>8</v>
      </c>
      <c r="S33" s="1575">
        <f t="shared" si="12"/>
        <v>100</v>
      </c>
      <c r="T33" s="1574" t="s">
        <v>8</v>
      </c>
      <c r="U33" s="1575">
        <f t="shared" si="13"/>
        <v>100</v>
      </c>
      <c r="V33" s="1574" t="s">
        <v>8</v>
      </c>
      <c r="W33" s="1575">
        <f t="shared" si="14"/>
        <v>100</v>
      </c>
      <c r="X33" s="1568"/>
      <c r="Y33" s="3706"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706"/>
      <c r="Q34" s="1606" t="str">
        <f t="shared" si="11"/>
        <v>项目建筑规模</v>
      </c>
      <c r="R34" s="1578" t="s">
        <v>8</v>
      </c>
      <c r="S34" s="1579" t="e">
        <f t="shared" si="12"/>
        <v>#N/A</v>
      </c>
      <c r="T34" s="1578" t="s">
        <v>8</v>
      </c>
      <c r="U34" s="1579" t="e">
        <f t="shared" si="13"/>
        <v>#N/A</v>
      </c>
      <c r="V34" s="1578" t="s">
        <v>8</v>
      </c>
      <c r="W34" s="1579" t="e">
        <f t="shared" si="14"/>
        <v>#N/A</v>
      </c>
      <c r="X34" s="1580"/>
      <c r="Y34" s="3706"/>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706"/>
      <c r="Q35" s="1573" t="str">
        <f t="shared" si="11"/>
        <v>建筑结构</v>
      </c>
      <c r="R35" s="1574" t="s">
        <v>8</v>
      </c>
      <c r="S35" s="1575">
        <f t="shared" si="12"/>
        <v>100</v>
      </c>
      <c r="T35" s="1574" t="s">
        <v>8</v>
      </c>
      <c r="U35" s="1575">
        <f t="shared" si="13"/>
        <v>100</v>
      </c>
      <c r="V35" s="1574" t="s">
        <v>8</v>
      </c>
      <c r="W35" s="1575">
        <f t="shared" si="14"/>
        <v>100</v>
      </c>
      <c r="X35" s="1568"/>
      <c r="Y35" s="3706"/>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706"/>
      <c r="Q36" s="1573" t="str">
        <f t="shared" si="11"/>
        <v>公共部分装修</v>
      </c>
      <c r="R36" s="1574" t="s">
        <v>8</v>
      </c>
      <c r="S36" s="1575">
        <f t="shared" si="12"/>
        <v>100</v>
      </c>
      <c r="T36" s="1574" t="s">
        <v>8</v>
      </c>
      <c r="U36" s="1575">
        <f t="shared" si="13"/>
        <v>100</v>
      </c>
      <c r="V36" s="1574" t="s">
        <v>8</v>
      </c>
      <c r="W36" s="1575">
        <f t="shared" si="14"/>
        <v>100</v>
      </c>
      <c r="X36" s="1568"/>
      <c r="Y36" s="3706"/>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706"/>
      <c r="Q37" s="1573" t="str">
        <f t="shared" si="11"/>
        <v>成新度</v>
      </c>
      <c r="R37" s="1574" t="s">
        <v>8</v>
      </c>
      <c r="S37" s="1575" t="e">
        <f t="shared" si="12"/>
        <v>#N/A</v>
      </c>
      <c r="T37" s="1574" t="s">
        <v>8</v>
      </c>
      <c r="U37" s="1575" t="e">
        <f t="shared" si="13"/>
        <v>#N/A</v>
      </c>
      <c r="V37" s="1574" t="s">
        <v>8</v>
      </c>
      <c r="W37" s="1575" t="e">
        <f t="shared" si="14"/>
        <v>#N/A</v>
      </c>
      <c r="X37" s="1568"/>
      <c r="Y37" s="3706"/>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706"/>
      <c r="Q38" s="1151" t="str">
        <f t="shared" si="11"/>
        <v>写字楼等级</v>
      </c>
      <c r="R38" s="1569" t="s">
        <v>8</v>
      </c>
      <c r="S38" s="1570">
        <f t="shared" si="12"/>
        <v>100</v>
      </c>
      <c r="T38" s="1569" t="s">
        <v>8</v>
      </c>
      <c r="U38" s="1570">
        <f t="shared" si="13"/>
        <v>100</v>
      </c>
      <c r="V38" s="1569" t="s">
        <v>8</v>
      </c>
      <c r="W38" s="1570">
        <f t="shared" si="14"/>
        <v>100</v>
      </c>
      <c r="X38" s="1571"/>
      <c r="Y38" s="3706"/>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706" t="s">
        <v>551</v>
      </c>
      <c r="Q39" s="1573" t="str">
        <f t="shared" si="11"/>
        <v>物业管理</v>
      </c>
      <c r="R39" s="1574" t="s">
        <v>8</v>
      </c>
      <c r="S39" s="1575">
        <f t="shared" si="12"/>
        <v>100</v>
      </c>
      <c r="T39" s="1574" t="s">
        <v>8</v>
      </c>
      <c r="U39" s="1575">
        <f t="shared" si="13"/>
        <v>100</v>
      </c>
      <c r="V39" s="1574" t="s">
        <v>8</v>
      </c>
      <c r="W39" s="1575">
        <f t="shared" si="14"/>
        <v>100</v>
      </c>
      <c r="X39" s="1568"/>
      <c r="Y39" s="3706" t="s">
        <v>551</v>
      </c>
      <c r="Z39" s="1576" t="str">
        <f t="shared" si="15"/>
        <v>物业管理</v>
      </c>
      <c r="AA39" s="1577">
        <f t="shared" si="3"/>
        <v>1</v>
      </c>
      <c r="AB39" s="1577">
        <f t="shared" si="4"/>
        <v>1</v>
      </c>
      <c r="AC39" s="1577">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706"/>
      <c r="Q40" s="1573" t="str">
        <f t="shared" si="11"/>
        <v>市政基础设施</v>
      </c>
      <c r="R40" s="1574" t="s">
        <v>8</v>
      </c>
      <c r="S40" s="1575">
        <f t="shared" si="12"/>
        <v>100</v>
      </c>
      <c r="T40" s="1574" t="s">
        <v>8</v>
      </c>
      <c r="U40" s="1575">
        <f t="shared" si="13"/>
        <v>100</v>
      </c>
      <c r="V40" s="1574" t="s">
        <v>8</v>
      </c>
      <c r="W40" s="1575">
        <f t="shared" si="14"/>
        <v>100</v>
      </c>
      <c r="X40" s="1568"/>
      <c r="Y40" s="3706"/>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706"/>
      <c r="Q41" s="1573" t="str">
        <f t="shared" si="11"/>
        <v>层高</v>
      </c>
      <c r="R41" s="1574" t="s">
        <v>8</v>
      </c>
      <c r="S41" s="1575">
        <f t="shared" si="12"/>
        <v>100</v>
      </c>
      <c r="T41" s="1574" t="s">
        <v>8</v>
      </c>
      <c r="U41" s="1575">
        <f t="shared" si="13"/>
        <v>100</v>
      </c>
      <c r="V41" s="1574" t="s">
        <v>8</v>
      </c>
      <c r="W41" s="1575">
        <f t="shared" si="14"/>
        <v>100</v>
      </c>
      <c r="X41" s="1568"/>
      <c r="Y41" s="3706"/>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706"/>
      <c r="Q42" s="1606" t="str">
        <f t="shared" si="11"/>
        <v>单套建筑面积</v>
      </c>
      <c r="R42" s="1578" t="s">
        <v>8</v>
      </c>
      <c r="S42" s="1579">
        <f t="shared" si="12"/>
        <v>100</v>
      </c>
      <c r="T42" s="1578" t="s">
        <v>8</v>
      </c>
      <c r="U42" s="1579">
        <f t="shared" si="13"/>
        <v>100</v>
      </c>
      <c r="V42" s="1578" t="s">
        <v>8</v>
      </c>
      <c r="W42" s="1579">
        <f t="shared" si="14"/>
        <v>100</v>
      </c>
      <c r="X42" s="1580"/>
      <c r="Y42" s="3706"/>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706"/>
      <c r="Q43" s="1573" t="str">
        <f t="shared" si="11"/>
        <v>内部装修</v>
      </c>
      <c r="R43" s="1574" t="s">
        <v>8</v>
      </c>
      <c r="S43" s="1575">
        <f t="shared" si="12"/>
        <v>100</v>
      </c>
      <c r="T43" s="1574" t="s">
        <v>8</v>
      </c>
      <c r="U43" s="1575">
        <f t="shared" si="13"/>
        <v>100</v>
      </c>
      <c r="V43" s="1574" t="s">
        <v>8</v>
      </c>
      <c r="W43" s="1575">
        <f t="shared" si="14"/>
        <v>100</v>
      </c>
      <c r="X43" s="1568"/>
      <c r="Y43" s="3706"/>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706"/>
      <c r="Q44" s="1573" t="str">
        <f t="shared" si="11"/>
        <v>内部装修维护情况</v>
      </c>
      <c r="R44" s="1574" t="s">
        <v>8</v>
      </c>
      <c r="S44" s="1575">
        <f t="shared" si="12"/>
        <v>100</v>
      </c>
      <c r="T44" s="1574" t="s">
        <v>8</v>
      </c>
      <c r="U44" s="1575">
        <f t="shared" si="13"/>
        <v>100</v>
      </c>
      <c r="V44" s="1574" t="s">
        <v>8</v>
      </c>
      <c r="W44" s="1575">
        <f t="shared" si="14"/>
        <v>100</v>
      </c>
      <c r="X44" s="1568"/>
      <c r="Y44" s="370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706"/>
      <c r="Q45" s="1151">
        <f t="shared" si="11"/>
        <v>111</v>
      </c>
      <c r="R45" s="1569" t="s">
        <v>8</v>
      </c>
      <c r="S45" s="1570">
        <f t="shared" si="12"/>
        <v>100</v>
      </c>
      <c r="T45" s="1569" t="s">
        <v>8</v>
      </c>
      <c r="U45" s="1570">
        <f t="shared" si="13"/>
        <v>100</v>
      </c>
      <c r="V45" s="1569" t="s">
        <v>8</v>
      </c>
      <c r="W45" s="1570">
        <f t="shared" si="14"/>
        <v>100</v>
      </c>
      <c r="X45" s="1571"/>
      <c r="Y45" s="370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706"/>
      <c r="Q46" s="1573">
        <f t="shared" si="11"/>
        <v>111</v>
      </c>
      <c r="R46" s="1574" t="s">
        <v>8</v>
      </c>
      <c r="S46" s="1575">
        <f t="shared" si="12"/>
        <v>100</v>
      </c>
      <c r="T46" s="1574" t="s">
        <v>8</v>
      </c>
      <c r="U46" s="1575">
        <f t="shared" si="13"/>
        <v>100</v>
      </c>
      <c r="V46" s="1574" t="s">
        <v>8</v>
      </c>
      <c r="W46" s="1575">
        <f t="shared" si="14"/>
        <v>100</v>
      </c>
      <c r="X46" s="1568"/>
      <c r="Y46" s="370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84"/>
      <c r="Q47" s="1573">
        <f t="shared" si="11"/>
        <v>111</v>
      </c>
      <c r="R47" s="1574" t="s">
        <v>8</v>
      </c>
      <c r="S47" s="1575">
        <f t="shared" si="12"/>
        <v>100</v>
      </c>
      <c r="T47" s="1574" t="s">
        <v>8</v>
      </c>
      <c r="U47" s="1575">
        <f t="shared" si="13"/>
        <v>100</v>
      </c>
      <c r="V47" s="1574" t="s">
        <v>8</v>
      </c>
      <c r="W47" s="1575">
        <f t="shared" si="14"/>
        <v>100</v>
      </c>
      <c r="X47" s="1568"/>
      <c r="Y47" s="3784"/>
      <c r="Z47" s="1576">
        <f t="shared" si="15"/>
        <v>111</v>
      </c>
      <c r="AA47" s="1577">
        <f t="shared" si="3"/>
        <v>1</v>
      </c>
      <c r="AB47" s="1577">
        <f t="shared" si="4"/>
        <v>1</v>
      </c>
      <c r="AC47" s="1577">
        <f t="shared" si="5"/>
        <v>1</v>
      </c>
    </row>
    <row r="48" spans="1:29" ht="15">
      <c r="A48" s="607" t="s">
        <v>737</v>
      </c>
      <c r="B48" s="887"/>
      <c r="C48" s="2652" t="s">
        <v>1</v>
      </c>
      <c r="D48" s="2653"/>
      <c r="E48" s="2654"/>
      <c r="F48" s="2655"/>
      <c r="G48" s="2656"/>
      <c r="H48" s="2657"/>
      <c r="I48" s="2654"/>
      <c r="J48" s="2657"/>
      <c r="K48" s="1612"/>
      <c r="L48" s="2145"/>
      <c r="M48" s="2135"/>
      <c r="N48" s="2135"/>
      <c r="O48" s="2135"/>
      <c r="P48" s="3665" t="str">
        <f>A48</f>
        <v>成交单价（元/平方米）</v>
      </c>
      <c r="Q48" s="3667"/>
      <c r="R48" s="3783">
        <f>E48</f>
        <v>0</v>
      </c>
      <c r="S48" s="3783"/>
      <c r="T48" s="3783">
        <f>G48</f>
        <v>0</v>
      </c>
      <c r="U48" s="3783"/>
      <c r="V48" s="3783">
        <f>I48</f>
        <v>0</v>
      </c>
      <c r="W48" s="3783"/>
      <c r="X48" s="1560"/>
      <c r="Y48" s="1582"/>
      <c r="Z48" s="1560"/>
      <c r="AA48" s="1560"/>
      <c r="AB48" s="1560"/>
      <c r="AC48" s="1560"/>
    </row>
    <row r="49" spans="1:29" ht="15.75" thickBot="1">
      <c r="A49" s="615" t="s">
        <v>2762</v>
      </c>
      <c r="B49" s="888"/>
      <c r="C49" s="2658" t="e">
        <f>R50</f>
        <v>#DIV/0!</v>
      </c>
      <c r="D49" s="2659"/>
      <c r="E49" s="2660" t="e">
        <f>R49</f>
        <v>#DIV/0!</v>
      </c>
      <c r="F49" s="2660"/>
      <c r="G49" s="2658" t="e">
        <f>T49</f>
        <v>#DIV/0!</v>
      </c>
      <c r="H49" s="2659"/>
      <c r="I49" s="2660" t="e">
        <f>V49</f>
        <v>#DIV/0!</v>
      </c>
      <c r="J49" s="2659"/>
      <c r="K49" s="1613"/>
      <c r="L49" s="2145"/>
      <c r="M49" s="2135"/>
      <c r="N49" s="2135"/>
      <c r="O49" s="2135"/>
      <c r="P49" s="3665" t="str">
        <f>A49</f>
        <v>比较价格（元/平方米）</v>
      </c>
      <c r="Q49" s="3667"/>
      <c r="R49" s="3783" t="e">
        <f>IF(F1="售价",ROUND(PRODUCT(R48,AA7:AA47),0),ROUND(PRODUCT(R48,AA7:AA47),1))</f>
        <v>#DIV/0!</v>
      </c>
      <c r="S49" s="3783"/>
      <c r="T49" s="3783" t="e">
        <f>IF(F1="售价",ROUND(PRODUCT(T48,AB7:AB47),0),ROUND(PRODUCT(T48,AB7:AB47),1))</f>
        <v>#DIV/0!</v>
      </c>
      <c r="U49" s="3783"/>
      <c r="V49" s="3783" t="e">
        <f>IF(F1="售价",ROUND(PRODUCT(V48,AC7:AC47),0),ROUND(PRODUCT(V48,AC7:AC47),1))</f>
        <v>#DIV/0!</v>
      </c>
      <c r="W49" s="3783"/>
      <c r="X49" s="1560"/>
      <c r="Y49" s="1560"/>
      <c r="Z49" s="1560"/>
      <c r="AA49" s="1560"/>
      <c r="AB49" s="1560"/>
      <c r="AC49" s="1560"/>
    </row>
    <row r="50" spans="1:29" ht="15.75" thickBot="1">
      <c r="A50" s="621" t="s">
        <v>2934</v>
      </c>
      <c r="B50" s="622"/>
      <c r="C50" s="2661" t="e">
        <f>R50</f>
        <v>#DIV/0!</v>
      </c>
      <c r="D50" s="2661"/>
      <c r="E50" s="2661"/>
      <c r="F50" s="2661"/>
      <c r="G50" s="2661"/>
      <c r="H50" s="2661"/>
      <c r="I50" s="2661"/>
      <c r="J50" s="2661"/>
      <c r="K50" s="1614"/>
      <c r="L50" s="2145"/>
      <c r="M50" s="2135"/>
      <c r="N50" s="2135"/>
      <c r="O50" s="2135"/>
      <c r="P50" s="3786" t="str">
        <f>A50</f>
        <v>估价对象XX用房的比较价格（楼面单价，元/平方米）</v>
      </c>
      <c r="Q50" s="3665"/>
      <c r="R50" s="3782" t="e">
        <f>IF(F1="售价",ROUND(AVERAGE(R49:V49),0),ROUND(AVERAGE(R49:V49),1))</f>
        <v>#DIV/0!</v>
      </c>
      <c r="S50" s="3782"/>
      <c r="T50" s="3782"/>
      <c r="U50" s="3782"/>
      <c r="V50" s="3782"/>
      <c r="W50" s="3782"/>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8" t="str">
        <f>YEAR(C7)&amp;"-"&amp;MONTH(C7)</f>
        <v>2018-2</v>
      </c>
      <c r="D59" s="2830">
        <f>EDATE(C59,-1)</f>
        <v>43101</v>
      </c>
      <c r="E59" s="2830">
        <f t="shared" ref="E59:O59" si="16">EDATE(D59,-1)</f>
        <v>43070</v>
      </c>
      <c r="F59" s="2830">
        <f t="shared" si="16"/>
        <v>43040</v>
      </c>
      <c r="G59" s="2830">
        <f t="shared" si="16"/>
        <v>43009</v>
      </c>
      <c r="H59" s="2830">
        <f t="shared" si="16"/>
        <v>42979</v>
      </c>
      <c r="I59" s="2830">
        <f t="shared" si="16"/>
        <v>42948</v>
      </c>
      <c r="J59" s="2830">
        <f t="shared" si="16"/>
        <v>42917</v>
      </c>
      <c r="K59" s="2830">
        <f t="shared" si="16"/>
        <v>42887</v>
      </c>
      <c r="L59" s="2830">
        <f t="shared" si="16"/>
        <v>42856</v>
      </c>
      <c r="M59" s="2830">
        <f t="shared" si="16"/>
        <v>42826</v>
      </c>
      <c r="N59" s="2830">
        <f t="shared" si="16"/>
        <v>42795</v>
      </c>
      <c r="O59" s="2830">
        <f t="shared" si="16"/>
        <v>42767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2560</v>
      </c>
      <c r="C83" s="2623" t="s">
        <v>2561</v>
      </c>
      <c r="D83" s="2623" t="s">
        <v>2562</v>
      </c>
      <c r="E83" s="2623" t="s">
        <v>2563</v>
      </c>
      <c r="F83" s="2623" t="s">
        <v>2564</v>
      </c>
      <c r="G83" s="2623" t="s">
        <v>2565</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673" t="s">
        <v>523</v>
      </c>
      <c r="D4" s="3674"/>
      <c r="E4" s="3710" t="s">
        <v>524</v>
      </c>
      <c r="F4" s="3711"/>
      <c r="G4" s="3673" t="s">
        <v>525</v>
      </c>
      <c r="H4" s="3674"/>
      <c r="I4" s="3673" t="s">
        <v>526</v>
      </c>
      <c r="J4" s="3674"/>
      <c r="K4" s="514" t="s">
        <v>527</v>
      </c>
      <c r="L4" s="2134"/>
      <c r="M4" s="2135"/>
      <c r="N4" s="2135"/>
      <c r="O4" s="2135"/>
      <c r="P4" s="3675" t="s">
        <v>528</v>
      </c>
      <c r="Q4" s="3676"/>
      <c r="R4" s="3681" t="s">
        <v>524</v>
      </c>
      <c r="S4" s="3682"/>
      <c r="T4" s="3681" t="s">
        <v>525</v>
      </c>
      <c r="U4" s="3682"/>
      <c r="V4" s="3668" t="s">
        <v>526</v>
      </c>
      <c r="W4" s="3668"/>
      <c r="X4" s="1568"/>
      <c r="Y4" s="3681" t="s">
        <v>528</v>
      </c>
      <c r="Z4" s="3682"/>
      <c r="AA4" s="3670" t="s">
        <v>524</v>
      </c>
      <c r="AB4" s="3671" t="s">
        <v>525</v>
      </c>
      <c r="AC4" s="3670" t="s">
        <v>526</v>
      </c>
    </row>
    <row r="5" spans="1:29" ht="15">
      <c r="A5" s="515"/>
      <c r="B5" s="516"/>
      <c r="C5" s="3691" t="s">
        <v>2928</v>
      </c>
      <c r="D5" s="3690"/>
      <c r="E5" s="3712" t="s">
        <v>2929</v>
      </c>
      <c r="F5" s="3713"/>
      <c r="G5" s="3691" t="s">
        <v>2930</v>
      </c>
      <c r="H5" s="3690"/>
      <c r="I5" s="3691" t="s">
        <v>2931</v>
      </c>
      <c r="J5" s="3690"/>
      <c r="K5" s="514"/>
      <c r="L5" s="2134"/>
      <c r="M5" s="2135"/>
      <c r="N5" s="2135"/>
      <c r="O5" s="2135"/>
      <c r="P5" s="3677"/>
      <c r="Q5" s="3678"/>
      <c r="R5" s="3683"/>
      <c r="S5" s="3684"/>
      <c r="T5" s="3683"/>
      <c r="U5" s="3684"/>
      <c r="V5" s="3668"/>
      <c r="W5" s="3668"/>
      <c r="X5" s="1568"/>
      <c r="Y5" s="3683"/>
      <c r="Z5" s="3684"/>
      <c r="AA5" s="3671"/>
      <c r="AB5" s="3671"/>
      <c r="AC5" s="3671"/>
    </row>
    <row r="6" spans="1:29" ht="15.75" thickBot="1">
      <c r="A6" s="517"/>
      <c r="B6" s="518"/>
      <c r="C6" s="3707" t="s">
        <v>2932</v>
      </c>
      <c r="D6" s="3688"/>
      <c r="E6" s="3708" t="s">
        <v>2932</v>
      </c>
      <c r="F6" s="3709"/>
      <c r="G6" s="3707" t="s">
        <v>2932</v>
      </c>
      <c r="H6" s="3688"/>
      <c r="I6" s="3707" t="s">
        <v>2932</v>
      </c>
      <c r="J6" s="3688"/>
      <c r="K6" s="514" t="s">
        <v>529</v>
      </c>
      <c r="L6" s="2134"/>
      <c r="M6" s="2135"/>
      <c r="N6" s="2135"/>
      <c r="O6" s="2135"/>
      <c r="P6" s="3679"/>
      <c r="Q6" s="3680"/>
      <c r="R6" s="3683"/>
      <c r="S6" s="3684"/>
      <c r="T6" s="3685"/>
      <c r="U6" s="3686"/>
      <c r="V6" s="3668"/>
      <c r="W6" s="3668"/>
      <c r="X6" s="1568"/>
      <c r="Y6" s="3685"/>
      <c r="Z6" s="3686"/>
      <c r="AA6" s="3672"/>
      <c r="AB6" s="3672"/>
      <c r="AC6" s="3672"/>
    </row>
    <row r="7" spans="1:29" s="1220" customFormat="1" ht="15.75" thickBot="1">
      <c r="A7" s="2938"/>
      <c r="B7" s="2945" t="s">
        <v>530</v>
      </c>
      <c r="C7" s="519">
        <f>'数据-取费表'!B2</f>
        <v>43159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700" t="s">
        <v>531</v>
      </c>
      <c r="Q7" s="3702"/>
      <c r="R7" s="1569" t="s">
        <v>8</v>
      </c>
      <c r="S7" s="1570">
        <f t="shared" ref="S7:S15" si="0">F7</f>
        <v>0</v>
      </c>
      <c r="T7" s="1569" t="s">
        <v>8</v>
      </c>
      <c r="U7" s="1570">
        <f t="shared" ref="U7:U15" si="1">H7</f>
        <v>0</v>
      </c>
      <c r="V7" s="1569" t="s">
        <v>8</v>
      </c>
      <c r="W7" s="1570">
        <f t="shared" ref="W7:W15" si="2">J7</f>
        <v>0</v>
      </c>
      <c r="X7" s="1571"/>
      <c r="Y7" s="3700" t="s">
        <v>531</v>
      </c>
      <c r="Z7" s="3701"/>
      <c r="AA7" s="1572" t="e">
        <f>D7/F7</f>
        <v>#DIV/0!</v>
      </c>
      <c r="AB7" s="1572" t="e">
        <f>D7/H7</f>
        <v>#DIV/0!</v>
      </c>
      <c r="AC7" s="1572"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700" t="s">
        <v>534</v>
      </c>
      <c r="Q8" s="3701"/>
      <c r="R8" s="1569" t="s">
        <v>8</v>
      </c>
      <c r="S8" s="1570">
        <f t="shared" si="0"/>
        <v>0</v>
      </c>
      <c r="T8" s="1569" t="s">
        <v>8</v>
      </c>
      <c r="U8" s="1570">
        <f t="shared" si="1"/>
        <v>0</v>
      </c>
      <c r="V8" s="1569" t="s">
        <v>8</v>
      </c>
      <c r="W8" s="1570">
        <f t="shared" si="2"/>
        <v>0</v>
      </c>
      <c r="X8" s="1571"/>
      <c r="Y8" s="3700" t="s">
        <v>534</v>
      </c>
      <c r="Z8" s="3701"/>
      <c r="AA8" s="1572" t="e">
        <f t="shared" ref="AA8:AA40" si="3">D8/F8</f>
        <v>#DIV/0!</v>
      </c>
      <c r="AB8" s="1572" t="e">
        <f t="shared" ref="AB8:AB40" si="4">D8/H8</f>
        <v>#DIV/0!</v>
      </c>
      <c r="AC8" s="1572" t="e">
        <f t="shared" ref="AC8:AC40" si="5">D8/J8</f>
        <v>#DIV/0!</v>
      </c>
    </row>
    <row r="9" spans="1:29" s="1220" customFormat="1" ht="15">
      <c r="A9" s="2940"/>
      <c r="B9" s="2947"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67" t="s">
        <v>536</v>
      </c>
      <c r="Q9" s="1151" t="str">
        <f t="shared" ref="Q9:Q15" si="6">B9</f>
        <v>用途</v>
      </c>
      <c r="R9" s="1569" t="s">
        <v>8</v>
      </c>
      <c r="S9" s="1570">
        <f t="shared" si="0"/>
        <v>100</v>
      </c>
      <c r="T9" s="1569" t="s">
        <v>8</v>
      </c>
      <c r="U9" s="1570">
        <f t="shared" si="1"/>
        <v>100</v>
      </c>
      <c r="V9" s="1569" t="s">
        <v>8</v>
      </c>
      <c r="W9" s="1570">
        <f t="shared" si="2"/>
        <v>100</v>
      </c>
      <c r="X9" s="1571"/>
      <c r="Y9" s="3613" t="s">
        <v>537</v>
      </c>
      <c r="Z9" s="1150" t="str">
        <f t="shared" ref="Z9:Z15" si="7">Q9</f>
        <v>用途</v>
      </c>
      <c r="AA9" s="1572">
        <f t="shared" si="3"/>
        <v>1</v>
      </c>
      <c r="AB9" s="1572">
        <f t="shared" si="4"/>
        <v>1</v>
      </c>
      <c r="AC9" s="1572">
        <f t="shared" si="5"/>
        <v>1</v>
      </c>
    </row>
    <row r="10" spans="1:29" s="1338" customFormat="1" ht="27">
      <c r="A10" s="2941"/>
      <c r="B10" s="2946"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
      <c r="A11" s="2942"/>
      <c r="B11" s="2946"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67"/>
      <c r="Q11" s="1151" t="str">
        <f t="shared" si="6"/>
        <v>容积率</v>
      </c>
      <c r="R11" s="1569" t="s">
        <v>8</v>
      </c>
      <c r="S11" s="1570" t="e">
        <f t="shared" si="0"/>
        <v>#N/A</v>
      </c>
      <c r="T11" s="1569" t="s">
        <v>8</v>
      </c>
      <c r="U11" s="1570" t="e">
        <f t="shared" si="1"/>
        <v>#N/A</v>
      </c>
      <c r="V11" s="1569" t="s">
        <v>8</v>
      </c>
      <c r="W11" s="1570" t="e">
        <f t="shared" si="2"/>
        <v>#N/A</v>
      </c>
      <c r="X11" s="1571"/>
      <c r="Y11" s="3613"/>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67"/>
      <c r="Q12" s="1151">
        <f t="shared" si="6"/>
        <v>111</v>
      </c>
      <c r="R12" s="1569" t="s">
        <v>8</v>
      </c>
      <c r="S12" s="1570">
        <f t="shared" si="0"/>
        <v>100</v>
      </c>
      <c r="T12" s="1569" t="s">
        <v>8</v>
      </c>
      <c r="U12" s="1570">
        <f t="shared" si="1"/>
        <v>100</v>
      </c>
      <c r="V12" s="1569" t="s">
        <v>8</v>
      </c>
      <c r="W12" s="1570">
        <f t="shared" si="2"/>
        <v>100</v>
      </c>
      <c r="X12" s="1571"/>
      <c r="Y12" s="3613"/>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67"/>
      <c r="Q13" s="1151">
        <f t="shared" si="6"/>
        <v>111</v>
      </c>
      <c r="R13" s="1569" t="s">
        <v>8</v>
      </c>
      <c r="S13" s="1570">
        <f t="shared" si="0"/>
        <v>100</v>
      </c>
      <c r="T13" s="1569" t="s">
        <v>8</v>
      </c>
      <c r="U13" s="1570">
        <f t="shared" si="1"/>
        <v>100</v>
      </c>
      <c r="V13" s="1569" t="s">
        <v>8</v>
      </c>
      <c r="W13" s="1570">
        <f t="shared" si="2"/>
        <v>100</v>
      </c>
      <c r="X13" s="1571"/>
      <c r="Y13" s="3613"/>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67"/>
      <c r="Q14" s="1151">
        <f t="shared" si="6"/>
        <v>111</v>
      </c>
      <c r="R14" s="1569" t="s">
        <v>8</v>
      </c>
      <c r="S14" s="1570">
        <f t="shared" si="0"/>
        <v>100</v>
      </c>
      <c r="T14" s="1569" t="s">
        <v>8</v>
      </c>
      <c r="U14" s="1570">
        <f t="shared" si="1"/>
        <v>100</v>
      </c>
      <c r="V14" s="1569" t="s">
        <v>8</v>
      </c>
      <c r="W14" s="1570">
        <f t="shared" si="2"/>
        <v>100</v>
      </c>
      <c r="X14" s="1571"/>
      <c r="Y14" s="3613"/>
      <c r="Z14" s="1150">
        <f t="shared" si="7"/>
        <v>111</v>
      </c>
      <c r="AA14" s="1572">
        <f t="shared" si="3"/>
        <v>1</v>
      </c>
      <c r="AB14" s="1572">
        <f t="shared" si="4"/>
        <v>1</v>
      </c>
      <c r="AC14" s="1572">
        <f t="shared" si="5"/>
        <v>1</v>
      </c>
    </row>
    <row r="15" spans="1:29" ht="57">
      <c r="A15" s="2936" t="s">
        <v>2756</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703" t="s">
        <v>541</v>
      </c>
      <c r="Q15" s="1573" t="str">
        <f t="shared" si="6"/>
        <v>产业集聚程度</v>
      </c>
      <c r="R15" s="1574" t="s">
        <v>8</v>
      </c>
      <c r="S15" s="1575">
        <f t="shared" si="0"/>
        <v>100</v>
      </c>
      <c r="T15" s="1574" t="s">
        <v>8</v>
      </c>
      <c r="U15" s="1575">
        <f t="shared" si="1"/>
        <v>100</v>
      </c>
      <c r="V15" s="1574" t="s">
        <v>8</v>
      </c>
      <c r="W15" s="1575">
        <f t="shared" si="2"/>
        <v>100</v>
      </c>
      <c r="X15" s="1568"/>
      <c r="Y15" s="3703"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704"/>
      <c r="Q16" s="1573"/>
      <c r="R16" s="1574"/>
      <c r="S16" s="1575"/>
      <c r="T16" s="1574"/>
      <c r="U16" s="1575"/>
      <c r="V16" s="1574"/>
      <c r="W16" s="1575"/>
      <c r="X16" s="1568"/>
      <c r="Y16" s="370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704"/>
      <c r="Q17" s="1573" t="str">
        <f>B17</f>
        <v>交通便捷度</v>
      </c>
      <c r="R17" s="1574" t="s">
        <v>8</v>
      </c>
      <c r="S17" s="1575">
        <f>F17</f>
        <v>100</v>
      </c>
      <c r="T17" s="1574" t="s">
        <v>8</v>
      </c>
      <c r="U17" s="1575">
        <f>H17</f>
        <v>100</v>
      </c>
      <c r="V17" s="1574" t="s">
        <v>8</v>
      </c>
      <c r="W17" s="1575">
        <f>J17</f>
        <v>100</v>
      </c>
      <c r="X17" s="1568"/>
      <c r="Y17" s="370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704"/>
      <c r="Q18" s="1573"/>
      <c r="R18" s="1574"/>
      <c r="S18" s="1575"/>
      <c r="T18" s="1574"/>
      <c r="U18" s="1575"/>
      <c r="V18" s="1574"/>
      <c r="W18" s="1575"/>
      <c r="X18" s="1568"/>
      <c r="Y18" s="3704"/>
      <c r="Z18" s="1576"/>
      <c r="AA18" s="1577">
        <v>1</v>
      </c>
      <c r="AB18" s="1577">
        <v>1</v>
      </c>
      <c r="AC18" s="1577">
        <v>1</v>
      </c>
    </row>
    <row r="19" spans="1:29" ht="42.75">
      <c r="A19" s="532"/>
      <c r="B19" s="2628"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704"/>
      <c r="Q19" s="1573" t="str">
        <f>B19</f>
        <v>公共配套设施</v>
      </c>
      <c r="R19" s="1574" t="s">
        <v>8</v>
      </c>
      <c r="S19" s="1575">
        <f>F19</f>
        <v>100</v>
      </c>
      <c r="T19" s="1574" t="s">
        <v>8</v>
      </c>
      <c r="U19" s="1575">
        <f>H19</f>
        <v>100</v>
      </c>
      <c r="V19" s="1574" t="s">
        <v>8</v>
      </c>
      <c r="W19" s="1575">
        <f>J19</f>
        <v>100</v>
      </c>
      <c r="X19" s="1568"/>
      <c r="Y19" s="370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704"/>
      <c r="Q20" s="1573"/>
      <c r="R20" s="1574"/>
      <c r="S20" s="1575"/>
      <c r="T20" s="1574"/>
      <c r="U20" s="1575"/>
      <c r="V20" s="1574"/>
      <c r="W20" s="1575"/>
      <c r="X20" s="1568"/>
      <c r="Y20" s="3704"/>
      <c r="Z20" s="1576"/>
      <c r="AA20" s="1577">
        <v>1</v>
      </c>
      <c r="AB20" s="1577">
        <v>1</v>
      </c>
      <c r="AC20" s="1577">
        <v>1</v>
      </c>
    </row>
    <row r="21" spans="1:29" ht="28.5">
      <c r="A21" s="532"/>
      <c r="B21" s="2616"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704"/>
      <c r="Q21" s="2604" t="str">
        <f>B21</f>
        <v>基础设施水平</v>
      </c>
      <c r="R21" s="1574" t="s">
        <v>8</v>
      </c>
      <c r="S21" s="1575">
        <f>F21</f>
        <v>100</v>
      </c>
      <c r="T21" s="1574" t="s">
        <v>8</v>
      </c>
      <c r="U21" s="1575">
        <f>H21</f>
        <v>100</v>
      </c>
      <c r="V21" s="1574" t="s">
        <v>8</v>
      </c>
      <c r="W21" s="1575">
        <f>J21</f>
        <v>100</v>
      </c>
      <c r="X21" s="2606"/>
      <c r="Y21" s="3704"/>
      <c r="Z21" s="2605"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7"/>
      <c r="L22" s="2143"/>
      <c r="M22" s="2135"/>
      <c r="N22" s="2135"/>
      <c r="O22" s="2142"/>
      <c r="P22" s="3704"/>
      <c r="Q22" s="2604"/>
      <c r="R22" s="1574"/>
      <c r="S22" s="1575"/>
      <c r="T22" s="1574"/>
      <c r="U22" s="1575"/>
      <c r="V22" s="1574"/>
      <c r="W22" s="1575"/>
      <c r="X22" s="2606"/>
      <c r="Y22" s="3704"/>
      <c r="Z22" s="2605"/>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704"/>
      <c r="Q23" s="1573" t="str">
        <f>B23</f>
        <v>环境质量</v>
      </c>
      <c r="R23" s="1574" t="s">
        <v>8</v>
      </c>
      <c r="S23" s="1575">
        <f>F23</f>
        <v>100</v>
      </c>
      <c r="T23" s="1574" t="s">
        <v>8</v>
      </c>
      <c r="U23" s="1575">
        <f>H23</f>
        <v>100</v>
      </c>
      <c r="V23" s="1574" t="s">
        <v>8</v>
      </c>
      <c r="W23" s="1575">
        <f>J23</f>
        <v>100</v>
      </c>
      <c r="X23" s="1568"/>
      <c r="Y23" s="370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704"/>
      <c r="Q24" s="1573"/>
      <c r="R24" s="1574"/>
      <c r="S24" s="1575"/>
      <c r="T24" s="1574"/>
      <c r="U24" s="1575"/>
      <c r="V24" s="1574"/>
      <c r="W24" s="1575"/>
      <c r="X24" s="1568"/>
      <c r="Y24" s="370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704"/>
      <c r="Q25" s="1573">
        <f>B25</f>
        <v>111</v>
      </c>
      <c r="R25" s="1574" t="s">
        <v>8</v>
      </c>
      <c r="S25" s="1575">
        <f>F25</f>
        <v>100</v>
      </c>
      <c r="T25" s="1574" t="s">
        <v>8</v>
      </c>
      <c r="U25" s="1575">
        <f>H25</f>
        <v>100</v>
      </c>
      <c r="V25" s="1574" t="s">
        <v>8</v>
      </c>
      <c r="W25" s="1575">
        <f>J25</f>
        <v>100</v>
      </c>
      <c r="X25" s="1568"/>
      <c r="Y25" s="370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704"/>
      <c r="Q26" s="1573">
        <f t="shared" ref="Q26:Q40" si="11">B26</f>
        <v>111</v>
      </c>
      <c r="R26" s="1574" t="s">
        <v>8</v>
      </c>
      <c r="S26" s="1575">
        <f>F26</f>
        <v>100</v>
      </c>
      <c r="T26" s="1574" t="s">
        <v>8</v>
      </c>
      <c r="U26" s="1575">
        <f>H26</f>
        <v>100</v>
      </c>
      <c r="V26" s="1574" t="s">
        <v>8</v>
      </c>
      <c r="W26" s="1575">
        <f>J26</f>
        <v>100</v>
      </c>
      <c r="X26" s="1568"/>
      <c r="Y26" s="370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704"/>
      <c r="Q27" s="1151">
        <f t="shared" si="11"/>
        <v>111</v>
      </c>
      <c r="R27" s="1569" t="s">
        <v>8</v>
      </c>
      <c r="S27" s="1570">
        <f>F27</f>
        <v>100</v>
      </c>
      <c r="T27" s="1569" t="s">
        <v>8</v>
      </c>
      <c r="U27" s="1570">
        <f>H27</f>
        <v>100</v>
      </c>
      <c r="V27" s="1569" t="s">
        <v>8</v>
      </c>
      <c r="W27" s="1570">
        <f>J27</f>
        <v>100</v>
      </c>
      <c r="X27" s="1571"/>
      <c r="Y27" s="370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704"/>
      <c r="Q28" s="1573">
        <f t="shared" si="11"/>
        <v>111</v>
      </c>
      <c r="R28" s="1574" t="s">
        <v>8</v>
      </c>
      <c r="S28" s="1575">
        <f t="shared" ref="S28:S40" si="12">F28</f>
        <v>100</v>
      </c>
      <c r="T28" s="1574" t="s">
        <v>8</v>
      </c>
      <c r="U28" s="1575">
        <f t="shared" ref="U28:U40" si="13">H28</f>
        <v>100</v>
      </c>
      <c r="V28" s="1574" t="s">
        <v>8</v>
      </c>
      <c r="W28" s="1575">
        <f t="shared" ref="W28:W40" si="14">J28</f>
        <v>100</v>
      </c>
      <c r="X28" s="1568"/>
      <c r="Y28" s="3704"/>
      <c r="Z28" s="1576">
        <f t="shared" ref="Z28:Z40" si="15">Q28</f>
        <v>111</v>
      </c>
      <c r="AA28" s="1577">
        <f t="shared" si="3"/>
        <v>1</v>
      </c>
      <c r="AB28" s="1577">
        <f t="shared" si="4"/>
        <v>1</v>
      </c>
      <c r="AC28" s="1577">
        <f t="shared" si="5"/>
        <v>1</v>
      </c>
    </row>
    <row r="29" spans="1:29" ht="15">
      <c r="A29" s="2933" t="s">
        <v>2757</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705" t="s">
        <v>551</v>
      </c>
      <c r="Q29" s="1573" t="str">
        <f t="shared" si="11"/>
        <v>建筑类型</v>
      </c>
      <c r="R29" s="1574" t="s">
        <v>8</v>
      </c>
      <c r="S29" s="1575">
        <f t="shared" si="12"/>
        <v>100</v>
      </c>
      <c r="T29" s="1574" t="s">
        <v>8</v>
      </c>
      <c r="U29" s="1575">
        <f t="shared" si="13"/>
        <v>100</v>
      </c>
      <c r="V29" s="1574" t="s">
        <v>8</v>
      </c>
      <c r="W29" s="1575">
        <f t="shared" si="14"/>
        <v>100</v>
      </c>
      <c r="X29" s="1568"/>
      <c r="Y29" s="3706"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706"/>
      <c r="Q30" s="1606" t="str">
        <f t="shared" si="11"/>
        <v>项目建筑规模</v>
      </c>
      <c r="R30" s="1578" t="s">
        <v>8</v>
      </c>
      <c r="S30" s="1579" t="e">
        <f t="shared" si="12"/>
        <v>#N/A</v>
      </c>
      <c r="T30" s="1578" t="s">
        <v>8</v>
      </c>
      <c r="U30" s="1579" t="e">
        <f t="shared" si="13"/>
        <v>#N/A</v>
      </c>
      <c r="V30" s="1578" t="s">
        <v>8</v>
      </c>
      <c r="W30" s="1579" t="e">
        <f t="shared" si="14"/>
        <v>#N/A</v>
      </c>
      <c r="X30" s="1580"/>
      <c r="Y30" s="3706"/>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706"/>
      <c r="Q31" s="1573" t="str">
        <f t="shared" si="11"/>
        <v>建筑结构</v>
      </c>
      <c r="R31" s="1574" t="s">
        <v>8</v>
      </c>
      <c r="S31" s="1575">
        <f t="shared" si="12"/>
        <v>100</v>
      </c>
      <c r="T31" s="1574" t="s">
        <v>8</v>
      </c>
      <c r="U31" s="1575">
        <f t="shared" si="13"/>
        <v>100</v>
      </c>
      <c r="V31" s="1574" t="s">
        <v>8</v>
      </c>
      <c r="W31" s="1575">
        <f t="shared" si="14"/>
        <v>100</v>
      </c>
      <c r="X31" s="1568"/>
      <c r="Y31" s="3706"/>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706"/>
      <c r="Q32" s="1573" t="str">
        <f t="shared" si="11"/>
        <v>公共部分装修</v>
      </c>
      <c r="R32" s="1574" t="s">
        <v>8</v>
      </c>
      <c r="S32" s="1575">
        <f t="shared" si="12"/>
        <v>100</v>
      </c>
      <c r="T32" s="1574" t="s">
        <v>8</v>
      </c>
      <c r="U32" s="1575">
        <f t="shared" si="13"/>
        <v>100</v>
      </c>
      <c r="V32" s="1574" t="s">
        <v>8</v>
      </c>
      <c r="W32" s="1575">
        <f t="shared" si="14"/>
        <v>100</v>
      </c>
      <c r="X32" s="1568"/>
      <c r="Y32" s="3706"/>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706"/>
      <c r="Q33" s="1573" t="str">
        <f t="shared" si="11"/>
        <v>成新度</v>
      </c>
      <c r="R33" s="1574" t="s">
        <v>8</v>
      </c>
      <c r="S33" s="1575" t="e">
        <f t="shared" si="12"/>
        <v>#N/A</v>
      </c>
      <c r="T33" s="1574" t="s">
        <v>8</v>
      </c>
      <c r="U33" s="1575" t="e">
        <f t="shared" si="13"/>
        <v>#N/A</v>
      </c>
      <c r="V33" s="1574" t="s">
        <v>8</v>
      </c>
      <c r="W33" s="1575" t="e">
        <f t="shared" si="14"/>
        <v>#N/A</v>
      </c>
      <c r="X33" s="1568"/>
      <c r="Y33" s="3706"/>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706"/>
      <c r="Q34" s="1151" t="str">
        <f t="shared" si="11"/>
        <v>物业管理</v>
      </c>
      <c r="R34" s="1569" t="s">
        <v>8</v>
      </c>
      <c r="S34" s="1570">
        <f t="shared" si="12"/>
        <v>100</v>
      </c>
      <c r="T34" s="1569" t="s">
        <v>8</v>
      </c>
      <c r="U34" s="1570">
        <f t="shared" si="13"/>
        <v>100</v>
      </c>
      <c r="V34" s="1569" t="s">
        <v>8</v>
      </c>
      <c r="W34" s="1570">
        <f t="shared" si="14"/>
        <v>100</v>
      </c>
      <c r="X34" s="1571"/>
      <c r="Y34" s="3706"/>
      <c r="Z34" s="1150" t="str">
        <f t="shared" si="15"/>
        <v>物业管理</v>
      </c>
      <c r="AA34" s="1572">
        <f t="shared" si="3"/>
        <v>1</v>
      </c>
      <c r="AB34" s="1572">
        <f t="shared" si="4"/>
        <v>1</v>
      </c>
      <c r="AC34" s="1572">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706" t="s">
        <v>551</v>
      </c>
      <c r="Q35" s="1573" t="str">
        <f t="shared" si="11"/>
        <v>市政基础设施</v>
      </c>
      <c r="R35" s="1574" t="s">
        <v>8</v>
      </c>
      <c r="S35" s="1575">
        <f t="shared" si="12"/>
        <v>100</v>
      </c>
      <c r="T35" s="1574" t="s">
        <v>8</v>
      </c>
      <c r="U35" s="1575">
        <f t="shared" si="13"/>
        <v>100</v>
      </c>
      <c r="V35" s="1574" t="s">
        <v>8</v>
      </c>
      <c r="W35" s="1575">
        <f t="shared" si="14"/>
        <v>100</v>
      </c>
      <c r="X35" s="1568"/>
      <c r="Y35" s="3706"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706"/>
      <c r="Q36" s="1573" t="str">
        <f t="shared" si="11"/>
        <v>内部装修</v>
      </c>
      <c r="R36" s="1574" t="s">
        <v>8</v>
      </c>
      <c r="S36" s="1575">
        <f t="shared" si="12"/>
        <v>100</v>
      </c>
      <c r="T36" s="1574" t="s">
        <v>8</v>
      </c>
      <c r="U36" s="1575">
        <f t="shared" si="13"/>
        <v>100</v>
      </c>
      <c r="V36" s="1574" t="s">
        <v>8</v>
      </c>
      <c r="W36" s="1575">
        <f t="shared" si="14"/>
        <v>100</v>
      </c>
      <c r="X36" s="1568"/>
      <c r="Y36" s="3706"/>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706"/>
      <c r="Q37" s="1573" t="str">
        <f t="shared" si="11"/>
        <v>内部装修状况</v>
      </c>
      <c r="R37" s="1574" t="s">
        <v>8</v>
      </c>
      <c r="S37" s="1575">
        <f t="shared" si="12"/>
        <v>100</v>
      </c>
      <c r="T37" s="1574" t="s">
        <v>8</v>
      </c>
      <c r="U37" s="1575">
        <f t="shared" si="13"/>
        <v>100</v>
      </c>
      <c r="V37" s="1574" t="s">
        <v>8</v>
      </c>
      <c r="W37" s="1575">
        <f t="shared" si="14"/>
        <v>100</v>
      </c>
      <c r="X37" s="1568"/>
      <c r="Y37" s="370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706"/>
      <c r="Q38" s="1606">
        <f t="shared" si="11"/>
        <v>111</v>
      </c>
      <c r="R38" s="1578" t="s">
        <v>8</v>
      </c>
      <c r="S38" s="1579">
        <f t="shared" si="12"/>
        <v>100</v>
      </c>
      <c r="T38" s="1578" t="s">
        <v>8</v>
      </c>
      <c r="U38" s="1579">
        <f t="shared" si="13"/>
        <v>100</v>
      </c>
      <c r="V38" s="1578" t="s">
        <v>8</v>
      </c>
      <c r="W38" s="1579">
        <f t="shared" si="14"/>
        <v>100</v>
      </c>
      <c r="X38" s="1580"/>
      <c r="Y38" s="370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706"/>
      <c r="Q39" s="1573">
        <f t="shared" si="11"/>
        <v>111</v>
      </c>
      <c r="R39" s="1574" t="s">
        <v>8</v>
      </c>
      <c r="S39" s="1575">
        <f t="shared" si="12"/>
        <v>100</v>
      </c>
      <c r="T39" s="1574" t="s">
        <v>8</v>
      </c>
      <c r="U39" s="1575">
        <f t="shared" si="13"/>
        <v>100</v>
      </c>
      <c r="V39" s="1574" t="s">
        <v>8</v>
      </c>
      <c r="W39" s="1575">
        <f t="shared" si="14"/>
        <v>100</v>
      </c>
      <c r="X39" s="1568"/>
      <c r="Y39" s="370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84"/>
      <c r="Q40" s="1573">
        <f t="shared" si="11"/>
        <v>111</v>
      </c>
      <c r="R40" s="1574" t="s">
        <v>8</v>
      </c>
      <c r="S40" s="1575">
        <f t="shared" si="12"/>
        <v>100</v>
      </c>
      <c r="T40" s="1574" t="s">
        <v>8</v>
      </c>
      <c r="U40" s="1575">
        <f t="shared" si="13"/>
        <v>100</v>
      </c>
      <c r="V40" s="1574" t="s">
        <v>8</v>
      </c>
      <c r="W40" s="1575">
        <f t="shared" si="14"/>
        <v>100</v>
      </c>
      <c r="X40" s="1568"/>
      <c r="Y40" s="3784"/>
      <c r="Z40" s="1576">
        <f t="shared" si="15"/>
        <v>111</v>
      </c>
      <c r="AA40" s="1577">
        <f t="shared" si="3"/>
        <v>1</v>
      </c>
      <c r="AB40" s="1577">
        <f t="shared" si="4"/>
        <v>1</v>
      </c>
      <c r="AC40" s="1577">
        <f t="shared" si="5"/>
        <v>1</v>
      </c>
    </row>
    <row r="41" spans="1:29" ht="15">
      <c r="A41" s="607" t="s">
        <v>737</v>
      </c>
      <c r="B41" s="887"/>
      <c r="C41" s="2652" t="s">
        <v>1</v>
      </c>
      <c r="D41" s="2653"/>
      <c r="E41" s="2654"/>
      <c r="F41" s="2655"/>
      <c r="G41" s="2656"/>
      <c r="H41" s="2657"/>
      <c r="I41" s="2654"/>
      <c r="J41" s="2657"/>
      <c r="K41" s="1612"/>
      <c r="L41" s="2145"/>
      <c r="M41" s="2146"/>
      <c r="N41" s="2135"/>
      <c r="O41" s="2146"/>
      <c r="P41" s="3667" t="str">
        <f>A41</f>
        <v>成交单价（元/平方米）</v>
      </c>
      <c r="Q41" s="3667"/>
      <c r="R41" s="3783">
        <f>E41</f>
        <v>0</v>
      </c>
      <c r="S41" s="3783"/>
      <c r="T41" s="3783">
        <f>G41</f>
        <v>0</v>
      </c>
      <c r="U41" s="3783"/>
      <c r="V41" s="3783">
        <f>I41</f>
        <v>0</v>
      </c>
      <c r="W41" s="3783"/>
      <c r="X41" s="1560"/>
      <c r="Y41" s="1582"/>
      <c r="Z41" s="1560"/>
      <c r="AA41" s="1560"/>
      <c r="AB41" s="1560"/>
      <c r="AC41" s="1560"/>
    </row>
    <row r="42" spans="1:29" ht="15.75" thickBot="1">
      <c r="A42" s="615" t="s">
        <v>2762</v>
      </c>
      <c r="B42" s="888"/>
      <c r="C42" s="2658" t="e">
        <f>R43</f>
        <v>#DIV/0!</v>
      </c>
      <c r="D42" s="2659"/>
      <c r="E42" s="2660" t="e">
        <f>R42</f>
        <v>#DIV/0!</v>
      </c>
      <c r="F42" s="2660"/>
      <c r="G42" s="2658" t="e">
        <f>T42</f>
        <v>#DIV/0!</v>
      </c>
      <c r="H42" s="2659"/>
      <c r="I42" s="2660" t="e">
        <f>V42</f>
        <v>#DIV/0!</v>
      </c>
      <c r="J42" s="2659"/>
      <c r="K42" s="1613"/>
      <c r="L42" s="2145"/>
      <c r="M42" s="2146"/>
      <c r="N42" s="2135"/>
      <c r="O42" s="2146"/>
      <c r="P42" s="3667" t="str">
        <f>A42</f>
        <v>比较价格（元/平方米）</v>
      </c>
      <c r="Q42" s="3667"/>
      <c r="R42" s="3783" t="e">
        <f>IF(F1="售价",ROUND(PRODUCT(R41,AA7:AA40),0),ROUND(PRODUCT(R41,AA7:AA40),1))</f>
        <v>#DIV/0!</v>
      </c>
      <c r="S42" s="3783"/>
      <c r="T42" s="3783" t="e">
        <f>IF(F1="售价",ROUND(PRODUCT(T41,AB7:AB40),0),ROUND(PRODUCT(T41,AB7:AB40),1))</f>
        <v>#DIV/0!</v>
      </c>
      <c r="U42" s="3783"/>
      <c r="V42" s="3783" t="e">
        <f>IF(F1="售价",ROUND(PRODUCT(V41,AC7:AC40),0),ROUND(PRODUCT(V41,AC7:AC40),1))</f>
        <v>#DIV/0!</v>
      </c>
      <c r="W42" s="3783"/>
      <c r="X42" s="1560"/>
      <c r="Y42" s="1560"/>
      <c r="Z42" s="1560"/>
      <c r="AA42" s="1560"/>
      <c r="AB42" s="1560"/>
      <c r="AC42" s="1560"/>
    </row>
    <row r="43" spans="1:29" ht="15.75" thickBot="1">
      <c r="A43" s="621" t="s">
        <v>2934</v>
      </c>
      <c r="B43" s="622"/>
      <c r="C43" s="2661" t="e">
        <f>R43</f>
        <v>#DIV/0!</v>
      </c>
      <c r="D43" s="2661"/>
      <c r="E43" s="2661"/>
      <c r="F43" s="2661"/>
      <c r="G43" s="2661"/>
      <c r="H43" s="2661"/>
      <c r="I43" s="2661"/>
      <c r="J43" s="2661"/>
      <c r="K43" s="1614"/>
      <c r="L43" s="2145"/>
      <c r="M43" s="2146"/>
      <c r="N43" s="2146"/>
      <c r="O43" s="2146"/>
      <c r="P43" s="3664" t="str">
        <f>A43</f>
        <v>估价对象XX用房的比较价格（楼面单价，元/平方米）</v>
      </c>
      <c r="Q43" s="3665"/>
      <c r="R43" s="3782" t="e">
        <f>IF(F1="售价",ROUND(AVERAGE(R42:V42),0),ROUND(AVERAGE(R42:V42),1))</f>
        <v>#DIV/0!</v>
      </c>
      <c r="S43" s="3782"/>
      <c r="T43" s="3782"/>
      <c r="U43" s="3782"/>
      <c r="V43" s="3782"/>
      <c r="W43" s="3782"/>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8" t="str">
        <f>YEAR(C7)&amp;"-"&amp;MONTH(C7)</f>
        <v>2018-2</v>
      </c>
      <c r="D52" s="2830">
        <f>EDATE(C52,-1)</f>
        <v>43101</v>
      </c>
      <c r="E52" s="2830">
        <f t="shared" ref="E52:O52" si="16">EDATE(D52,-1)</f>
        <v>43070</v>
      </c>
      <c r="F52" s="2830">
        <f t="shared" si="16"/>
        <v>43040</v>
      </c>
      <c r="G52" s="2830">
        <f t="shared" si="16"/>
        <v>43009</v>
      </c>
      <c r="H52" s="2830">
        <f t="shared" si="16"/>
        <v>42979</v>
      </c>
      <c r="I52" s="2830">
        <f t="shared" si="16"/>
        <v>42948</v>
      </c>
      <c r="J52" s="2830">
        <f t="shared" si="16"/>
        <v>42917</v>
      </c>
      <c r="K52" s="2830">
        <f t="shared" si="16"/>
        <v>42887</v>
      </c>
      <c r="L52" s="2830">
        <f t="shared" si="16"/>
        <v>42856</v>
      </c>
      <c r="M52" s="2830">
        <f t="shared" si="16"/>
        <v>42826</v>
      </c>
      <c r="N52" s="2830">
        <f t="shared" si="16"/>
        <v>42795</v>
      </c>
      <c r="O52" s="2830">
        <f t="shared" si="16"/>
        <v>42767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2560</v>
      </c>
      <c r="C76" s="2623" t="s">
        <v>2561</v>
      </c>
      <c r="D76" s="2623" t="s">
        <v>2562</v>
      </c>
      <c r="E76" s="2623" t="s">
        <v>2563</v>
      </c>
      <c r="F76" s="2623" t="s">
        <v>2564</v>
      </c>
      <c r="G76" s="2623"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73" t="s">
        <v>799</v>
      </c>
      <c r="D4" s="3674"/>
      <c r="E4" s="3673" t="s">
        <v>800</v>
      </c>
      <c r="F4" s="3674"/>
      <c r="G4" s="3673" t="s">
        <v>801</v>
      </c>
      <c r="H4" s="3674"/>
      <c r="I4" s="3673" t="s">
        <v>802</v>
      </c>
      <c r="J4" s="3674"/>
      <c r="K4" s="514" t="s">
        <v>803</v>
      </c>
      <c r="L4" s="2134"/>
      <c r="M4" s="2135"/>
      <c r="N4" s="2135"/>
      <c r="O4" s="2135"/>
      <c r="P4" s="3675" t="s">
        <v>804</v>
      </c>
      <c r="Q4" s="3676"/>
      <c r="R4" s="3681" t="s">
        <v>800</v>
      </c>
      <c r="S4" s="3682"/>
      <c r="T4" s="3681" t="s">
        <v>801</v>
      </c>
      <c r="U4" s="3682"/>
      <c r="V4" s="3668" t="s">
        <v>802</v>
      </c>
      <c r="W4" s="3668"/>
      <c r="X4" s="1568"/>
      <c r="Y4" s="3681" t="s">
        <v>804</v>
      </c>
      <c r="Z4" s="3682"/>
      <c r="AA4" s="3670" t="s">
        <v>800</v>
      </c>
      <c r="AB4" s="3671" t="s">
        <v>801</v>
      </c>
      <c r="AC4" s="3670" t="s">
        <v>802</v>
      </c>
    </row>
    <row r="5" spans="1:29" ht="15">
      <c r="A5" s="515"/>
      <c r="B5" s="516"/>
      <c r="C5" s="3691" t="s">
        <v>2928</v>
      </c>
      <c r="D5" s="3690"/>
      <c r="E5" s="3691" t="s">
        <v>2929</v>
      </c>
      <c r="F5" s="3690"/>
      <c r="G5" s="3691" t="s">
        <v>2930</v>
      </c>
      <c r="H5" s="3690"/>
      <c r="I5" s="3691" t="s">
        <v>2931</v>
      </c>
      <c r="J5" s="3690"/>
      <c r="K5" s="514"/>
      <c r="L5" s="2134"/>
      <c r="M5" s="2135"/>
      <c r="N5" s="2135"/>
      <c r="O5" s="2135"/>
      <c r="P5" s="3677"/>
      <c r="Q5" s="3678"/>
      <c r="R5" s="3683"/>
      <c r="S5" s="3684"/>
      <c r="T5" s="3683"/>
      <c r="U5" s="3684"/>
      <c r="V5" s="3668"/>
      <c r="W5" s="3668"/>
      <c r="X5" s="1568"/>
      <c r="Y5" s="3683"/>
      <c r="Z5" s="3684"/>
      <c r="AA5" s="3671"/>
      <c r="AB5" s="3671"/>
      <c r="AC5" s="3671"/>
    </row>
    <row r="6" spans="1:29" ht="15.75" thickBot="1">
      <c r="A6" s="517"/>
      <c r="B6" s="518"/>
      <c r="C6" s="3707" t="s">
        <v>2932</v>
      </c>
      <c r="D6" s="3688"/>
      <c r="E6" s="3692" t="s">
        <v>2932</v>
      </c>
      <c r="F6" s="3693"/>
      <c r="G6" s="3707" t="s">
        <v>2932</v>
      </c>
      <c r="H6" s="3688"/>
      <c r="I6" s="3707" t="s">
        <v>2932</v>
      </c>
      <c r="J6" s="3688"/>
      <c r="K6" s="514" t="s">
        <v>529</v>
      </c>
      <c r="L6" s="2134"/>
      <c r="M6" s="2135"/>
      <c r="N6" s="2135"/>
      <c r="O6" s="2135"/>
      <c r="P6" s="3679"/>
      <c r="Q6" s="3680"/>
      <c r="R6" s="3683"/>
      <c r="S6" s="3684"/>
      <c r="T6" s="3685"/>
      <c r="U6" s="3686"/>
      <c r="V6" s="3668"/>
      <c r="W6" s="3668"/>
      <c r="X6" s="1568"/>
      <c r="Y6" s="3685"/>
      <c r="Z6" s="3686"/>
      <c r="AA6" s="3672"/>
      <c r="AB6" s="3672"/>
      <c r="AC6" s="3672"/>
    </row>
    <row r="7" spans="1:29" s="1220" customFormat="1" ht="15.75" thickBot="1">
      <c r="A7" s="2938"/>
      <c r="B7" s="2945" t="s">
        <v>530</v>
      </c>
      <c r="C7" s="519">
        <f>'数据-取费表'!B2</f>
        <v>43159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700" t="s">
        <v>531</v>
      </c>
      <c r="Q7" s="3702"/>
      <c r="R7" s="1569" t="s">
        <v>8</v>
      </c>
      <c r="S7" s="1570">
        <f t="shared" ref="S7:S14" si="0">F7</f>
        <v>0</v>
      </c>
      <c r="T7" s="1569" t="s">
        <v>8</v>
      </c>
      <c r="U7" s="1570">
        <f t="shared" ref="U7:U14" si="1">H7</f>
        <v>0</v>
      </c>
      <c r="V7" s="1569" t="s">
        <v>8</v>
      </c>
      <c r="W7" s="1570">
        <f t="shared" ref="W7:W14" si="2">J7</f>
        <v>0</v>
      </c>
      <c r="X7" s="1571"/>
      <c r="Y7" s="3700" t="s">
        <v>531</v>
      </c>
      <c r="Z7" s="3701"/>
      <c r="AA7" s="1572" t="e">
        <f>D7/F7</f>
        <v>#DIV/0!</v>
      </c>
      <c r="AB7" s="1572" t="e">
        <f>D7/H7</f>
        <v>#DIV/0!</v>
      </c>
      <c r="AC7" s="1572"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700" t="s">
        <v>534</v>
      </c>
      <c r="Q8" s="3701"/>
      <c r="R8" s="1569" t="s">
        <v>8</v>
      </c>
      <c r="S8" s="1570">
        <f t="shared" si="0"/>
        <v>0</v>
      </c>
      <c r="T8" s="1569" t="s">
        <v>8</v>
      </c>
      <c r="U8" s="1570">
        <f t="shared" si="1"/>
        <v>0</v>
      </c>
      <c r="V8" s="1569" t="s">
        <v>8</v>
      </c>
      <c r="W8" s="1570">
        <f t="shared" si="2"/>
        <v>0</v>
      </c>
      <c r="X8" s="1571"/>
      <c r="Y8" s="3700" t="s">
        <v>534</v>
      </c>
      <c r="Z8" s="3701"/>
      <c r="AA8" s="1572" t="e">
        <f t="shared" ref="AA8:AA36" si="3">D8/F8</f>
        <v>#DIV/0!</v>
      </c>
      <c r="AB8" s="1572" t="e">
        <f t="shared" ref="AB8:AB36" si="4">D8/H8</f>
        <v>#DIV/0!</v>
      </c>
      <c r="AC8" s="1572" t="e">
        <f t="shared" ref="AC8:AC36" si="5">D8/J8</f>
        <v>#DIV/0!</v>
      </c>
    </row>
    <row r="9" spans="1:29" s="1220" customFormat="1" ht="15">
      <c r="A9" s="2940"/>
      <c r="B9" s="2947"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67" t="s">
        <v>536</v>
      </c>
      <c r="Q9" s="1151" t="str">
        <f t="shared" ref="Q9:Q14" si="6">B9</f>
        <v>用途</v>
      </c>
      <c r="R9" s="1569" t="s">
        <v>8</v>
      </c>
      <c r="S9" s="1570">
        <f t="shared" si="0"/>
        <v>100</v>
      </c>
      <c r="T9" s="1569" t="s">
        <v>8</v>
      </c>
      <c r="U9" s="1570">
        <f t="shared" si="1"/>
        <v>100</v>
      </c>
      <c r="V9" s="1569" t="s">
        <v>8</v>
      </c>
      <c r="W9" s="1570">
        <f t="shared" si="2"/>
        <v>100</v>
      </c>
      <c r="X9" s="1571"/>
      <c r="Y9" s="3613" t="s">
        <v>537</v>
      </c>
      <c r="Z9" s="1150" t="str">
        <f t="shared" ref="Z9:Z14" si="7">Q9</f>
        <v>用途</v>
      </c>
      <c r="AA9" s="1572">
        <f t="shared" si="3"/>
        <v>1</v>
      </c>
      <c r="AB9" s="1572">
        <f t="shared" si="4"/>
        <v>1</v>
      </c>
      <c r="AC9" s="1572">
        <f t="shared" si="5"/>
        <v>1</v>
      </c>
    </row>
    <row r="10" spans="1:29" s="1338" customFormat="1" ht="27">
      <c r="A10" s="2941"/>
      <c r="B10" s="2946"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67"/>
      <c r="Q11" s="1151">
        <f t="shared" si="6"/>
        <v>111</v>
      </c>
      <c r="R11" s="1569" t="s">
        <v>8</v>
      </c>
      <c r="S11" s="1570">
        <f t="shared" si="0"/>
        <v>100</v>
      </c>
      <c r="T11" s="1569" t="s">
        <v>8</v>
      </c>
      <c r="U11" s="1570">
        <f t="shared" si="1"/>
        <v>100</v>
      </c>
      <c r="V11" s="1569" t="s">
        <v>8</v>
      </c>
      <c r="W11" s="1570">
        <f t="shared" si="2"/>
        <v>100</v>
      </c>
      <c r="X11" s="1571"/>
      <c r="Y11" s="3613"/>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67"/>
      <c r="Q12" s="1151">
        <f t="shared" si="6"/>
        <v>111</v>
      </c>
      <c r="R12" s="1569" t="s">
        <v>8</v>
      </c>
      <c r="S12" s="1570">
        <f t="shared" si="0"/>
        <v>100</v>
      </c>
      <c r="T12" s="1569" t="s">
        <v>8</v>
      </c>
      <c r="U12" s="1570">
        <f t="shared" si="1"/>
        <v>100</v>
      </c>
      <c r="V12" s="1569" t="s">
        <v>8</v>
      </c>
      <c r="W12" s="1570">
        <f t="shared" si="2"/>
        <v>100</v>
      </c>
      <c r="X12" s="1571"/>
      <c r="Y12" s="3613"/>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67"/>
      <c r="Q13" s="1151">
        <f t="shared" si="6"/>
        <v>111</v>
      </c>
      <c r="R13" s="1569" t="s">
        <v>8</v>
      </c>
      <c r="S13" s="1570">
        <f t="shared" si="0"/>
        <v>100</v>
      </c>
      <c r="T13" s="1569" t="s">
        <v>8</v>
      </c>
      <c r="U13" s="1570">
        <f t="shared" si="1"/>
        <v>100</v>
      </c>
      <c r="V13" s="1569" t="s">
        <v>8</v>
      </c>
      <c r="W13" s="1570">
        <f t="shared" si="2"/>
        <v>100</v>
      </c>
      <c r="X13" s="1571"/>
      <c r="Y13" s="3613"/>
      <c r="Z13" s="1150">
        <f t="shared" si="7"/>
        <v>111</v>
      </c>
      <c r="AA13" s="1572">
        <f t="shared" si="3"/>
        <v>1</v>
      </c>
      <c r="AB13" s="1572">
        <f t="shared" si="4"/>
        <v>1</v>
      </c>
      <c r="AC13" s="1572">
        <f t="shared" si="5"/>
        <v>1</v>
      </c>
    </row>
    <row r="14" spans="1:29" ht="85.5">
      <c r="A14" s="2936" t="s">
        <v>2756</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703" t="s">
        <v>541</v>
      </c>
      <c r="Q14" s="1573" t="str">
        <f t="shared" si="6"/>
        <v>交通便捷度</v>
      </c>
      <c r="R14" s="1574" t="s">
        <v>8</v>
      </c>
      <c r="S14" s="1575">
        <f t="shared" si="0"/>
        <v>100</v>
      </c>
      <c r="T14" s="1574" t="s">
        <v>8</v>
      </c>
      <c r="U14" s="1575">
        <f t="shared" si="1"/>
        <v>100</v>
      </c>
      <c r="V14" s="1574" t="s">
        <v>8</v>
      </c>
      <c r="W14" s="1575">
        <f t="shared" si="2"/>
        <v>100</v>
      </c>
      <c r="X14" s="1568"/>
      <c r="Y14" s="3703"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704"/>
      <c r="Q15" s="1573"/>
      <c r="R15" s="1574"/>
      <c r="S15" s="1575"/>
      <c r="T15" s="1574"/>
      <c r="U15" s="1575"/>
      <c r="V15" s="1574"/>
      <c r="W15" s="1575"/>
      <c r="X15" s="1568"/>
      <c r="Y15" s="3704"/>
      <c r="Z15" s="1576"/>
      <c r="AA15" s="1577">
        <v>1</v>
      </c>
      <c r="AB15" s="1577">
        <v>1</v>
      </c>
      <c r="AC15" s="1577">
        <v>1</v>
      </c>
    </row>
    <row r="16" spans="1:29" ht="42.75">
      <c r="A16" s="515"/>
      <c r="B16" s="2628"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704"/>
      <c r="Q16" s="1573" t="str">
        <f>B16</f>
        <v>公共配套设施</v>
      </c>
      <c r="R16" s="1574" t="s">
        <v>8</v>
      </c>
      <c r="S16" s="1575">
        <f>F16</f>
        <v>100</v>
      </c>
      <c r="T16" s="1574" t="s">
        <v>8</v>
      </c>
      <c r="U16" s="1575">
        <f>H16</f>
        <v>100</v>
      </c>
      <c r="V16" s="1574" t="s">
        <v>8</v>
      </c>
      <c r="W16" s="1575">
        <f>J16</f>
        <v>100</v>
      </c>
      <c r="X16" s="1568"/>
      <c r="Y16" s="370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704"/>
      <c r="Q17" s="1573"/>
      <c r="R17" s="1574"/>
      <c r="S17" s="1575"/>
      <c r="T17" s="1574"/>
      <c r="U17" s="1575"/>
      <c r="V17" s="1574"/>
      <c r="W17" s="1575"/>
      <c r="X17" s="1568"/>
      <c r="Y17" s="3704"/>
      <c r="Z17" s="1576"/>
      <c r="AA17" s="1577">
        <v>1</v>
      </c>
      <c r="AB17" s="1577">
        <v>1</v>
      </c>
      <c r="AC17" s="1577">
        <v>1</v>
      </c>
    </row>
    <row r="18" spans="1:29" ht="28.5">
      <c r="A18" s="515"/>
      <c r="B18" s="2616"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704"/>
      <c r="Q18" s="2604" t="str">
        <f>B18</f>
        <v>基础设施水平</v>
      </c>
      <c r="R18" s="1574" t="s">
        <v>8</v>
      </c>
      <c r="S18" s="1575">
        <f>F18</f>
        <v>100</v>
      </c>
      <c r="T18" s="1574" t="s">
        <v>8</v>
      </c>
      <c r="U18" s="1575">
        <f>H18</f>
        <v>100</v>
      </c>
      <c r="V18" s="1574" t="s">
        <v>8</v>
      </c>
      <c r="W18" s="1575">
        <f>J18</f>
        <v>100</v>
      </c>
      <c r="X18" s="2606"/>
      <c r="Y18" s="3704"/>
      <c r="Z18" s="2605"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7"/>
      <c r="L19" s="2143"/>
      <c r="M19" s="2135"/>
      <c r="N19" s="2135"/>
      <c r="O19" s="2142"/>
      <c r="P19" s="3704"/>
      <c r="Q19" s="2604"/>
      <c r="R19" s="1574"/>
      <c r="S19" s="1575"/>
      <c r="T19" s="1574"/>
      <c r="U19" s="1575"/>
      <c r="V19" s="1574"/>
      <c r="W19" s="1575"/>
      <c r="X19" s="2606"/>
      <c r="Y19" s="3704"/>
      <c r="Z19" s="2605"/>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704"/>
      <c r="Q20" s="1573" t="str">
        <f>B20</f>
        <v>自然及人文环境</v>
      </c>
      <c r="R20" s="1574" t="s">
        <v>8</v>
      </c>
      <c r="S20" s="1575">
        <f>F20</f>
        <v>100</v>
      </c>
      <c r="T20" s="1574" t="s">
        <v>8</v>
      </c>
      <c r="U20" s="1575">
        <f>H20</f>
        <v>100</v>
      </c>
      <c r="V20" s="1574" t="s">
        <v>8</v>
      </c>
      <c r="W20" s="1575">
        <f>J20</f>
        <v>100</v>
      </c>
      <c r="X20" s="1568"/>
      <c r="Y20" s="370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704"/>
      <c r="Q21" s="1573"/>
      <c r="R21" s="1574"/>
      <c r="S21" s="1575"/>
      <c r="T21" s="1574"/>
      <c r="U21" s="1575"/>
      <c r="V21" s="1574"/>
      <c r="W21" s="1575"/>
      <c r="X21" s="1568"/>
      <c r="Y21" s="3704"/>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704"/>
      <c r="Q22" s="1573" t="str">
        <f>B22</f>
        <v>楼层</v>
      </c>
      <c r="R22" s="1574" t="s">
        <v>8</v>
      </c>
      <c r="S22" s="1575">
        <f>F22</f>
        <v>100</v>
      </c>
      <c r="T22" s="1574" t="s">
        <v>8</v>
      </c>
      <c r="U22" s="1575">
        <f>H22</f>
        <v>100</v>
      </c>
      <c r="V22" s="1574" t="s">
        <v>8</v>
      </c>
      <c r="W22" s="1575">
        <f>J22</f>
        <v>100</v>
      </c>
      <c r="X22" s="1568"/>
      <c r="Y22" s="370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704"/>
      <c r="Q23" s="1573">
        <f>B23</f>
        <v>111</v>
      </c>
      <c r="R23" s="1574" t="s">
        <v>8</v>
      </c>
      <c r="S23" s="1575">
        <f>F23</f>
        <v>100</v>
      </c>
      <c r="T23" s="1574" t="s">
        <v>8</v>
      </c>
      <c r="U23" s="1575">
        <f>H23</f>
        <v>100</v>
      </c>
      <c r="V23" s="1574" t="s">
        <v>8</v>
      </c>
      <c r="W23" s="1575">
        <f>J23</f>
        <v>100</v>
      </c>
      <c r="X23" s="1568"/>
      <c r="Y23" s="370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704"/>
      <c r="Q24" s="1573">
        <f t="shared" ref="Q24:Q36" si="11">B24</f>
        <v>111</v>
      </c>
      <c r="R24" s="1574" t="s">
        <v>8</v>
      </c>
      <c r="S24" s="1575">
        <f>F24</f>
        <v>100</v>
      </c>
      <c r="T24" s="1574" t="s">
        <v>8</v>
      </c>
      <c r="U24" s="1575">
        <f>H24</f>
        <v>100</v>
      </c>
      <c r="V24" s="1574" t="s">
        <v>8</v>
      </c>
      <c r="W24" s="1575">
        <f>J24</f>
        <v>100</v>
      </c>
      <c r="X24" s="1568"/>
      <c r="Y24" s="370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704"/>
      <c r="Q25" s="1151">
        <f t="shared" si="11"/>
        <v>111</v>
      </c>
      <c r="R25" s="1569" t="s">
        <v>8</v>
      </c>
      <c r="S25" s="1570">
        <f>F25</f>
        <v>100</v>
      </c>
      <c r="T25" s="1569" t="s">
        <v>8</v>
      </c>
      <c r="U25" s="1570">
        <f>H25</f>
        <v>100</v>
      </c>
      <c r="V25" s="1569" t="s">
        <v>8</v>
      </c>
      <c r="W25" s="1570">
        <f>J25</f>
        <v>100</v>
      </c>
      <c r="X25" s="1571"/>
      <c r="Y25" s="3704"/>
      <c r="Z25" s="1150">
        <f>Q25</f>
        <v>111</v>
      </c>
      <c r="AA25" s="1577">
        <f>D25/F25</f>
        <v>1</v>
      </c>
      <c r="AB25" s="1577">
        <f>D25/H25</f>
        <v>1</v>
      </c>
      <c r="AC25" s="1577">
        <f>D25/J25</f>
        <v>1</v>
      </c>
    </row>
    <row r="26" spans="1:29" ht="15">
      <c r="A26" s="2933" t="s">
        <v>2757</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705"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06"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706"/>
      <c r="Q27" s="1606" t="str">
        <f t="shared" si="11"/>
        <v>项目停车位配比</v>
      </c>
      <c r="R27" s="1578" t="s">
        <v>8</v>
      </c>
      <c r="S27" s="1579">
        <f t="shared" si="12"/>
        <v>100</v>
      </c>
      <c r="T27" s="1578" t="s">
        <v>8</v>
      </c>
      <c r="U27" s="1579">
        <f t="shared" si="13"/>
        <v>100</v>
      </c>
      <c r="V27" s="1578" t="s">
        <v>8</v>
      </c>
      <c r="W27" s="1579">
        <f t="shared" si="14"/>
        <v>100</v>
      </c>
      <c r="X27" s="1580"/>
      <c r="Y27" s="3706"/>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706"/>
      <c r="Q28" s="1573" t="str">
        <f t="shared" si="11"/>
        <v>公共部分装修</v>
      </c>
      <c r="R28" s="1574" t="s">
        <v>8</v>
      </c>
      <c r="S28" s="1575">
        <f t="shared" si="12"/>
        <v>100</v>
      </c>
      <c r="T28" s="1574" t="s">
        <v>8</v>
      </c>
      <c r="U28" s="1575">
        <f t="shared" si="13"/>
        <v>100</v>
      </c>
      <c r="V28" s="1574" t="s">
        <v>8</v>
      </c>
      <c r="W28" s="1575">
        <f t="shared" si="14"/>
        <v>100</v>
      </c>
      <c r="X28" s="1568"/>
      <c r="Y28" s="3706"/>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706"/>
      <c r="Q29" s="1573" t="str">
        <f t="shared" si="11"/>
        <v>成新率</v>
      </c>
      <c r="R29" s="1574" t="s">
        <v>8</v>
      </c>
      <c r="S29" s="1575" t="e">
        <f t="shared" si="12"/>
        <v>#N/A</v>
      </c>
      <c r="T29" s="1574" t="s">
        <v>8</v>
      </c>
      <c r="U29" s="1575" t="e">
        <f t="shared" si="13"/>
        <v>#N/A</v>
      </c>
      <c r="V29" s="1574" t="s">
        <v>8</v>
      </c>
      <c r="W29" s="1575" t="e">
        <f t="shared" si="14"/>
        <v>#N/A</v>
      </c>
      <c r="X29" s="1568"/>
      <c r="Y29" s="3706"/>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706"/>
      <c r="Q30" s="1573" t="str">
        <f t="shared" si="11"/>
        <v>物业等级</v>
      </c>
      <c r="R30" s="1574" t="s">
        <v>8</v>
      </c>
      <c r="S30" s="1575">
        <f t="shared" si="12"/>
        <v>100</v>
      </c>
      <c r="T30" s="1574" t="s">
        <v>8</v>
      </c>
      <c r="U30" s="1575">
        <f t="shared" si="13"/>
        <v>100</v>
      </c>
      <c r="V30" s="1574" t="s">
        <v>8</v>
      </c>
      <c r="W30" s="1575">
        <f t="shared" si="14"/>
        <v>100</v>
      </c>
      <c r="X30" s="1568"/>
      <c r="Y30" s="3706"/>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706"/>
      <c r="Q31" s="1151" t="str">
        <f t="shared" si="11"/>
        <v>停车位面积</v>
      </c>
      <c r="R31" s="1569" t="s">
        <v>8</v>
      </c>
      <c r="S31" s="1570" t="e">
        <f t="shared" si="12"/>
        <v>#N/A</v>
      </c>
      <c r="T31" s="1569" t="s">
        <v>8</v>
      </c>
      <c r="U31" s="1570" t="e">
        <f t="shared" si="13"/>
        <v>#N/A</v>
      </c>
      <c r="V31" s="1569" t="s">
        <v>8</v>
      </c>
      <c r="W31" s="1570" t="e">
        <f t="shared" si="14"/>
        <v>#N/A</v>
      </c>
      <c r="X31" s="1571"/>
      <c r="Y31" s="3706"/>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706" t="s">
        <v>551</v>
      </c>
      <c r="Q32" s="1573" t="str">
        <f t="shared" si="11"/>
        <v>车位类型</v>
      </c>
      <c r="R32" s="1574" t="s">
        <v>8</v>
      </c>
      <c r="S32" s="1575">
        <f t="shared" si="12"/>
        <v>100</v>
      </c>
      <c r="T32" s="1574" t="s">
        <v>8</v>
      </c>
      <c r="U32" s="1575">
        <f t="shared" si="13"/>
        <v>100</v>
      </c>
      <c r="V32" s="1574" t="s">
        <v>8</v>
      </c>
      <c r="W32" s="1575">
        <f t="shared" si="14"/>
        <v>100</v>
      </c>
      <c r="X32" s="1568"/>
      <c r="Y32" s="3706"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706"/>
      <c r="Q33" s="1573" t="str">
        <f t="shared" si="11"/>
        <v>是否直接入户</v>
      </c>
      <c r="R33" s="1574" t="s">
        <v>8</v>
      </c>
      <c r="S33" s="1575">
        <f t="shared" si="12"/>
        <v>100</v>
      </c>
      <c r="T33" s="1574" t="s">
        <v>8</v>
      </c>
      <c r="U33" s="1575">
        <f t="shared" si="13"/>
        <v>100</v>
      </c>
      <c r="V33" s="1574" t="s">
        <v>8</v>
      </c>
      <c r="W33" s="1575">
        <f t="shared" si="14"/>
        <v>100</v>
      </c>
      <c r="X33" s="1568"/>
      <c r="Y33" s="370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706"/>
      <c r="Q34" s="1573">
        <f t="shared" si="11"/>
        <v>111</v>
      </c>
      <c r="R34" s="1574" t="s">
        <v>8</v>
      </c>
      <c r="S34" s="1575">
        <f t="shared" si="12"/>
        <v>100</v>
      </c>
      <c r="T34" s="1574" t="s">
        <v>8</v>
      </c>
      <c r="U34" s="1575">
        <f t="shared" si="13"/>
        <v>100</v>
      </c>
      <c r="V34" s="1574" t="s">
        <v>8</v>
      </c>
      <c r="W34" s="1575">
        <f t="shared" si="14"/>
        <v>100</v>
      </c>
      <c r="X34" s="1568"/>
      <c r="Y34" s="370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706"/>
      <c r="Q35" s="1606">
        <f t="shared" si="11"/>
        <v>111</v>
      </c>
      <c r="R35" s="1578" t="s">
        <v>8</v>
      </c>
      <c r="S35" s="1579">
        <f t="shared" si="12"/>
        <v>100</v>
      </c>
      <c r="T35" s="1578" t="s">
        <v>8</v>
      </c>
      <c r="U35" s="1579">
        <f t="shared" si="13"/>
        <v>100</v>
      </c>
      <c r="V35" s="1578" t="s">
        <v>8</v>
      </c>
      <c r="W35" s="1579">
        <f t="shared" si="14"/>
        <v>100</v>
      </c>
      <c r="X35" s="1580"/>
      <c r="Y35" s="370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706"/>
      <c r="Q36" s="1573">
        <f t="shared" si="11"/>
        <v>111</v>
      </c>
      <c r="R36" s="1574" t="s">
        <v>8</v>
      </c>
      <c r="S36" s="1575">
        <f t="shared" si="12"/>
        <v>100</v>
      </c>
      <c r="T36" s="1574" t="s">
        <v>8</v>
      </c>
      <c r="U36" s="1575">
        <f t="shared" si="13"/>
        <v>100</v>
      </c>
      <c r="V36" s="1574" t="s">
        <v>8</v>
      </c>
      <c r="W36" s="1575">
        <f t="shared" si="14"/>
        <v>100</v>
      </c>
      <c r="X36" s="1568"/>
      <c r="Y36" s="3706"/>
      <c r="Z36" s="1576">
        <f t="shared" si="15"/>
        <v>111</v>
      </c>
      <c r="AA36" s="1577">
        <f t="shared" si="3"/>
        <v>1</v>
      </c>
      <c r="AB36" s="1577">
        <f t="shared" si="4"/>
        <v>1</v>
      </c>
      <c r="AC36" s="1577">
        <f t="shared" si="5"/>
        <v>1</v>
      </c>
    </row>
    <row r="37" spans="1:29" ht="15">
      <c r="A37" s="1847" t="s">
        <v>2078</v>
      </c>
      <c r="B37" s="1848" t="s">
        <v>2079</v>
      </c>
      <c r="C37" s="2652" t="s">
        <v>1</v>
      </c>
      <c r="D37" s="2653"/>
      <c r="E37" s="2654"/>
      <c r="F37" s="2655"/>
      <c r="G37" s="2656"/>
      <c r="H37" s="2657"/>
      <c r="I37" s="2654"/>
      <c r="J37" s="2657"/>
      <c r="K37" s="1612"/>
      <c r="L37" s="2145"/>
      <c r="M37" s="2146"/>
      <c r="N37" s="2135"/>
      <c r="O37" s="2146"/>
      <c r="P37" s="3667" t="str">
        <f>A37</f>
        <v>成交单价</v>
      </c>
      <c r="Q37" s="3667"/>
      <c r="R37" s="3783">
        <f>E37</f>
        <v>0</v>
      </c>
      <c r="S37" s="3783"/>
      <c r="T37" s="3783">
        <f>G37</f>
        <v>0</v>
      </c>
      <c r="U37" s="3783"/>
      <c r="V37" s="3783">
        <f>I37</f>
        <v>0</v>
      </c>
      <c r="W37" s="3783"/>
      <c r="X37" s="1560"/>
      <c r="Y37" s="1582"/>
      <c r="Z37" s="1560"/>
      <c r="AA37" s="1560"/>
      <c r="AB37" s="1560"/>
      <c r="AC37" s="1560"/>
    </row>
    <row r="38" spans="1:29" ht="15.75" thickBot="1">
      <c r="A38" s="615" t="s">
        <v>2762</v>
      </c>
      <c r="B38" s="888"/>
      <c r="C38" s="2658" t="e">
        <f>R39</f>
        <v>#DIV/0!</v>
      </c>
      <c r="D38" s="2659"/>
      <c r="E38" s="2660" t="e">
        <f>R38</f>
        <v>#DIV/0!</v>
      </c>
      <c r="F38" s="2660"/>
      <c r="G38" s="2658" t="e">
        <f>T38</f>
        <v>#DIV/0!</v>
      </c>
      <c r="H38" s="2659"/>
      <c r="I38" s="2660" t="e">
        <f>V38</f>
        <v>#DIV/0!</v>
      </c>
      <c r="J38" s="2659"/>
      <c r="K38" s="1613"/>
      <c r="L38" s="2145"/>
      <c r="M38" s="2146"/>
      <c r="N38" s="2146"/>
      <c r="O38" s="2146"/>
      <c r="P38" s="3667" t="str">
        <f>A38</f>
        <v>比较价格（元/平方米）</v>
      </c>
      <c r="Q38" s="3667"/>
      <c r="R38" s="3783" t="e">
        <f>IF(F1="售价",ROUND(PRODUCT(R37,AA7:AA36),0),ROUND(PRODUCT(R37,AA7:AA36),1))</f>
        <v>#DIV/0!</v>
      </c>
      <c r="S38" s="3783"/>
      <c r="T38" s="3783" t="e">
        <f>IF(F1="售价",ROUND(PRODUCT(T37,AB7:AB36),0),ROUND(PRODUCT(T37,AB7:AB36),1))</f>
        <v>#DIV/0!</v>
      </c>
      <c r="U38" s="3783"/>
      <c r="V38" s="3783" t="e">
        <f>IF(F1="售价",ROUND(PRODUCT(V37,AC7:AC36),0),ROUND(PRODUCT(V37,AC7:AC36),1))</f>
        <v>#DIV/0!</v>
      </c>
      <c r="W38" s="3783"/>
      <c r="X38" s="1560"/>
      <c r="Y38" s="1560"/>
      <c r="Z38" s="1560"/>
      <c r="AA38" s="1560"/>
      <c r="AB38" s="1560"/>
      <c r="AC38" s="1560"/>
    </row>
    <row r="39" spans="1:29" ht="15.75" thickBot="1">
      <c r="A39" s="621" t="s">
        <v>2934</v>
      </c>
      <c r="B39" s="622"/>
      <c r="C39" s="2661" t="e">
        <f>R39</f>
        <v>#DIV/0!</v>
      </c>
      <c r="D39" s="2661"/>
      <c r="E39" s="2661"/>
      <c r="F39" s="2661"/>
      <c r="G39" s="2661"/>
      <c r="H39" s="2661"/>
      <c r="I39" s="2661"/>
      <c r="J39" s="2661"/>
      <c r="K39" s="1614"/>
      <c r="L39" s="2145"/>
      <c r="M39" s="2146"/>
      <c r="N39" s="2146"/>
      <c r="O39" s="2146"/>
      <c r="P39" s="3664" t="str">
        <f>A39</f>
        <v>估价对象XX用房的比较价格（楼面单价，元/平方米）</v>
      </c>
      <c r="Q39" s="3665"/>
      <c r="R39" s="3782" t="e">
        <f>IF(F1="售价",ROUND(AVERAGE(R38:V38),0),ROUND(AVERAGE(R38:V38),1))</f>
        <v>#DIV/0!</v>
      </c>
      <c r="S39" s="3782"/>
      <c r="T39" s="3782"/>
      <c r="U39" s="3782"/>
      <c r="V39" s="3782"/>
      <c r="W39" s="3782"/>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8" t="str">
        <f>YEAR(C7)&amp;"-"&amp;MONTH(C7)</f>
        <v>2018-2</v>
      </c>
      <c r="D48" s="2830">
        <f>EDATE(C48,-1)</f>
        <v>43101</v>
      </c>
      <c r="E48" s="2830">
        <f t="shared" ref="E48:O48" si="16">EDATE(D48,-1)</f>
        <v>43070</v>
      </c>
      <c r="F48" s="2830">
        <f t="shared" si="16"/>
        <v>43040</v>
      </c>
      <c r="G48" s="2830">
        <f t="shared" si="16"/>
        <v>43009</v>
      </c>
      <c r="H48" s="2830">
        <f t="shared" si="16"/>
        <v>42979</v>
      </c>
      <c r="I48" s="2830">
        <f t="shared" si="16"/>
        <v>42948</v>
      </c>
      <c r="J48" s="2830">
        <f t="shared" si="16"/>
        <v>42917</v>
      </c>
      <c r="K48" s="2830">
        <f t="shared" si="16"/>
        <v>42887</v>
      </c>
      <c r="L48" s="2830">
        <f t="shared" si="16"/>
        <v>42856</v>
      </c>
      <c r="M48" s="2830">
        <f t="shared" si="16"/>
        <v>42826</v>
      </c>
      <c r="N48" s="2830">
        <f t="shared" si="16"/>
        <v>42795</v>
      </c>
      <c r="O48" s="2830">
        <f t="shared" si="16"/>
        <v>42767</v>
      </c>
      <c r="P48" s="2161"/>
      <c r="Q48" s="2162"/>
      <c r="R48" s="2162"/>
      <c r="S48" s="2162"/>
      <c r="T48" s="2162"/>
      <c r="U48" s="2162"/>
      <c r="V48" s="2162"/>
      <c r="W48" s="2162"/>
      <c r="X48" s="2162"/>
      <c r="Y48" s="2162"/>
      <c r="Z48" s="2162"/>
      <c r="AA48" s="2162"/>
      <c r="AB48" s="2162"/>
      <c r="AC48" s="2162"/>
    </row>
    <row r="49" spans="1:29" s="1220"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2560</v>
      </c>
      <c r="C67" s="2623" t="s">
        <v>2561</v>
      </c>
      <c r="D67" s="2623" t="s">
        <v>2562</v>
      </c>
      <c r="E67" s="2623" t="s">
        <v>2563</v>
      </c>
      <c r="F67" s="2623" t="s">
        <v>2564</v>
      </c>
      <c r="G67" s="2623" t="s">
        <v>2565</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73" t="s">
        <v>799</v>
      </c>
      <c r="D4" s="3674"/>
      <c r="E4" s="3710" t="s">
        <v>800</v>
      </c>
      <c r="F4" s="3711"/>
      <c r="G4" s="3673" t="s">
        <v>801</v>
      </c>
      <c r="H4" s="3674"/>
      <c r="I4" s="3673" t="s">
        <v>802</v>
      </c>
      <c r="J4" s="3674"/>
      <c r="K4" s="514" t="s">
        <v>803</v>
      </c>
      <c r="L4" s="2134"/>
      <c r="M4" s="2135"/>
      <c r="N4" s="2135"/>
      <c r="O4" s="2135"/>
      <c r="P4" s="3675" t="s">
        <v>804</v>
      </c>
      <c r="Q4" s="3676"/>
      <c r="R4" s="3681" t="s">
        <v>800</v>
      </c>
      <c r="S4" s="3682"/>
      <c r="T4" s="3681" t="s">
        <v>801</v>
      </c>
      <c r="U4" s="3682"/>
      <c r="V4" s="3668" t="s">
        <v>802</v>
      </c>
      <c r="W4" s="3668"/>
      <c r="X4" s="1568"/>
      <c r="Y4" s="3681" t="s">
        <v>804</v>
      </c>
      <c r="Z4" s="3682"/>
      <c r="AA4" s="3670" t="s">
        <v>800</v>
      </c>
      <c r="AB4" s="3671" t="s">
        <v>801</v>
      </c>
      <c r="AC4" s="3670" t="s">
        <v>802</v>
      </c>
    </row>
    <row r="5" spans="1:29" ht="15">
      <c r="A5" s="515"/>
      <c r="B5" s="516"/>
      <c r="C5" s="3691" t="s">
        <v>2928</v>
      </c>
      <c r="D5" s="3690"/>
      <c r="E5" s="3712" t="s">
        <v>2929</v>
      </c>
      <c r="F5" s="3713"/>
      <c r="G5" s="3691" t="s">
        <v>2930</v>
      </c>
      <c r="H5" s="3690"/>
      <c r="I5" s="3691" t="s">
        <v>2931</v>
      </c>
      <c r="J5" s="3690"/>
      <c r="K5" s="514"/>
      <c r="L5" s="2134"/>
      <c r="M5" s="2135"/>
      <c r="N5" s="2135"/>
      <c r="O5" s="2135"/>
      <c r="P5" s="3677"/>
      <c r="Q5" s="3678"/>
      <c r="R5" s="3683"/>
      <c r="S5" s="3684"/>
      <c r="T5" s="3683"/>
      <c r="U5" s="3684"/>
      <c r="V5" s="3668"/>
      <c r="W5" s="3668"/>
      <c r="X5" s="1568"/>
      <c r="Y5" s="3683"/>
      <c r="Z5" s="3684"/>
      <c r="AA5" s="3671"/>
      <c r="AB5" s="3671"/>
      <c r="AC5" s="3671"/>
    </row>
    <row r="6" spans="1:29" ht="15.75" thickBot="1">
      <c r="A6" s="517"/>
      <c r="B6" s="518"/>
      <c r="C6" s="3707" t="s">
        <v>2932</v>
      </c>
      <c r="D6" s="3688"/>
      <c r="E6" s="3708" t="s">
        <v>2932</v>
      </c>
      <c r="F6" s="3709"/>
      <c r="G6" s="3707" t="s">
        <v>2932</v>
      </c>
      <c r="H6" s="3688"/>
      <c r="I6" s="3707" t="s">
        <v>2932</v>
      </c>
      <c r="J6" s="3688"/>
      <c r="K6" s="514" t="s">
        <v>529</v>
      </c>
      <c r="L6" s="2134"/>
      <c r="M6" s="2135"/>
      <c r="N6" s="2135"/>
      <c r="O6" s="2135"/>
      <c r="P6" s="3679"/>
      <c r="Q6" s="3680"/>
      <c r="R6" s="3683"/>
      <c r="S6" s="3684"/>
      <c r="T6" s="3685"/>
      <c r="U6" s="3686"/>
      <c r="V6" s="3668"/>
      <c r="W6" s="3668"/>
      <c r="X6" s="1568"/>
      <c r="Y6" s="3685"/>
      <c r="Z6" s="3686"/>
      <c r="AA6" s="3672"/>
      <c r="AB6" s="3672"/>
      <c r="AC6" s="3672"/>
    </row>
    <row r="7" spans="1:29" s="1220" customFormat="1" ht="15.75" thickBot="1">
      <c r="A7" s="2938"/>
      <c r="B7" s="2945" t="s">
        <v>530</v>
      </c>
      <c r="C7" s="519">
        <f>'数据-取费表'!B2</f>
        <v>43159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700" t="s">
        <v>531</v>
      </c>
      <c r="Q7" s="3702"/>
      <c r="R7" s="1569" t="s">
        <v>8</v>
      </c>
      <c r="S7" s="1570">
        <f t="shared" ref="S7:S14" si="0">F7</f>
        <v>0</v>
      </c>
      <c r="T7" s="1569" t="s">
        <v>8</v>
      </c>
      <c r="U7" s="1570">
        <f t="shared" ref="U7:U14" si="1">H7</f>
        <v>0</v>
      </c>
      <c r="V7" s="1569" t="s">
        <v>8</v>
      </c>
      <c r="W7" s="1570">
        <f t="shared" ref="W7:W14" si="2">J7</f>
        <v>0</v>
      </c>
      <c r="X7" s="1571"/>
      <c r="Y7" s="3700" t="s">
        <v>531</v>
      </c>
      <c r="Z7" s="3701"/>
      <c r="AA7" s="1572" t="e">
        <f>D7/F7</f>
        <v>#DIV/0!</v>
      </c>
      <c r="AB7" s="1572" t="e">
        <f>D7/H7</f>
        <v>#DIV/0!</v>
      </c>
      <c r="AC7" s="1572"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700" t="s">
        <v>534</v>
      </c>
      <c r="Q8" s="3701"/>
      <c r="R8" s="1569" t="s">
        <v>8</v>
      </c>
      <c r="S8" s="1570">
        <f t="shared" si="0"/>
        <v>0</v>
      </c>
      <c r="T8" s="1569" t="s">
        <v>8</v>
      </c>
      <c r="U8" s="1570">
        <f t="shared" si="1"/>
        <v>0</v>
      </c>
      <c r="V8" s="1569" t="s">
        <v>8</v>
      </c>
      <c r="W8" s="1570">
        <f t="shared" si="2"/>
        <v>0</v>
      </c>
      <c r="X8" s="1571"/>
      <c r="Y8" s="3700" t="s">
        <v>534</v>
      </c>
      <c r="Z8" s="3701"/>
      <c r="AA8" s="1572" t="e">
        <f t="shared" ref="AA8:AA34" si="3">D8/F8</f>
        <v>#DIV/0!</v>
      </c>
      <c r="AB8" s="1572" t="e">
        <f t="shared" ref="AB8:AB34" si="4">D8/H8</f>
        <v>#DIV/0!</v>
      </c>
      <c r="AC8" s="1572" t="e">
        <f t="shared" ref="AC8:AC34" si="5">D8/J8</f>
        <v>#DIV/0!</v>
      </c>
    </row>
    <row r="9" spans="1:29" s="1220" customFormat="1" ht="15">
      <c r="A9" s="2940"/>
      <c r="B9" s="2947"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67" t="s">
        <v>536</v>
      </c>
      <c r="Q9" s="1151" t="str">
        <f t="shared" ref="Q9:Q14" si="6">B9</f>
        <v>用途</v>
      </c>
      <c r="R9" s="1569" t="s">
        <v>8</v>
      </c>
      <c r="S9" s="1570">
        <f t="shared" si="0"/>
        <v>100</v>
      </c>
      <c r="T9" s="1569" t="s">
        <v>8</v>
      </c>
      <c r="U9" s="1570">
        <f t="shared" si="1"/>
        <v>100</v>
      </c>
      <c r="V9" s="1569" t="s">
        <v>8</v>
      </c>
      <c r="W9" s="1570">
        <f t="shared" si="2"/>
        <v>100</v>
      </c>
      <c r="X9" s="1571"/>
      <c r="Y9" s="3613" t="s">
        <v>537</v>
      </c>
      <c r="Z9" s="1150" t="str">
        <f t="shared" ref="Z9:Z14" si="7">Q9</f>
        <v>用途</v>
      </c>
      <c r="AA9" s="1572">
        <f t="shared" si="3"/>
        <v>1</v>
      </c>
      <c r="AB9" s="1572">
        <f t="shared" si="4"/>
        <v>1</v>
      </c>
      <c r="AC9" s="1572">
        <f t="shared" si="5"/>
        <v>1</v>
      </c>
    </row>
    <row r="10" spans="1:29" s="1338" customFormat="1" ht="27">
      <c r="A10" s="2941"/>
      <c r="B10" s="2946"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67"/>
      <c r="Q11" s="1151">
        <f t="shared" si="6"/>
        <v>111</v>
      </c>
      <c r="R11" s="1569" t="s">
        <v>8</v>
      </c>
      <c r="S11" s="1570">
        <f t="shared" si="0"/>
        <v>100</v>
      </c>
      <c r="T11" s="1569" t="s">
        <v>8</v>
      </c>
      <c r="U11" s="1570">
        <f t="shared" si="1"/>
        <v>100</v>
      </c>
      <c r="V11" s="1569" t="s">
        <v>8</v>
      </c>
      <c r="W11" s="1570">
        <f t="shared" si="2"/>
        <v>100</v>
      </c>
      <c r="X11" s="1571"/>
      <c r="Y11" s="3613"/>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67"/>
      <c r="Q12" s="1151">
        <f t="shared" si="6"/>
        <v>111</v>
      </c>
      <c r="R12" s="1569" t="s">
        <v>8</v>
      </c>
      <c r="S12" s="1570">
        <f t="shared" si="0"/>
        <v>100</v>
      </c>
      <c r="T12" s="1569" t="s">
        <v>8</v>
      </c>
      <c r="U12" s="1570">
        <f t="shared" si="1"/>
        <v>100</v>
      </c>
      <c r="V12" s="1569" t="s">
        <v>8</v>
      </c>
      <c r="W12" s="1570">
        <f t="shared" si="2"/>
        <v>100</v>
      </c>
      <c r="X12" s="1571"/>
      <c r="Y12" s="3613"/>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67"/>
      <c r="Q13" s="1151">
        <f t="shared" si="6"/>
        <v>111</v>
      </c>
      <c r="R13" s="1569" t="s">
        <v>8</v>
      </c>
      <c r="S13" s="1570">
        <f t="shared" si="0"/>
        <v>100</v>
      </c>
      <c r="T13" s="1569" t="s">
        <v>8</v>
      </c>
      <c r="U13" s="1570">
        <f t="shared" si="1"/>
        <v>100</v>
      </c>
      <c r="V13" s="1569" t="s">
        <v>8</v>
      </c>
      <c r="W13" s="1570">
        <f t="shared" si="2"/>
        <v>100</v>
      </c>
      <c r="X13" s="1571"/>
      <c r="Y13" s="3613"/>
      <c r="Z13" s="1150">
        <f t="shared" si="7"/>
        <v>111</v>
      </c>
      <c r="AA13" s="1572">
        <f t="shared" si="3"/>
        <v>1</v>
      </c>
      <c r="AB13" s="1572">
        <f t="shared" si="4"/>
        <v>1</v>
      </c>
      <c r="AC13" s="1572">
        <f t="shared" si="5"/>
        <v>1</v>
      </c>
    </row>
    <row r="14" spans="1:29" ht="85.5">
      <c r="A14" s="2936" t="s">
        <v>2756</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703" t="s">
        <v>541</v>
      </c>
      <c r="Q14" s="1573" t="str">
        <f t="shared" si="6"/>
        <v>交通便捷度</v>
      </c>
      <c r="R14" s="1574" t="s">
        <v>8</v>
      </c>
      <c r="S14" s="1575">
        <f t="shared" si="0"/>
        <v>100</v>
      </c>
      <c r="T14" s="1574" t="s">
        <v>8</v>
      </c>
      <c r="U14" s="1575">
        <f t="shared" si="1"/>
        <v>100</v>
      </c>
      <c r="V14" s="1574" t="s">
        <v>8</v>
      </c>
      <c r="W14" s="1575">
        <f t="shared" si="2"/>
        <v>100</v>
      </c>
      <c r="X14" s="1568"/>
      <c r="Y14" s="3703"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704"/>
      <c r="Q15" s="1573"/>
      <c r="R15" s="1574"/>
      <c r="S15" s="1575"/>
      <c r="T15" s="1574"/>
      <c r="U15" s="1575"/>
      <c r="V15" s="1574"/>
      <c r="W15" s="1575"/>
      <c r="X15" s="1568"/>
      <c r="Y15" s="3704"/>
      <c r="Z15" s="1576"/>
      <c r="AA15" s="1577">
        <v>1</v>
      </c>
      <c r="AB15" s="1577">
        <v>1</v>
      </c>
      <c r="AC15" s="1577">
        <v>1</v>
      </c>
    </row>
    <row r="16" spans="1:29" ht="42.75">
      <c r="A16" s="532"/>
      <c r="B16" s="2628"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704"/>
      <c r="Q16" s="1573" t="str">
        <f>B16</f>
        <v>公共配套设施</v>
      </c>
      <c r="R16" s="1574" t="s">
        <v>8</v>
      </c>
      <c r="S16" s="1575">
        <f>F16</f>
        <v>100</v>
      </c>
      <c r="T16" s="1574" t="s">
        <v>8</v>
      </c>
      <c r="U16" s="1575">
        <f>H16</f>
        <v>100</v>
      </c>
      <c r="V16" s="1574" t="s">
        <v>8</v>
      </c>
      <c r="W16" s="1575">
        <f>J16</f>
        <v>100</v>
      </c>
      <c r="X16" s="1568"/>
      <c r="Y16" s="370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704"/>
      <c r="Q17" s="1573"/>
      <c r="R17" s="1574"/>
      <c r="S17" s="1575"/>
      <c r="T17" s="1574"/>
      <c r="U17" s="1575"/>
      <c r="V17" s="1574"/>
      <c r="W17" s="1575"/>
      <c r="X17" s="1568"/>
      <c r="Y17" s="3704"/>
      <c r="Z17" s="1576"/>
      <c r="AA17" s="1577">
        <v>1</v>
      </c>
      <c r="AB17" s="1577">
        <v>1</v>
      </c>
      <c r="AC17" s="1577">
        <v>1</v>
      </c>
    </row>
    <row r="18" spans="1:29" ht="28.5">
      <c r="A18" s="532"/>
      <c r="B18" s="2616"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704"/>
      <c r="Q18" s="2604" t="str">
        <f>B18</f>
        <v>基础设施水平</v>
      </c>
      <c r="R18" s="1574" t="s">
        <v>8</v>
      </c>
      <c r="S18" s="1575">
        <f>F18</f>
        <v>100</v>
      </c>
      <c r="T18" s="1574" t="s">
        <v>8</v>
      </c>
      <c r="U18" s="1575">
        <f>H18</f>
        <v>100</v>
      </c>
      <c r="V18" s="1574" t="s">
        <v>8</v>
      </c>
      <c r="W18" s="1575">
        <f>J18</f>
        <v>100</v>
      </c>
      <c r="X18" s="2606"/>
      <c r="Y18" s="3704"/>
      <c r="Z18" s="2605"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7"/>
      <c r="L19" s="2143"/>
      <c r="M19" s="2135"/>
      <c r="N19" s="2135"/>
      <c r="O19" s="2142"/>
      <c r="P19" s="3704"/>
      <c r="Q19" s="2604"/>
      <c r="R19" s="1574"/>
      <c r="S19" s="1575"/>
      <c r="T19" s="1574"/>
      <c r="U19" s="1575"/>
      <c r="V19" s="1574"/>
      <c r="W19" s="1575"/>
      <c r="X19" s="2606"/>
      <c r="Y19" s="3704"/>
      <c r="Z19" s="2605"/>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704"/>
      <c r="Q20" s="1573" t="str">
        <f>B20</f>
        <v>自然及人文环境</v>
      </c>
      <c r="R20" s="1574" t="s">
        <v>8</v>
      </c>
      <c r="S20" s="1575">
        <f>F20</f>
        <v>100</v>
      </c>
      <c r="T20" s="1574" t="s">
        <v>8</v>
      </c>
      <c r="U20" s="1575">
        <f>H20</f>
        <v>100</v>
      </c>
      <c r="V20" s="1574" t="s">
        <v>8</v>
      </c>
      <c r="W20" s="1575">
        <f>J20</f>
        <v>100</v>
      </c>
      <c r="X20" s="1568"/>
      <c r="Y20" s="370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704"/>
      <c r="Q21" s="1573"/>
      <c r="R21" s="1574"/>
      <c r="S21" s="1575"/>
      <c r="T21" s="1574"/>
      <c r="U21" s="1575"/>
      <c r="V21" s="1574"/>
      <c r="W21" s="1575"/>
      <c r="X21" s="1568"/>
      <c r="Y21" s="3704"/>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704"/>
      <c r="Q22" s="1573" t="str">
        <f>B22</f>
        <v>楼层</v>
      </c>
      <c r="R22" s="1574" t="s">
        <v>8</v>
      </c>
      <c r="S22" s="1575">
        <f>F22</f>
        <v>100</v>
      </c>
      <c r="T22" s="1574" t="s">
        <v>8</v>
      </c>
      <c r="U22" s="1575">
        <f>H22</f>
        <v>100</v>
      </c>
      <c r="V22" s="1574" t="s">
        <v>8</v>
      </c>
      <c r="W22" s="1575">
        <f>J22</f>
        <v>100</v>
      </c>
      <c r="X22" s="1568"/>
      <c r="Y22" s="370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704"/>
      <c r="Q23" s="1573">
        <f>B23</f>
        <v>111</v>
      </c>
      <c r="R23" s="1574" t="s">
        <v>8</v>
      </c>
      <c r="S23" s="1575">
        <f>F23</f>
        <v>100</v>
      </c>
      <c r="T23" s="1574" t="s">
        <v>8</v>
      </c>
      <c r="U23" s="1575">
        <f>H23</f>
        <v>100</v>
      </c>
      <c r="V23" s="1574" t="s">
        <v>8</v>
      </c>
      <c r="W23" s="1575">
        <f>J23</f>
        <v>100</v>
      </c>
      <c r="X23" s="1568"/>
      <c r="Y23" s="370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704"/>
      <c r="Q24" s="1573">
        <f t="shared" ref="Q24:Q34" si="11">B24</f>
        <v>111</v>
      </c>
      <c r="R24" s="1574" t="s">
        <v>8</v>
      </c>
      <c r="S24" s="1575">
        <f>F24</f>
        <v>100</v>
      </c>
      <c r="T24" s="1574" t="s">
        <v>8</v>
      </c>
      <c r="U24" s="1575">
        <f>H24</f>
        <v>100</v>
      </c>
      <c r="V24" s="1574" t="s">
        <v>8</v>
      </c>
      <c r="W24" s="1575">
        <f>J24</f>
        <v>100</v>
      </c>
      <c r="X24" s="1568"/>
      <c r="Y24" s="370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704"/>
      <c r="Q25" s="1151">
        <f t="shared" si="11"/>
        <v>111</v>
      </c>
      <c r="R25" s="1569" t="s">
        <v>8</v>
      </c>
      <c r="S25" s="1570">
        <f>F25</f>
        <v>100</v>
      </c>
      <c r="T25" s="1569" t="s">
        <v>8</v>
      </c>
      <c r="U25" s="1570">
        <f>H25</f>
        <v>100</v>
      </c>
      <c r="V25" s="1569" t="s">
        <v>8</v>
      </c>
      <c r="W25" s="1570">
        <f>J25</f>
        <v>100</v>
      </c>
      <c r="X25" s="1571"/>
      <c r="Y25" s="3704"/>
      <c r="Z25" s="1150">
        <f>Q25</f>
        <v>111</v>
      </c>
      <c r="AA25" s="1577">
        <f>D25/F25</f>
        <v>1</v>
      </c>
      <c r="AB25" s="1577">
        <f>D25/H25</f>
        <v>1</v>
      </c>
      <c r="AC25" s="1577">
        <f>D25/J25</f>
        <v>1</v>
      </c>
    </row>
    <row r="26" spans="1:29" ht="15">
      <c r="A26" s="2933" t="s">
        <v>2757</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705"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06"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706"/>
      <c r="Q27" s="1606" t="str">
        <f t="shared" si="11"/>
        <v>成新率</v>
      </c>
      <c r="R27" s="1578" t="s">
        <v>8</v>
      </c>
      <c r="S27" s="1579" t="e">
        <f t="shared" si="12"/>
        <v>#N/A</v>
      </c>
      <c r="T27" s="1578" t="s">
        <v>8</v>
      </c>
      <c r="U27" s="1579" t="e">
        <f t="shared" si="13"/>
        <v>#N/A</v>
      </c>
      <c r="V27" s="1578" t="s">
        <v>8</v>
      </c>
      <c r="W27" s="1579" t="e">
        <f t="shared" si="14"/>
        <v>#N/A</v>
      </c>
      <c r="X27" s="1580"/>
      <c r="Y27" s="3706"/>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706"/>
      <c r="Q28" s="1573" t="str">
        <f t="shared" si="11"/>
        <v>物业等级</v>
      </c>
      <c r="R28" s="1574" t="s">
        <v>8</v>
      </c>
      <c r="S28" s="1575">
        <f t="shared" si="12"/>
        <v>100</v>
      </c>
      <c r="T28" s="1574" t="s">
        <v>8</v>
      </c>
      <c r="U28" s="1575">
        <f t="shared" si="13"/>
        <v>100</v>
      </c>
      <c r="V28" s="1574" t="s">
        <v>8</v>
      </c>
      <c r="W28" s="1575">
        <f t="shared" si="14"/>
        <v>100</v>
      </c>
      <c r="X28" s="1568"/>
      <c r="Y28" s="3706"/>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706"/>
      <c r="Q29" s="1573" t="str">
        <f t="shared" si="11"/>
        <v>有无电梯</v>
      </c>
      <c r="R29" s="1574" t="s">
        <v>8</v>
      </c>
      <c r="S29" s="1575">
        <f t="shared" si="12"/>
        <v>100</v>
      </c>
      <c r="T29" s="1574" t="s">
        <v>8</v>
      </c>
      <c r="U29" s="1575">
        <f t="shared" si="13"/>
        <v>100</v>
      </c>
      <c r="V29" s="1574" t="s">
        <v>8</v>
      </c>
      <c r="W29" s="1575">
        <f t="shared" si="14"/>
        <v>100</v>
      </c>
      <c r="X29" s="1568"/>
      <c r="Y29" s="3706"/>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706"/>
      <c r="Q30" s="1573" t="str">
        <f t="shared" si="11"/>
        <v>建筑面积</v>
      </c>
      <c r="R30" s="1574" t="s">
        <v>8</v>
      </c>
      <c r="S30" s="1575" t="e">
        <f t="shared" si="12"/>
        <v>#N/A</v>
      </c>
      <c r="T30" s="1574" t="s">
        <v>8</v>
      </c>
      <c r="U30" s="1575" t="e">
        <f t="shared" si="13"/>
        <v>#N/A</v>
      </c>
      <c r="V30" s="1574" t="s">
        <v>8</v>
      </c>
      <c r="W30" s="1575" t="e">
        <f t="shared" si="14"/>
        <v>#N/A</v>
      </c>
      <c r="X30" s="1568"/>
      <c r="Y30" s="3706"/>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706"/>
      <c r="Q31" s="1151" t="str">
        <f t="shared" si="11"/>
        <v>是否封闭</v>
      </c>
      <c r="R31" s="1569" t="s">
        <v>8</v>
      </c>
      <c r="S31" s="1570">
        <f t="shared" si="12"/>
        <v>100</v>
      </c>
      <c r="T31" s="1569" t="s">
        <v>8</v>
      </c>
      <c r="U31" s="1570">
        <f t="shared" si="13"/>
        <v>100</v>
      </c>
      <c r="V31" s="1569" t="s">
        <v>8</v>
      </c>
      <c r="W31" s="1570">
        <f t="shared" si="14"/>
        <v>100</v>
      </c>
      <c r="X31" s="1571"/>
      <c r="Y31" s="370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706" t="s">
        <v>551</v>
      </c>
      <c r="Q32" s="1573">
        <f t="shared" si="11"/>
        <v>111</v>
      </c>
      <c r="R32" s="1574" t="s">
        <v>8</v>
      </c>
      <c r="S32" s="1575">
        <f t="shared" si="12"/>
        <v>100</v>
      </c>
      <c r="T32" s="1574" t="s">
        <v>8</v>
      </c>
      <c r="U32" s="1575">
        <f t="shared" si="13"/>
        <v>100</v>
      </c>
      <c r="V32" s="1574" t="s">
        <v>8</v>
      </c>
      <c r="W32" s="1575">
        <f t="shared" si="14"/>
        <v>100</v>
      </c>
      <c r="X32" s="1568"/>
      <c r="Y32" s="3706"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706"/>
      <c r="Q33" s="1573">
        <f t="shared" si="11"/>
        <v>111</v>
      </c>
      <c r="R33" s="1574" t="s">
        <v>8</v>
      </c>
      <c r="S33" s="1575">
        <f t="shared" si="12"/>
        <v>100</v>
      </c>
      <c r="T33" s="1574" t="s">
        <v>8</v>
      </c>
      <c r="U33" s="1575">
        <f t="shared" si="13"/>
        <v>100</v>
      </c>
      <c r="V33" s="1574" t="s">
        <v>8</v>
      </c>
      <c r="W33" s="1575">
        <f t="shared" si="14"/>
        <v>100</v>
      </c>
      <c r="X33" s="1568"/>
      <c r="Y33" s="370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706"/>
      <c r="Q34" s="1573">
        <f t="shared" si="11"/>
        <v>111</v>
      </c>
      <c r="R34" s="1574" t="s">
        <v>8</v>
      </c>
      <c r="S34" s="1575">
        <f t="shared" si="12"/>
        <v>100</v>
      </c>
      <c r="T34" s="1574" t="s">
        <v>8</v>
      </c>
      <c r="U34" s="1575">
        <f t="shared" si="13"/>
        <v>100</v>
      </c>
      <c r="V34" s="1574" t="s">
        <v>8</v>
      </c>
      <c r="W34" s="1575">
        <f t="shared" si="14"/>
        <v>100</v>
      </c>
      <c r="X34" s="1568"/>
      <c r="Y34" s="3706"/>
      <c r="Z34" s="1576">
        <f t="shared" si="15"/>
        <v>111</v>
      </c>
      <c r="AA34" s="1577">
        <f t="shared" si="3"/>
        <v>1</v>
      </c>
      <c r="AB34" s="1577">
        <f t="shared" si="4"/>
        <v>1</v>
      </c>
      <c r="AC34" s="1577">
        <f t="shared" si="5"/>
        <v>1</v>
      </c>
    </row>
    <row r="35" spans="1:29" ht="15">
      <c r="A35" s="607" t="s">
        <v>737</v>
      </c>
      <c r="B35" s="887"/>
      <c r="C35" s="2652" t="s">
        <v>1</v>
      </c>
      <c r="D35" s="2653"/>
      <c r="E35" s="2654"/>
      <c r="F35" s="2655"/>
      <c r="G35" s="2656"/>
      <c r="H35" s="2657"/>
      <c r="I35" s="2654"/>
      <c r="J35" s="2657"/>
      <c r="K35" s="1612"/>
      <c r="L35" s="2145"/>
      <c r="M35" s="2146"/>
      <c r="N35" s="2135"/>
      <c r="O35" s="2146"/>
      <c r="P35" s="3667" t="str">
        <f>A35</f>
        <v>成交单价（元/平方米）</v>
      </c>
      <c r="Q35" s="3667"/>
      <c r="R35" s="3783">
        <f>E35</f>
        <v>0</v>
      </c>
      <c r="S35" s="3783"/>
      <c r="T35" s="3783">
        <f>G35</f>
        <v>0</v>
      </c>
      <c r="U35" s="3783"/>
      <c r="V35" s="3783">
        <f>I35</f>
        <v>0</v>
      </c>
      <c r="W35" s="3783"/>
      <c r="X35" s="1560"/>
      <c r="Y35" s="1582"/>
      <c r="Z35" s="1560"/>
      <c r="AA35" s="1560"/>
      <c r="AB35" s="1560"/>
      <c r="AC35" s="1560"/>
    </row>
    <row r="36" spans="1:29" ht="15.75" thickBot="1">
      <c r="A36" s="615" t="s">
        <v>2762</v>
      </c>
      <c r="B36" s="888"/>
      <c r="C36" s="2658" t="e">
        <f>R37</f>
        <v>#DIV/0!</v>
      </c>
      <c r="D36" s="2659"/>
      <c r="E36" s="2660" t="e">
        <f>R36</f>
        <v>#DIV/0!</v>
      </c>
      <c r="F36" s="2660"/>
      <c r="G36" s="2658" t="e">
        <f>T36</f>
        <v>#DIV/0!</v>
      </c>
      <c r="H36" s="2659"/>
      <c r="I36" s="2660" t="e">
        <f>V36</f>
        <v>#DIV/0!</v>
      </c>
      <c r="J36" s="2659"/>
      <c r="K36" s="1613"/>
      <c r="L36" s="2145"/>
      <c r="M36" s="2146"/>
      <c r="N36" s="2135"/>
      <c r="O36" s="2146"/>
      <c r="P36" s="3667" t="str">
        <f>A36</f>
        <v>比较价格（元/平方米）</v>
      </c>
      <c r="Q36" s="3667"/>
      <c r="R36" s="3783" t="e">
        <f>IF(F1="售价",ROUND(PRODUCT(R35,AA7:AA34),0),ROUND(PRODUCT(R35,AA7:AA34),1))</f>
        <v>#DIV/0!</v>
      </c>
      <c r="S36" s="3783"/>
      <c r="T36" s="3783" t="e">
        <f>IF(F1="售价",ROUND(PRODUCT(T35,AB7:AB34),0),ROUND(PRODUCT(T35,AB7:AB34),1))</f>
        <v>#DIV/0!</v>
      </c>
      <c r="U36" s="3783"/>
      <c r="V36" s="3783" t="e">
        <f>IF(F1="售价",ROUND(PRODUCT(V35,AC7:AC34),0),ROUND(PRODUCT(V35,AC7:AC34),1))</f>
        <v>#DIV/0!</v>
      </c>
      <c r="W36" s="3783"/>
      <c r="X36" s="1560"/>
      <c r="Y36" s="1560"/>
      <c r="Z36" s="1560"/>
      <c r="AA36" s="1560"/>
      <c r="AB36" s="1560"/>
      <c r="AC36" s="1560"/>
    </row>
    <row r="37" spans="1:29" ht="15.75" thickBot="1">
      <c r="A37" s="621" t="s">
        <v>2934</v>
      </c>
      <c r="B37" s="622"/>
      <c r="C37" s="2661" t="e">
        <f>R37</f>
        <v>#DIV/0!</v>
      </c>
      <c r="D37" s="2661"/>
      <c r="E37" s="2661"/>
      <c r="F37" s="2661"/>
      <c r="G37" s="2661"/>
      <c r="H37" s="2661"/>
      <c r="I37" s="2661"/>
      <c r="J37" s="2661"/>
      <c r="K37" s="1614"/>
      <c r="L37" s="2145"/>
      <c r="M37" s="2146"/>
      <c r="N37" s="2146"/>
      <c r="O37" s="2146"/>
      <c r="P37" s="3664" t="str">
        <f>A37</f>
        <v>估价对象XX用房的比较价格（楼面单价，元/平方米）</v>
      </c>
      <c r="Q37" s="3665"/>
      <c r="R37" s="3782" t="e">
        <f>IF(F1="售价",ROUND(AVERAGE(R36:V36),0),ROUND(AVERAGE(R36:V36),1))</f>
        <v>#DIV/0!</v>
      </c>
      <c r="S37" s="3782"/>
      <c r="T37" s="3782"/>
      <c r="U37" s="3782"/>
      <c r="V37" s="3782"/>
      <c r="W37" s="3782"/>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8" t="str">
        <f>YEAR(C7)&amp;"-"&amp;MONTH(C7)</f>
        <v>2018-2</v>
      </c>
      <c r="D46" s="2830">
        <f>EDATE(C46,-1)</f>
        <v>43101</v>
      </c>
      <c r="E46" s="2830">
        <f t="shared" ref="E46:O46" si="16">EDATE(D46,-1)</f>
        <v>43070</v>
      </c>
      <c r="F46" s="2830">
        <f t="shared" si="16"/>
        <v>43040</v>
      </c>
      <c r="G46" s="2830">
        <f t="shared" si="16"/>
        <v>43009</v>
      </c>
      <c r="H46" s="2830">
        <f t="shared" si="16"/>
        <v>42979</v>
      </c>
      <c r="I46" s="2830">
        <f t="shared" si="16"/>
        <v>42948</v>
      </c>
      <c r="J46" s="2830">
        <f t="shared" si="16"/>
        <v>42917</v>
      </c>
      <c r="K46" s="2830">
        <f t="shared" si="16"/>
        <v>42887</v>
      </c>
      <c r="L46" s="2830">
        <f t="shared" si="16"/>
        <v>42856</v>
      </c>
      <c r="M46" s="2830">
        <f t="shared" si="16"/>
        <v>42826</v>
      </c>
      <c r="N46" s="2830">
        <f t="shared" si="16"/>
        <v>42795</v>
      </c>
      <c r="O46" s="2830">
        <f t="shared" si="16"/>
        <v>42767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2560</v>
      </c>
      <c r="C65" s="2623" t="s">
        <v>2561</v>
      </c>
      <c r="D65" s="2623" t="s">
        <v>2562</v>
      </c>
      <c r="E65" s="2623" t="s">
        <v>2563</v>
      </c>
      <c r="F65" s="2623" t="s">
        <v>2564</v>
      </c>
      <c r="G65" s="2623" t="s">
        <v>2565</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793" t="s">
        <v>2305</v>
      </c>
      <c r="D1" s="3794"/>
      <c r="E1" s="3794"/>
      <c r="F1" s="3794"/>
      <c r="G1" s="3794"/>
      <c r="H1" s="3794"/>
      <c r="I1" s="3794"/>
      <c r="J1" s="3794"/>
      <c r="K1" s="3794"/>
      <c r="L1" s="3794"/>
      <c r="M1" s="3794"/>
      <c r="N1" s="3794"/>
      <c r="O1" s="3794"/>
      <c r="P1" s="3794"/>
      <c r="Q1" s="3794"/>
      <c r="R1" s="3794"/>
      <c r="S1" s="379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2927</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2926</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2925</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2924</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2923</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90" t="s">
        <v>20</v>
      </c>
      <c r="D22" s="3791"/>
      <c r="E22" s="3791"/>
      <c r="F22" s="3791"/>
      <c r="G22" s="3791"/>
      <c r="H22" s="3791"/>
      <c r="I22" s="3791"/>
      <c r="J22" s="3791"/>
      <c r="K22" s="3791"/>
      <c r="L22" s="3791"/>
      <c r="M22" s="3791"/>
      <c r="N22" s="3791"/>
      <c r="O22" s="3791"/>
      <c r="P22" s="3791"/>
      <c r="Q22" s="3792"/>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苏州金俊房地产开发有限公司：</v>
      </c>
    </row>
    <row r="4" spans="1:4" ht="37.5">
      <c r="A4" s="1792" t="str">
        <f>"受贵公司委托，我公司对"&amp;项目基本情况!K2&amp;项目基本情况!B9&amp;"进行了预评估。"</f>
        <v>受贵公司委托，我公司对苏州市姑苏区永方路以东、合兴路以南1宗住宅用途出让国有建设用地使用权市场价格进行了预评估。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苏州市姑苏区永方路以东、合兴路以南1宗住宅用途出让国有建设用地使用权。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141864.26平方米。</v>
      </c>
    </row>
    <row r="7" spans="1:4" ht="56.25">
      <c r="A7" s="1796" t="s">
        <v>2749</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2018年2月28日（评估专业人员勘察现场之日）</v>
      </c>
    </row>
    <row r="12" spans="1:4" ht="18.75">
      <c r="A12" s="1798" t="s">
        <v>2026</v>
      </c>
    </row>
    <row r="13" spans="1:4" ht="18.75">
      <c r="A13" s="1792" t="s">
        <v>2942</v>
      </c>
    </row>
    <row r="14" spans="1:4" ht="37.5">
      <c r="A14" s="1792" t="str">
        <f>"根据"&amp;项目基本情况!F12&amp;"，本次评估估价对象证载（地类）用途为"&amp;项目基本情况!B12&amp;"。"</f>
        <v>根据《国有建设用地使用权网上挂牌出让成交确认书》[编号：苏地2017-WG-48号]，本次评估估价对象证载（地类）用途为住宅。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93.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141864.26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网上挂牌出让成交确认书》[编号：苏地2017-WG-48号]证载土地终止日期为住宅2088年2月28日、商业2058年2月28日。截至估价期日，出让国有建设用地使用权剩余土地使用年限为住宅70年。</v>
      </c>
    </row>
    <row r="23" spans="1:1" ht="18.75">
      <c r="A23" s="1792" t="str">
        <f>IF(项目基本情况!B16="出让","本次评估设定估价对象剩余土地使用年限为"&amp;项目基本情况!D20&amp;"。","")</f>
        <v>本次评估设定估价对象剩余土地使用年限为住宅70年。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2790</v>
      </c>
      <c r="C1" s="3030">
        <f>项目基本情况!D3</f>
        <v>43159</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2821</v>
      </c>
      <c r="C2" s="3031">
        <f>'数据-取费表'!B22</f>
        <v>2</v>
      </c>
      <c r="D2" s="3026" t="s">
        <v>2791</v>
      </c>
      <c r="E2" s="3029">
        <f ca="1">INDIRECT("I"&amp;$I$1)/100</f>
        <v>4.7500000000000001E-2</v>
      </c>
      <c r="G2" s="2966"/>
      <c r="H2" s="2966"/>
      <c r="I2" s="2966" t="s">
        <v>2792</v>
      </c>
      <c r="K2" s="2966"/>
      <c r="L2" s="2966"/>
      <c r="M2" s="2966"/>
      <c r="N2" s="2966" t="s">
        <v>2793</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2823</v>
      </c>
      <c r="C3" s="3028">
        <f>'数据-取费表'!B19</f>
        <v>0</v>
      </c>
      <c r="D3" s="3026" t="s">
        <v>2791</v>
      </c>
      <c r="E3" s="3029">
        <f ca="1">INDIRECT("J"&amp;$J$1)/100</f>
        <v>0</v>
      </c>
      <c r="G3" s="2968" t="s">
        <v>2794</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2822</v>
      </c>
      <c r="C4" s="3029">
        <f ca="1">N4/100</f>
        <v>1.4999999999999999E-2</v>
      </c>
      <c r="G4" s="2974" t="s">
        <v>2795</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2796</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2797</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2798</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2799</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2800</v>
      </c>
      <c r="C10" s="2993"/>
      <c r="D10" s="2993"/>
      <c r="E10" s="2993"/>
      <c r="F10" s="2993"/>
      <c r="G10" s="2993"/>
      <c r="H10" s="2993"/>
      <c r="I10" s="2967"/>
      <c r="J10" s="2967"/>
      <c r="K10" s="2993"/>
      <c r="L10" s="2994" t="s">
        <v>2801</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2802</v>
      </c>
      <c r="C11" s="2998" t="s">
        <v>2803</v>
      </c>
      <c r="D11" s="2999" t="s">
        <v>2804</v>
      </c>
      <c r="E11" s="3000"/>
      <c r="F11" s="2999" t="s">
        <v>2805</v>
      </c>
      <c r="G11" s="3001"/>
      <c r="H11" s="3000"/>
      <c r="I11" s="2999" t="s">
        <v>2806</v>
      </c>
      <c r="J11" s="3000"/>
      <c r="K11" s="2996"/>
      <c r="L11" s="2997" t="s">
        <v>2802</v>
      </c>
      <c r="M11" s="2998" t="s">
        <v>2803</v>
      </c>
      <c r="N11" s="2997" t="s">
        <v>2807</v>
      </c>
      <c r="O11" s="2999" t="s">
        <v>2808</v>
      </c>
      <c r="P11" s="3001"/>
      <c r="Q11" s="3001"/>
      <c r="R11" s="3001"/>
      <c r="S11" s="3001"/>
      <c r="T11" s="3000"/>
      <c r="U11" s="2999" t="s">
        <v>2809</v>
      </c>
      <c r="V11" s="3001"/>
      <c r="W11" s="3000"/>
      <c r="X11" s="2997" t="s">
        <v>2810</v>
      </c>
      <c r="Y11" s="2997" t="s">
        <v>2811</v>
      </c>
      <c r="Z11" s="2997" t="s">
        <v>2812</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2813</v>
      </c>
      <c r="E12" s="3006" t="s">
        <v>2814</v>
      </c>
      <c r="F12" s="3006" t="s">
        <v>2815</v>
      </c>
      <c r="G12" s="3006" t="s">
        <v>2816</v>
      </c>
      <c r="H12" s="3006" t="s">
        <v>2798</v>
      </c>
      <c r="I12" s="3007" t="s">
        <v>2817</v>
      </c>
      <c r="J12" s="3007" t="s">
        <v>2817</v>
      </c>
      <c r="K12" s="3003"/>
      <c r="L12" s="3004"/>
      <c r="M12" s="3005"/>
      <c r="N12" s="3004"/>
      <c r="O12" s="3007" t="s">
        <v>2818</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2819</v>
      </c>
      <c r="C13" s="3011">
        <v>42301</v>
      </c>
      <c r="D13" s="3012">
        <v>4.3499999999999996</v>
      </c>
      <c r="E13" s="3012">
        <v>4.3499999999999996</v>
      </c>
      <c r="F13" s="3012">
        <v>4.75</v>
      </c>
      <c r="G13" s="3012">
        <v>4.75</v>
      </c>
      <c r="H13" s="3012">
        <v>4.9000000000000004</v>
      </c>
      <c r="I13" s="3012">
        <v>2.75</v>
      </c>
      <c r="J13" s="3012">
        <v>3.25</v>
      </c>
      <c r="K13" s="3009"/>
      <c r="L13" s="3010" t="s">
        <v>2819</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2820</v>
      </c>
      <c r="Y42" s="3016" t="s">
        <v>2820</v>
      </c>
      <c r="Z42" s="3016" t="s">
        <v>2820</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2820</v>
      </c>
      <c r="Y43" s="3016" t="s">
        <v>2820</v>
      </c>
      <c r="Z43" s="3016" t="s">
        <v>2820</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2820</v>
      </c>
      <c r="Y44" s="3016" t="s">
        <v>2820</v>
      </c>
      <c r="Z44" s="3016" t="s">
        <v>2820</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2820</v>
      </c>
      <c r="Y45" s="3016" t="s">
        <v>2820</v>
      </c>
      <c r="Z45" s="3016" t="s">
        <v>2820</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2820</v>
      </c>
      <c r="Y46" s="3016" t="s">
        <v>2820</v>
      </c>
      <c r="Z46" s="3016" t="s">
        <v>2820</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2820</v>
      </c>
      <c r="Y47" s="3016" t="s">
        <v>2820</v>
      </c>
      <c r="Z47" s="3016" t="s">
        <v>2820</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2820</v>
      </c>
      <c r="Y48" s="3016" t="s">
        <v>2820</v>
      </c>
      <c r="Z48" s="3016" t="s">
        <v>2820</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2820</v>
      </c>
      <c r="Y49" s="3016" t="s">
        <v>2820</v>
      </c>
      <c r="Z49" s="3016" t="s">
        <v>2820</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2820</v>
      </c>
      <c r="Y50" s="3016" t="s">
        <v>2820</v>
      </c>
      <c r="Z50" s="3016" t="s">
        <v>2820</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2820</v>
      </c>
      <c r="V51" s="3016" t="s">
        <v>2820</v>
      </c>
      <c r="W51" s="3016" t="s">
        <v>2820</v>
      </c>
      <c r="X51" s="3016" t="s">
        <v>2820</v>
      </c>
      <c r="Y51" s="3016" t="s">
        <v>2820</v>
      </c>
      <c r="Z51" s="3016" t="s">
        <v>2820</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2820</v>
      </c>
      <c r="J55" s="3016" t="s">
        <v>2820</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4" zoomScale="80" zoomScaleNormal="80" workbookViewId="0">
      <selection activeCell="J17" sqref="J1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3303</v>
      </c>
      <c r="D1" s="3158" t="s">
        <v>3307</v>
      </c>
      <c r="E1" s="2412" t="s">
        <v>2374</v>
      </c>
      <c r="F1" s="2413">
        <f ca="1">J53</f>
        <v>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61750</v>
      </c>
      <c r="C2" s="2058"/>
      <c r="D2" s="2056"/>
      <c r="E2" s="2057"/>
      <c r="F2" s="2057"/>
      <c r="G2" s="1591"/>
      <c r="H2" s="2058"/>
      <c r="I2" s="2058"/>
      <c r="J2" s="2058"/>
      <c r="K2" s="2059"/>
      <c r="L2" s="2058"/>
      <c r="M2" s="2058"/>
    </row>
    <row r="3" spans="1:33" ht="18" customHeight="1" thickBot="1">
      <c r="A3" s="833" t="s">
        <v>1729</v>
      </c>
      <c r="B3" s="834">
        <f ca="1">IF(ISERROR(B2*10000/F43),0,ROUND(B2*10000/F43,0))</f>
        <v>43528</v>
      </c>
      <c r="C3" s="2058"/>
      <c r="D3" s="2056"/>
      <c r="E3" s="2057"/>
      <c r="F3" s="2057"/>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2459</v>
      </c>
      <c r="C5" s="55">
        <f ca="1">C6+C10+C12</f>
        <v>2645</v>
      </c>
      <c r="D5" s="2521" t="s">
        <v>2462</v>
      </c>
      <c r="E5" s="2515"/>
      <c r="F5" s="2516"/>
      <c r="G5" s="1593"/>
      <c r="H5" s="781">
        <v>1</v>
      </c>
      <c r="I5" s="782" t="s">
        <v>2459</v>
      </c>
      <c r="J5" s="55">
        <f ca="1">J6+J10+J12</f>
        <v>0</v>
      </c>
      <c r="K5" s="2521" t="s">
        <v>2462</v>
      </c>
      <c r="L5" s="2515"/>
      <c r="M5" s="2516"/>
    </row>
    <row r="6" spans="1:33" ht="18" customHeight="1">
      <c r="A6" s="1831" t="s">
        <v>1826</v>
      </c>
      <c r="B6" s="3743" t="s">
        <v>2464</v>
      </c>
      <c r="C6" s="783">
        <f ca="1">ROUND(F6*F8*F7*(1-F9)/10000,0)</f>
        <v>2641</v>
      </c>
      <c r="D6" s="2522" t="s">
        <v>2463</v>
      </c>
      <c r="E6" s="784" t="s">
        <v>1740</v>
      </c>
      <c r="F6" s="785">
        <f ca="1">INDIRECT("'数据-取费表'!u"&amp;$G$1)</f>
        <v>6</v>
      </c>
      <c r="G6" s="1593"/>
      <c r="H6" s="2529" t="s">
        <v>2470</v>
      </c>
      <c r="I6" s="3743" t="s">
        <v>2464</v>
      </c>
      <c r="J6" s="783">
        <f ca="1">ROUND(M6*M8*M7*(1-M9)/10000,0)</f>
        <v>0</v>
      </c>
      <c r="K6" s="341" t="s">
        <v>1739</v>
      </c>
      <c r="L6" s="784" t="s">
        <v>1740</v>
      </c>
      <c r="M6" s="785">
        <f ca="1">INDIRECT("'数据-取费表'!z"&amp;$G$1)</f>
        <v>0</v>
      </c>
    </row>
    <row r="7" spans="1:33" ht="18" customHeight="1">
      <c r="A7" s="2525"/>
      <c r="B7" s="3744"/>
      <c r="C7" s="788"/>
      <c r="D7" s="789"/>
      <c r="E7" s="784" t="s">
        <v>1741</v>
      </c>
      <c r="F7" s="785">
        <f ca="1">IF(INDIRECT("'数据-取费表'!ah"&amp;$G$1)="",INDIRECT("'数据-取费表'!k"&amp;$G$1),INDIRECT("'数据-取费表'!ah"&amp;$G$1))</f>
        <v>14186.43</v>
      </c>
      <c r="G7" s="1593"/>
      <c r="H7" s="2514"/>
      <c r="I7" s="3744"/>
      <c r="J7" s="788"/>
      <c r="K7" s="789"/>
      <c r="L7" s="784" t="s">
        <v>1741</v>
      </c>
      <c r="M7" s="785">
        <f ca="1">F7</f>
        <v>14186.43</v>
      </c>
    </row>
    <row r="8" spans="1:33" ht="18" customHeight="1">
      <c r="A8" s="2518"/>
      <c r="B8" s="3745"/>
      <c r="C8" s="788"/>
      <c r="D8" s="789"/>
      <c r="E8" s="784" t="s">
        <v>1742</v>
      </c>
      <c r="F8" s="785">
        <f ca="1">INDIRECT("'数据-取费表'!ai"&amp;$G$1)</f>
        <v>365</v>
      </c>
      <c r="G8" s="1593"/>
      <c r="H8" s="2514"/>
      <c r="I8" s="3745"/>
      <c r="J8" s="788"/>
      <c r="K8" s="789"/>
      <c r="L8" s="784" t="s">
        <v>1742</v>
      </c>
      <c r="M8" s="785">
        <f ca="1">INDIRECT("'数据-取费表'!ai"&amp;$G$1)</f>
        <v>365</v>
      </c>
    </row>
    <row r="9" spans="1:33" ht="18" customHeight="1">
      <c r="A9" s="786"/>
      <c r="B9" s="3746"/>
      <c r="C9" s="788"/>
      <c r="D9" s="789"/>
      <c r="E9" s="784" t="s">
        <v>1743</v>
      </c>
      <c r="F9" s="794">
        <f ca="1">INDIRECT("'数据-取费表'!w"&amp;$G$1)</f>
        <v>0.15</v>
      </c>
      <c r="G9" s="1593"/>
      <c r="H9" s="2530"/>
      <c r="I9" s="3745"/>
      <c r="J9" s="788"/>
      <c r="K9" s="789"/>
      <c r="L9" s="795" t="s">
        <v>1743</v>
      </c>
      <c r="M9" s="796">
        <f ca="1">INDIRECT("'数据-取费表'!ab"&amp;$G$1)</f>
        <v>0</v>
      </c>
    </row>
    <row r="10" spans="1:33" ht="18" customHeight="1">
      <c r="A10" s="1831" t="s">
        <v>2468</v>
      </c>
      <c r="B10" s="2519" t="s">
        <v>2460</v>
      </c>
      <c r="C10" s="799">
        <f ca="1">ROUND(IF(F10="押一",F6*F8*F7/12*F11,IF(F10="押二",F6*F8*F7/12*2*F11,IF(F10="押三",F6*F8*F7/12*3*F11,C11*F11)))/10000,0)</f>
        <v>4</v>
      </c>
      <c r="D10" s="2526" t="s">
        <v>2467</v>
      </c>
      <c r="E10" s="2523" t="s">
        <v>2465</v>
      </c>
      <c r="F10" s="2646" t="s">
        <v>3308</v>
      </c>
      <c r="G10" s="1593"/>
      <c r="H10" s="2586" t="s">
        <v>2471</v>
      </c>
      <c r="I10" s="2591" t="s">
        <v>2460</v>
      </c>
      <c r="J10" s="783">
        <f ca="1">ROUND(IF(M10="押一",M6*M8*M7/12*M11,IF(M10="押二",M6*M8*M7/12*2*M11,IF(M10="押三",M6*M8*M7/12*3*M11,J11*M11)))/10000,0)</f>
        <v>0</v>
      </c>
      <c r="K10" s="2526" t="s">
        <v>2467</v>
      </c>
      <c r="L10" s="2523" t="s">
        <v>2465</v>
      </c>
      <c r="M10" s="2646" t="s">
        <v>3308</v>
      </c>
    </row>
    <row r="11" spans="1:33" ht="18" customHeight="1">
      <c r="A11" s="790"/>
      <c r="B11" s="2520" t="s">
        <v>2575</v>
      </c>
      <c r="C11" s="2524"/>
      <c r="D11" s="789"/>
      <c r="E11" s="2523" t="s">
        <v>2466</v>
      </c>
      <c r="F11" s="796">
        <f ca="1">'数据-取费表'!B39</f>
        <v>1.4999999999999999E-2</v>
      </c>
      <c r="G11" s="1593"/>
      <c r="H11" s="2587"/>
      <c r="I11" s="2520" t="s">
        <v>2575</v>
      </c>
      <c r="J11" s="2524"/>
      <c r="K11" s="2588"/>
      <c r="L11" s="2523" t="s">
        <v>2466</v>
      </c>
      <c r="M11" s="2517">
        <f ca="1">'数据-取费表'!B39</f>
        <v>1.4999999999999999E-2</v>
      </c>
    </row>
    <row r="12" spans="1:33" ht="18" customHeight="1" thickBot="1">
      <c r="A12" s="2562" t="s">
        <v>2469</v>
      </c>
      <c r="B12" s="2563" t="s">
        <v>2461</v>
      </c>
      <c r="C12" s="2564"/>
      <c r="D12" s="2565"/>
      <c r="E12" s="2566"/>
      <c r="F12" s="2567"/>
      <c r="G12" s="1593"/>
      <c r="H12" s="2576" t="s">
        <v>2472</v>
      </c>
      <c r="I12" s="2589" t="s">
        <v>2461</v>
      </c>
      <c r="J12" s="2590"/>
      <c r="K12" s="2565"/>
      <c r="L12" s="2566"/>
      <c r="M12" s="2579"/>
    </row>
    <row r="13" spans="1:33" ht="18" customHeight="1" thickTop="1">
      <c r="A13" s="1830">
        <v>2</v>
      </c>
      <c r="B13" s="1828" t="s">
        <v>1744</v>
      </c>
      <c r="C13" s="792">
        <f ca="1">ROUND(C29*F13,0)</f>
        <v>3712</v>
      </c>
      <c r="D13" s="1835" t="s">
        <v>2298</v>
      </c>
      <c r="E13" s="1835" t="s">
        <v>1746</v>
      </c>
      <c r="F13" s="2561">
        <f ca="1">INDIRECT("'数据-取费表'!y"&amp;$G$1)</f>
        <v>1</v>
      </c>
      <c r="G13" s="1593"/>
      <c r="H13" s="1830">
        <v>2</v>
      </c>
      <c r="I13" s="1828" t="s">
        <v>1744</v>
      </c>
      <c r="J13" s="1820">
        <f ca="1">ROUND(J14*J15,0)</f>
        <v>0</v>
      </c>
      <c r="K13" s="1822" t="s">
        <v>1745</v>
      </c>
      <c r="L13" s="2577"/>
      <c r="M13" s="2578"/>
    </row>
    <row r="14" spans="1:33" ht="18" customHeight="1">
      <c r="A14" s="1649" t="s">
        <v>1886</v>
      </c>
      <c r="B14" s="784" t="s">
        <v>646</v>
      </c>
      <c r="C14" s="804">
        <f ca="1">INDIRECT("'数据-取费表'!m"&amp;$G$1)+INDIRECT("'数据-取费表'!t"&amp;$G$1)</f>
        <v>2412</v>
      </c>
      <c r="D14" s="1980" t="s">
        <v>1747</v>
      </c>
      <c r="E14" s="1981"/>
      <c r="F14" s="805"/>
      <c r="G14" s="1593"/>
      <c r="H14" s="1650" t="s">
        <v>1832</v>
      </c>
      <c r="I14" s="2232" t="s">
        <v>2828</v>
      </c>
      <c r="J14" s="53">
        <f ca="1">C29</f>
        <v>3712</v>
      </c>
      <c r="K14" s="26"/>
      <c r="L14" s="801"/>
      <c r="M14" s="802"/>
    </row>
    <row r="15" spans="1:33" s="2065" customFormat="1" ht="18" customHeight="1" thickBot="1">
      <c r="A15" s="1649" t="s">
        <v>1887</v>
      </c>
      <c r="B15" s="784" t="s">
        <v>648</v>
      </c>
      <c r="C15" s="53">
        <f ca="1">ROUND(C14*F15,0)</f>
        <v>72</v>
      </c>
      <c r="D15" s="806" t="s">
        <v>1748</v>
      </c>
      <c r="E15" s="806" t="s">
        <v>1749</v>
      </c>
      <c r="F15" s="807">
        <f>'数据-取费表'!B33</f>
        <v>0.03</v>
      </c>
      <c r="G15" s="1594"/>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90</v>
      </c>
      <c r="K16" s="1822" t="s">
        <v>1752</v>
      </c>
      <c r="L16" s="2511"/>
      <c r="M16" s="2516"/>
    </row>
    <row r="17" spans="1:33" s="2065" customFormat="1" ht="18" customHeight="1">
      <c r="A17" s="1649" t="s">
        <v>1889</v>
      </c>
      <c r="B17" s="784" t="s">
        <v>654</v>
      </c>
      <c r="C17" s="53">
        <f ca="1">ROUND(F17*(F43+INDIRECT("'数据-取费表'!S"&amp;$G$1))/10000,0)</f>
        <v>284</v>
      </c>
      <c r="D17" s="784" t="s">
        <v>1753</v>
      </c>
      <c r="E17" s="784" t="s">
        <v>1754</v>
      </c>
      <c r="F17" s="56">
        <f>'数据-取费表'!B35</f>
        <v>200</v>
      </c>
      <c r="G17" s="1594"/>
      <c r="H17" s="1650" t="s">
        <v>1832</v>
      </c>
      <c r="I17" s="784" t="s">
        <v>657</v>
      </c>
      <c r="J17" s="53">
        <f ca="1">ROUND(IF(项目基本情况!B11="自然人",J5*M17,J18+J19+J20),0)</f>
        <v>34</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1890</v>
      </c>
      <c r="B18" s="784" t="s">
        <v>660</v>
      </c>
      <c r="C18" s="53">
        <f ca="1">ROUND(C14*F18,0)</f>
        <v>36</v>
      </c>
      <c r="D18" s="784" t="s">
        <v>1748</v>
      </c>
      <c r="E18" s="784" t="s">
        <v>1749</v>
      </c>
      <c r="F18" s="809">
        <f>'数据-取费表'!B36</f>
        <v>1.4999999999999999E-2</v>
      </c>
      <c r="G18" s="1594"/>
      <c r="H18" s="1649" t="s">
        <v>1886</v>
      </c>
      <c r="I18" s="784" t="s">
        <v>1757</v>
      </c>
      <c r="J18" s="53">
        <f ca="1">ROUND(J5*M18/1.05,1)</f>
        <v>0</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1832</v>
      </c>
      <c r="B19" s="784" t="s">
        <v>663</v>
      </c>
      <c r="C19" s="53">
        <f ca="1">SUM(C14:C18)</f>
        <v>2804</v>
      </c>
      <c r="D19" s="261" t="s">
        <v>1759</v>
      </c>
      <c r="E19" s="1983"/>
      <c r="F19" s="56"/>
      <c r="G19" s="1593"/>
      <c r="H19" s="1649" t="s">
        <v>1887</v>
      </c>
      <c r="I19" s="784" t="s">
        <v>1760</v>
      </c>
      <c r="J19" s="53">
        <f ca="1">IF(K19="按租金收入计税",ROUND(J5*M19,1),ROUND(C29*F33*0.7,1))</f>
        <v>31.2</v>
      </c>
      <c r="K19" s="811" t="s">
        <v>666</v>
      </c>
      <c r="L19" s="784" t="s">
        <v>1749</v>
      </c>
      <c r="M19" s="809">
        <f>IF(K19="按租金收入计税",'数据-取费表'!B51,'数据-取费表'!B50)</f>
        <v>1.2E-2</v>
      </c>
    </row>
    <row r="20" spans="1:33" s="2065" customFormat="1" ht="18" customHeight="1">
      <c r="A20" s="1650" t="s">
        <v>1891</v>
      </c>
      <c r="B20" s="784" t="s">
        <v>667</v>
      </c>
      <c r="C20" s="53">
        <f ca="1">ROUND(C19*F20,0)</f>
        <v>56</v>
      </c>
      <c r="D20" s="812" t="s">
        <v>1761</v>
      </c>
      <c r="E20" s="784" t="s">
        <v>1749</v>
      </c>
      <c r="F20" s="809">
        <f>'数据-取费表'!B37</f>
        <v>0.02</v>
      </c>
      <c r="G20" s="1594"/>
      <c r="H20" s="1652" t="s">
        <v>1882</v>
      </c>
      <c r="I20" s="341" t="s">
        <v>1762</v>
      </c>
      <c r="J20" s="54">
        <f ca="1">ROUND(M20*M21/10000,0)</f>
        <v>3</v>
      </c>
      <c r="K20" s="814" t="s">
        <v>1763</v>
      </c>
      <c r="L20" s="784" t="s">
        <v>1764</v>
      </c>
      <c r="M20" s="640">
        <f>'数据-取费表'!B52</f>
        <v>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1892</v>
      </c>
      <c r="B21" s="784" t="s">
        <v>1765</v>
      </c>
      <c r="C21" s="53" t="s">
        <v>1766</v>
      </c>
      <c r="D21" s="812" t="s">
        <v>2299</v>
      </c>
      <c r="E21" s="784" t="s">
        <v>1767</v>
      </c>
      <c r="F21" s="809">
        <f>'数据-取费表'!B38</f>
        <v>0.02</v>
      </c>
      <c r="G21" s="1594"/>
      <c r="H21" s="2531"/>
      <c r="I21" s="793"/>
      <c r="J21" s="69"/>
      <c r="K21" s="816"/>
      <c r="L21" s="784" t="s">
        <v>1768</v>
      </c>
      <c r="M21" s="785">
        <f ca="1">INDIRECT("'数据-取费表'!r"&amp;$G$1)</f>
        <v>5674.57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1893</v>
      </c>
      <c r="B22" s="784" t="s">
        <v>1769</v>
      </c>
      <c r="C22" s="53"/>
      <c r="D22" s="2597" t="str">
        <f>IF(F23&lt;=1,"单利计息。","复利计息。")&amp;"建造成本、管理费用、销售费用产生的利息。"</f>
        <v>复利计息。建造成本、管理费用、销售费用产生的利息。</v>
      </c>
      <c r="E22" s="1983"/>
      <c r="F22" s="56"/>
      <c r="G22" s="1593"/>
      <c r="H22" s="1650" t="s">
        <v>1891</v>
      </c>
      <c r="I22" s="784" t="s">
        <v>1770</v>
      </c>
      <c r="J22" s="53">
        <f ca="1">ROUND(J14*M22,0)</f>
        <v>56</v>
      </c>
      <c r="K22" s="2509" t="s">
        <v>1771</v>
      </c>
      <c r="L22" s="784" t="s">
        <v>1749</v>
      </c>
      <c r="M22" s="817">
        <f ca="1">INDIRECT("'数据-取费表'!Ak"&amp;$G$1)</f>
        <v>1.4999999999999999E-2</v>
      </c>
    </row>
    <row r="23" spans="1:33" s="2065" customFormat="1" ht="18" customHeight="1">
      <c r="A23" s="1649" t="s">
        <v>1833</v>
      </c>
      <c r="B23" s="784" t="s">
        <v>2537</v>
      </c>
      <c r="C23" s="53">
        <f ca="1">ROUND(IF('数据-取费表'!B22&lt;=1,(C19+C20)*F24*F23/2,(C19+C20)*(POWER((1+F24),F23/2)-1)),0)</f>
        <v>136</v>
      </c>
      <c r="D23" s="2596"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09"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1834</v>
      </c>
      <c r="B24" s="784" t="s">
        <v>1774</v>
      </c>
      <c r="C24" s="53">
        <f ca="1">ROUND(IF('数据-取费表'!B22&lt;=1,F21*F24*F23/2,F21*(POWER((1+F24),F23/2)-1)),4)</f>
        <v>1E-3</v>
      </c>
      <c r="D24" s="2596" t="str">
        <f>IF(F23&lt;=1,"销售费用×利率×(建设周期÷2)","销售费用×((1+利率)^(建设周期÷2)-1)")</f>
        <v>销售费用×((1+利率)^(建设周期÷2)-1)</v>
      </c>
      <c r="E24" s="784" t="s">
        <v>1775</v>
      </c>
      <c r="F24" s="819">
        <f ca="1">'数据-取费表'!B40</f>
        <v>4.7500000000000001E-2</v>
      </c>
      <c r="G24" s="1594"/>
      <c r="H24" s="2576" t="s">
        <v>1893</v>
      </c>
      <c r="I24" s="2571" t="s">
        <v>667</v>
      </c>
      <c r="J24" s="2569">
        <f ca="1">ROUND(J5*M24,0)</f>
        <v>0</v>
      </c>
      <c r="K24" s="2570" t="s">
        <v>1776</v>
      </c>
      <c r="L24" s="2571" t="s">
        <v>1749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1842</v>
      </c>
      <c r="B25" s="784" t="s">
        <v>685</v>
      </c>
      <c r="C25" s="53"/>
      <c r="D25" s="261" t="s">
        <v>1777</v>
      </c>
      <c r="E25" s="1983"/>
      <c r="F25" s="56"/>
      <c r="G25" s="1593"/>
      <c r="H25" s="1830" t="s">
        <v>1778</v>
      </c>
      <c r="I25" s="3036" t="s">
        <v>2824</v>
      </c>
      <c r="J25" s="792">
        <f ca="1">J5-J16</f>
        <v>-90</v>
      </c>
      <c r="K25" s="2573" t="s">
        <v>1779</v>
      </c>
      <c r="L25" s="2574"/>
      <c r="M25" s="2575"/>
    </row>
    <row r="26" spans="1:33" ht="18" customHeight="1">
      <c r="A26" s="1649" t="s">
        <v>1833</v>
      </c>
      <c r="B26" s="784" t="s">
        <v>2438</v>
      </c>
      <c r="C26" s="53">
        <f ca="1">ROUND((C19+C20)*F26,0)</f>
        <v>429</v>
      </c>
      <c r="D26" s="812" t="s">
        <v>1780</v>
      </c>
      <c r="E26" s="795" t="s">
        <v>1781</v>
      </c>
      <c r="F26" s="794">
        <f ca="1">INDIRECT("'数据-取费表'!q"&amp;$G$1)</f>
        <v>0.15</v>
      </c>
      <c r="G26" s="1593"/>
      <c r="H26" s="2527" t="s">
        <v>1782</v>
      </c>
      <c r="I26" s="2233" t="s">
        <v>2829</v>
      </c>
      <c r="J26" s="783">
        <f ca="1">IF(J5&lt;&gt;0,ROUND(J25*(1-((1+M28)/(1+M26))^M27)/(M26-M28),0),0)</f>
        <v>0</v>
      </c>
      <c r="K26" s="814" t="s">
        <v>1783</v>
      </c>
      <c r="L26" s="784" t="s">
        <v>2419</v>
      </c>
      <c r="M26" s="794">
        <f ca="1">INDIRECT("'数据-取费表'!I"&amp;$G$1)</f>
        <v>0.05</v>
      </c>
    </row>
    <row r="27" spans="1:33" ht="18" customHeight="1">
      <c r="A27" s="1649" t="s">
        <v>1834</v>
      </c>
      <c r="B27" s="784" t="s">
        <v>687</v>
      </c>
      <c r="C27" s="53">
        <f ca="1">ROUND(F21*F26,4)</f>
        <v>3.0000000000000001E-3</v>
      </c>
      <c r="D27" s="812" t="s">
        <v>1784</v>
      </c>
      <c r="E27" s="806"/>
      <c r="F27" s="807"/>
      <c r="G27" s="1593"/>
      <c r="H27" s="2528"/>
      <c r="I27" s="787"/>
      <c r="J27" s="788"/>
      <c r="K27" s="821" t="s">
        <v>1785</v>
      </c>
      <c r="L27" s="784" t="s">
        <v>1786</v>
      </c>
      <c r="M27" s="822">
        <f ca="1">INDIRECT("'数据-取费表'!ag"&amp;$G$1)</f>
        <v>0</v>
      </c>
    </row>
    <row r="28" spans="1:33" s="2065" customFormat="1" ht="18" customHeight="1">
      <c r="A28" s="1651" t="s">
        <v>1843</v>
      </c>
      <c r="B28" s="784" t="s">
        <v>688</v>
      </c>
      <c r="C28" s="53">
        <f>ROUND(F28/(1+'数据-取费表'!C42),4)</f>
        <v>5.33E-2</v>
      </c>
      <c r="D28" s="812" t="s">
        <v>2300</v>
      </c>
      <c r="E28" s="784" t="s">
        <v>1787</v>
      </c>
      <c r="F28" s="809">
        <f>'数据-取费表'!B41</f>
        <v>5.6000000000000001E-2</v>
      </c>
      <c r="G28" s="1594"/>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2301</v>
      </c>
      <c r="C29" s="2569">
        <f ca="1">ROUND((C19+C20+C23+C26)/(1-F21-C24-C27-C28),0)</f>
        <v>3712</v>
      </c>
      <c r="D29" s="2570"/>
      <c r="E29" s="2571"/>
      <c r="F29" s="2572"/>
      <c r="G29" s="1594"/>
      <c r="H29" s="823" t="s">
        <v>1789</v>
      </c>
      <c r="I29" s="824" t="s">
        <v>1790</v>
      </c>
      <c r="J29" s="825">
        <f ca="1">ROUND(J26/(1+F40)^F41,0)</f>
        <v>0</v>
      </c>
      <c r="K29" s="826" t="s">
        <v>1791</v>
      </c>
      <c r="L29" s="827"/>
      <c r="M29" s="828">
        <f ca="1">INDIRECT("'数据-取费表'!k"&amp;$G$1)</f>
        <v>14186.43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263</v>
      </c>
      <c r="D30" s="1822" t="s">
        <v>1793</v>
      </c>
      <c r="E30" s="2511"/>
      <c r="F30" s="2516"/>
      <c r="G30" s="2063"/>
      <c r="H30" s="2066"/>
      <c r="I30" s="2067"/>
      <c r="J30" s="2068"/>
      <c r="K30" s="2069"/>
      <c r="L30" s="2070"/>
      <c r="M30" s="2071"/>
    </row>
    <row r="31" spans="1:33" ht="18" customHeight="1">
      <c r="A31" s="1650" t="s">
        <v>1832</v>
      </c>
      <c r="B31" s="784" t="s">
        <v>657</v>
      </c>
      <c r="C31" s="53">
        <f ca="1">ROUND(IF(项目基本情况!B11="自然人",C5*F31,C32+C33+C34),1)</f>
        <v>175.1</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1833</v>
      </c>
      <c r="B32" s="784" t="s">
        <v>1796</v>
      </c>
      <c r="C32" s="53">
        <f ca="1">ROUND(C5*F32/1.05,1)</f>
        <v>141.1</v>
      </c>
      <c r="D32" s="1978" t="s">
        <v>1797</v>
      </c>
      <c r="E32" s="784" t="s">
        <v>1798</v>
      </c>
      <c r="F32" s="809">
        <f>'数据-取费表'!B41</f>
        <v>5.6000000000000001E-2</v>
      </c>
      <c r="G32" s="2063"/>
      <c r="H32" s="2072"/>
      <c r="I32" s="2073"/>
      <c r="J32" s="2074"/>
      <c r="K32" s="2075"/>
      <c r="L32" s="2076"/>
      <c r="M32" s="2077"/>
    </row>
    <row r="33" spans="1:18" ht="18" customHeight="1">
      <c r="A33" s="1649" t="s">
        <v>1834</v>
      </c>
      <c r="B33" s="784" t="s">
        <v>1799</v>
      </c>
      <c r="C33" s="53">
        <f ca="1">IF(D33="按租金收入计税",ROUND(C5*F33,1),IF(D33="按房产原值计税",ROUND(C29*F33*0.7,1),INDIRECT("'数据-取费表'!Aj"&amp;$G$1)))</f>
        <v>31.2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2" t="s">
        <v>1835</v>
      </c>
      <c r="B34" s="341" t="s">
        <v>1800</v>
      </c>
      <c r="C34" s="54">
        <f ca="1">ROUND(F34*F35/10000,1)</f>
        <v>2.8</v>
      </c>
      <c r="D34" s="814" t="s">
        <v>1801</v>
      </c>
      <c r="E34" s="784" t="s">
        <v>1802</v>
      </c>
      <c r="F34" s="640">
        <f>'数据-取费表'!B52</f>
        <v>5</v>
      </c>
      <c r="G34" s="2063"/>
      <c r="H34" s="2066"/>
      <c r="I34" s="835" t="s">
        <v>1815</v>
      </c>
      <c r="J34" s="836"/>
      <c r="K34" s="2081"/>
      <c r="L34" s="2080"/>
      <c r="M34" s="2080"/>
    </row>
    <row r="35" spans="1:18" ht="18" customHeight="1">
      <c r="A35" s="815"/>
      <c r="B35" s="793"/>
      <c r="C35" s="69"/>
      <c r="D35" s="816"/>
      <c r="E35" s="784" t="s">
        <v>1803</v>
      </c>
      <c r="F35" s="785">
        <f ca="1">INDIRECT("'数据-取费表'!r"&amp;$G$1)</f>
        <v>5674.57</v>
      </c>
      <c r="G35" s="2063"/>
      <c r="H35" s="2066"/>
      <c r="I35" s="837" t="s">
        <v>1816</v>
      </c>
      <c r="J35" s="838">
        <f ca="1">ROUND(C13*J36,0)</f>
        <v>316</v>
      </c>
      <c r="K35" s="2079"/>
      <c r="L35" s="2078"/>
      <c r="M35" s="2078"/>
    </row>
    <row r="36" spans="1:18" ht="18" customHeight="1">
      <c r="A36" s="1650" t="s">
        <v>1891</v>
      </c>
      <c r="B36" s="784" t="s">
        <v>1804</v>
      </c>
      <c r="C36" s="53">
        <f ca="1">ROUND(C29*F36,1)</f>
        <v>55.7</v>
      </c>
      <c r="D36" s="1978" t="s">
        <v>1805</v>
      </c>
      <c r="E36" s="784" t="s">
        <v>1798</v>
      </c>
      <c r="F36" s="817">
        <f ca="1">INDIRECT("'数据-取费表'!Ak"&amp;$G$1)</f>
        <v>1.4999999999999999E-2</v>
      </c>
      <c r="G36" s="2063"/>
      <c r="H36" s="2078"/>
      <c r="I36" s="839" t="s">
        <v>1817</v>
      </c>
      <c r="J36" s="840">
        <f ca="1">INDIRECT("'数据-取费表'!j"&amp;$G$1)</f>
        <v>8.5000000000000006E-2</v>
      </c>
      <c r="K36" s="2083"/>
      <c r="L36" s="2078"/>
      <c r="M36" s="2078"/>
    </row>
    <row r="37" spans="1:18" ht="18" customHeight="1">
      <c r="A37" s="1650" t="s">
        <v>1892</v>
      </c>
      <c r="B37" s="784" t="s">
        <v>680</v>
      </c>
      <c r="C37" s="53">
        <f ca="1">ROUND(C13*F37,1)</f>
        <v>5.6</v>
      </c>
      <c r="D37" s="1978" t="s">
        <v>1806</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26.5</v>
      </c>
      <c r="D38" s="2570" t="s">
        <v>1807</v>
      </c>
      <c r="E38" s="2571" t="s">
        <v>1798</v>
      </c>
      <c r="F38" s="2567">
        <f ca="1">INDIRECT("'数据-取费表'!Am"&amp;$G$1)</f>
        <v>0.01</v>
      </c>
      <c r="G38" s="2063"/>
      <c r="H38" s="2078"/>
      <c r="I38" s="843" t="s">
        <v>1819</v>
      </c>
      <c r="J38" s="844"/>
      <c r="K38" s="2084"/>
      <c r="L38" s="2078"/>
      <c r="M38" s="2078"/>
    </row>
    <row r="39" spans="1:18" ht="24.6" customHeight="1" thickTop="1">
      <c r="A39" s="1830" t="s">
        <v>1896</v>
      </c>
      <c r="B39" s="3036" t="s">
        <v>2824</v>
      </c>
      <c r="C39" s="792">
        <f ca="1">C5-C30</f>
        <v>2382</v>
      </c>
      <c r="D39" s="2573" t="s">
        <v>1808</v>
      </c>
      <c r="E39" s="2574"/>
      <c r="F39" s="2575"/>
      <c r="G39" s="2063"/>
      <c r="H39" s="2078"/>
      <c r="I39" s="837" t="s">
        <v>1820</v>
      </c>
      <c r="J39" s="845">
        <f ca="1">ROUND(J35/C39,3)</f>
        <v>0.13300000000000001</v>
      </c>
      <c r="K39" s="2084"/>
      <c r="L39" s="2078"/>
      <c r="M39" s="2078"/>
    </row>
    <row r="40" spans="1:18" ht="18" customHeight="1">
      <c r="A40" s="781" t="s">
        <v>1897</v>
      </c>
      <c r="B40" s="2233" t="s">
        <v>2302</v>
      </c>
      <c r="C40" s="783">
        <f ca="1">ROUND(C39*(1-((1+F42)/(1+F40))^F41)/(F40-F42),0)</f>
        <v>61750</v>
      </c>
      <c r="D40" s="814" t="s">
        <v>1809</v>
      </c>
      <c r="E40" s="784" t="s">
        <v>2419</v>
      </c>
      <c r="F40" s="794">
        <f ca="1">INDIRECT("'数据-取费表'!I"&amp;$G$1)</f>
        <v>0.05</v>
      </c>
      <c r="G40" s="2063"/>
      <c r="H40" s="2063"/>
      <c r="I40" s="837" t="s">
        <v>1821</v>
      </c>
      <c r="J40" s="845">
        <f ca="1">1-J39</f>
        <v>0.86699999999999999</v>
      </c>
      <c r="K40" s="2084"/>
      <c r="L40" s="2063"/>
      <c r="M40" s="2063"/>
    </row>
    <row r="41" spans="1:18" ht="18" customHeight="1">
      <c r="A41" s="786"/>
      <c r="B41" s="787"/>
      <c r="C41" s="788"/>
      <c r="D41" s="821" t="s">
        <v>1810</v>
      </c>
      <c r="E41" s="784" t="s">
        <v>2966</v>
      </c>
      <c r="F41" s="822">
        <f ca="1">IF(INDIRECT("'数据-取费表'!af"&amp;$G$1)=0,INDIRECT("'数据-取费表'!ae"&amp;$G$1),INDIRECT("'数据-取费表'!af"&amp;$G$1))</f>
        <v>38</v>
      </c>
      <c r="G41" s="2063"/>
      <c r="H41" s="1989"/>
      <c r="I41" s="843" t="s">
        <v>1822</v>
      </c>
      <c r="J41" s="846"/>
      <c r="K41" s="2083"/>
      <c r="L41" s="1989"/>
      <c r="M41" s="1989"/>
    </row>
    <row r="42" spans="1:18" ht="18" customHeight="1">
      <c r="A42" s="790"/>
      <c r="B42" s="791"/>
      <c r="C42" s="792"/>
      <c r="D42" s="816"/>
      <c r="E42" s="784" t="s">
        <v>1811</v>
      </c>
      <c r="F42" s="794">
        <f ca="1">INDIRECT("'数据-取费表'!v"&amp;$G$1)</f>
        <v>0.03</v>
      </c>
      <c r="G42" s="2063"/>
      <c r="H42" s="1989"/>
      <c r="I42" s="847" t="s">
        <v>1823</v>
      </c>
      <c r="J42" s="845">
        <f ca="1">ROUND(C13/C40,3)</f>
        <v>0.06</v>
      </c>
      <c r="K42" s="2083"/>
      <c r="L42" s="1989"/>
      <c r="M42" s="1989"/>
    </row>
    <row r="43" spans="1:18" ht="18" customHeight="1" thickBot="1">
      <c r="A43" s="823" t="s">
        <v>1789</v>
      </c>
      <c r="B43" s="824" t="s">
        <v>1812</v>
      </c>
      <c r="C43" s="825">
        <f ca="1">ROUND(C40*10000/F43,0)</f>
        <v>43528</v>
      </c>
      <c r="D43" s="826" t="s">
        <v>1813</v>
      </c>
      <c r="E43" s="827" t="s">
        <v>1814</v>
      </c>
      <c r="F43" s="828">
        <f ca="1">INDIRECT("'数据-取费表'!k"&amp;$G$1)</f>
        <v>14186.43</v>
      </c>
      <c r="G43" s="2063"/>
      <c r="H43" s="1989"/>
      <c r="I43" s="847" t="s">
        <v>1824</v>
      </c>
      <c r="J43" s="848">
        <f ca="1">1-J42</f>
        <v>0.94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f ca="1">C67-C40</f>
        <v>-63352</v>
      </c>
      <c r="D46" s="2086"/>
      <c r="E46" s="2086"/>
      <c r="F46" s="2086"/>
      <c r="I46" s="2379" t="s">
        <v>2342</v>
      </c>
      <c r="J46" s="2380"/>
      <c r="K46" s="2381"/>
      <c r="L46" s="2382" t="str">
        <f ca="1">IF(M47="住宅",0,IF(L48&gt;J51,L60,J60))</f>
        <v>0</v>
      </c>
      <c r="O46" s="2419" t="s">
        <v>2410</v>
      </c>
      <c r="P46" s="1593"/>
      <c r="Q46" s="1605"/>
      <c r="R46" s="1593"/>
    </row>
    <row r="47" spans="1:18" s="2060" customFormat="1" ht="18" customHeight="1" thickBot="1">
      <c r="A47" s="2373">
        <v>1</v>
      </c>
      <c r="B47" s="2374" t="s">
        <v>636</v>
      </c>
      <c r="C47" s="2599">
        <f ca="1">C48+C52+C54</f>
        <v>0</v>
      </c>
      <c r="D47" s="2086"/>
      <c r="E47" s="2086"/>
      <c r="F47" s="2086"/>
      <c r="I47" s="2383" t="s">
        <v>2343</v>
      </c>
      <c r="J47" s="2388" t="s">
        <v>3271</v>
      </c>
      <c r="K47" s="2389" t="s">
        <v>2349</v>
      </c>
      <c r="L47" s="2390">
        <f ca="1">INDIRECT("'数据-取费表'!d"&amp;$G$1)</f>
        <v>40</v>
      </c>
      <c r="M47" s="1605" t="str">
        <f>IF(ISNUMBER(FIND("住宅",C1)),"住宅","非住宅")</f>
        <v>非住宅</v>
      </c>
      <c r="O47" s="2420" t="s">
        <v>2375</v>
      </c>
      <c r="P47" s="2421" t="s">
        <v>2376</v>
      </c>
      <c r="Q47" s="2422" t="s">
        <v>2377</v>
      </c>
      <c r="R47" s="2421" t="s">
        <v>2378</v>
      </c>
    </row>
    <row r="48" spans="1:18" s="2060" customFormat="1" ht="18" customHeight="1" thickBot="1">
      <c r="A48" s="2668" t="s">
        <v>2539</v>
      </c>
      <c r="B48" s="2669" t="s">
        <v>2540</v>
      </c>
      <c r="C48" s="2375">
        <f ca="1">ROUND(F48*F50*F49*(1-F51)/10000,0)</f>
        <v>0</v>
      </c>
      <c r="D48" s="2376" t="s">
        <v>637</v>
      </c>
      <c r="E48" s="2377" t="s">
        <v>2297</v>
      </c>
      <c r="F48" s="2378"/>
      <c r="G48" s="2091"/>
      <c r="I48" s="2384" t="s">
        <v>2344</v>
      </c>
      <c r="J48" s="2391" t="s">
        <v>2350</v>
      </c>
      <c r="K48" s="2392" t="s">
        <v>2351</v>
      </c>
      <c r="L48" s="2393">
        <f ca="1">INDIRECT("'数据-取费表'!f"&amp;$G$1)</f>
        <v>40</v>
      </c>
      <c r="O48" s="2423" t="s">
        <v>2379</v>
      </c>
      <c r="P48" s="2424" t="s">
        <v>2405</v>
      </c>
      <c r="Q48" s="2425">
        <f ca="1">C40+J29</f>
        <v>61750</v>
      </c>
      <c r="R48" s="2424" t="s">
        <v>2380</v>
      </c>
    </row>
    <row r="49" spans="1:18" s="2060" customFormat="1" ht="18" customHeight="1" thickBot="1">
      <c r="A49" s="786"/>
      <c r="B49" s="787"/>
      <c r="C49" s="788"/>
      <c r="D49" s="789"/>
      <c r="E49" s="784" t="s">
        <v>1741</v>
      </c>
      <c r="F49" s="785">
        <f ca="1">F7</f>
        <v>14186.43</v>
      </c>
      <c r="G49" s="2091"/>
      <c r="H49" s="2094"/>
      <c r="I49" s="2384" t="s">
        <v>2345</v>
      </c>
      <c r="J49" s="2394">
        <v>2020</v>
      </c>
      <c r="K49" s="2395" t="s">
        <v>2352</v>
      </c>
      <c r="L49" s="2396"/>
      <c r="O49" s="2423" t="s">
        <v>2381</v>
      </c>
      <c r="P49" s="2424" t="s">
        <v>2406</v>
      </c>
      <c r="Q49" s="2425" t="str">
        <f ca="1">J60</f>
        <v>0</v>
      </c>
      <c r="R49" s="2424" t="s">
        <v>2382</v>
      </c>
    </row>
    <row r="50" spans="1:18" s="2060" customFormat="1" ht="18" customHeight="1" thickBot="1">
      <c r="A50" s="786"/>
      <c r="B50" s="787"/>
      <c r="C50" s="788"/>
      <c r="D50" s="789"/>
      <c r="E50" s="784" t="s">
        <v>1742</v>
      </c>
      <c r="F50" s="785">
        <f ca="1">F8</f>
        <v>365</v>
      </c>
      <c r="G50" s="2096"/>
      <c r="H50" s="2094"/>
      <c r="I50" s="2384" t="s">
        <v>2346</v>
      </c>
      <c r="J50" s="2397">
        <f>SUMPRODUCT((I63:I65=J47)*(J62:L62=J48)*(J63:L65))</f>
        <v>60</v>
      </c>
      <c r="K50" s="2395" t="s">
        <v>2353</v>
      </c>
      <c r="L50" s="2396"/>
      <c r="O50" s="2426" t="s">
        <v>2383</v>
      </c>
      <c r="P50" s="2424" t="s">
        <v>2407</v>
      </c>
      <c r="Q50" s="2425">
        <f ca="1">C29</f>
        <v>3712</v>
      </c>
      <c r="R50" s="2424" t="s">
        <v>2380</v>
      </c>
    </row>
    <row r="51" spans="1:18" s="2060" customFormat="1" ht="18" customHeight="1" thickBot="1">
      <c r="A51" s="786"/>
      <c r="B51" s="787"/>
      <c r="C51" s="788"/>
      <c r="D51" s="789"/>
      <c r="E51" s="784" t="s">
        <v>641</v>
      </c>
      <c r="F51" s="2372"/>
      <c r="H51" s="2094"/>
      <c r="I51" s="2385" t="s">
        <v>2347</v>
      </c>
      <c r="J51" s="2398">
        <f>IF(J49="",J50,J49+J50-YEAR('数据-取费表'!B2))</f>
        <v>62</v>
      </c>
      <c r="K51" s="2384" t="s">
        <v>2354</v>
      </c>
      <c r="L51" s="2399">
        <f ca="1">ROUND(-PV(INDIRECT("'数据-取费表'!h"&amp;$G$1),L48,(C39-C13*J36),0),0)</f>
        <v>38027</v>
      </c>
      <c r="O51" s="2426" t="s">
        <v>2384</v>
      </c>
      <c r="P51" s="2424" t="s">
        <v>2385</v>
      </c>
      <c r="Q51" s="2427" t="e">
        <f ca="1">J58</f>
        <v>#VALUE!</v>
      </c>
      <c r="R51" s="2428"/>
    </row>
    <row r="52" spans="1:18" s="2060" customFormat="1" ht="18" customHeight="1" thickBot="1">
      <c r="A52" s="781" t="s">
        <v>2538</v>
      </c>
      <c r="B52" s="2519" t="s">
        <v>2460</v>
      </c>
      <c r="C52" s="799">
        <f ca="1">ROUND(IF(F52="押一",F48*F50*F49/12*F11,IF(F52="押二",F48*F50*F49/12*2*F11,IF(F52="押三",F48*F50*F49/12*3*F11,C53*F11)))/10000,0)</f>
        <v>0</v>
      </c>
      <c r="D52" s="2526" t="s">
        <v>2467</v>
      </c>
      <c r="E52" s="2523" t="s">
        <v>2465</v>
      </c>
      <c r="F52" s="2646"/>
      <c r="I52" s="2386" t="s">
        <v>2421</v>
      </c>
      <c r="J52" s="2400">
        <v>8.5000000000000006E-2</v>
      </c>
      <c r="K52" s="2386" t="s">
        <v>2420</v>
      </c>
      <c r="L52" s="2400"/>
      <c r="O52" s="2426" t="s">
        <v>2386</v>
      </c>
      <c r="P52" s="2424" t="s">
        <v>2387</v>
      </c>
      <c r="Q52" s="2427">
        <f>J52</f>
        <v>8.5000000000000006E-2</v>
      </c>
      <c r="R52" s="2428"/>
    </row>
    <row r="53" spans="1:18" s="2060" customFormat="1" ht="39.75" customHeight="1" thickBot="1">
      <c r="A53" s="786"/>
      <c r="B53" s="2520" t="s">
        <v>2575</v>
      </c>
      <c r="C53" s="2524"/>
      <c r="D53" s="2526"/>
      <c r="E53" s="2523"/>
      <c r="F53" s="800"/>
      <c r="I53" s="2387" t="s">
        <v>2348</v>
      </c>
      <c r="J53" s="2401">
        <f ca="1">IF(M47="住宅",J51,IF(D1="——",MIN(J51,L48),IF(D1="土地（套用方法）",MIN(J51,L48-'数据-取费表'!B20))))</f>
        <v>38</v>
      </c>
      <c r="K53" s="3759" t="s">
        <v>2968</v>
      </c>
      <c r="L53" s="3760"/>
      <c r="O53" s="2426" t="s">
        <v>2388</v>
      </c>
      <c r="P53" s="2424" t="s">
        <v>2389</v>
      </c>
      <c r="Q53" s="2425">
        <f ca="1">J53</f>
        <v>38</v>
      </c>
      <c r="R53" s="2424" t="s">
        <v>2390</v>
      </c>
    </row>
    <row r="54" spans="1:18" s="2060" customFormat="1" ht="18" customHeight="1" thickBot="1">
      <c r="A54" s="2562" t="s">
        <v>2469</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2391</v>
      </c>
      <c r="P54" s="2424" t="s">
        <v>2408</v>
      </c>
      <c r="Q54" s="2425">
        <f ca="1">Q48+Q49</f>
        <v>61750</v>
      </c>
      <c r="R54" s="2428" t="s">
        <v>2392</v>
      </c>
    </row>
    <row r="55" spans="1:18" s="2060" customFormat="1" ht="18" customHeight="1" thickTop="1" thickBot="1">
      <c r="A55" s="797">
        <v>2</v>
      </c>
      <c r="B55" s="798" t="s">
        <v>645</v>
      </c>
      <c r="C55" s="799">
        <f ca="1">C13</f>
        <v>3712</v>
      </c>
      <c r="D55" s="795"/>
      <c r="E55" s="795"/>
      <c r="F55" s="800"/>
      <c r="I55" s="3129" t="s">
        <v>2355</v>
      </c>
      <c r="J55" s="3128" t="e">
        <f ca="1">ROUND(IF(J47="钢混",J57/J50,1-(1-2%)*(J50-J57)/J50),3)</f>
        <v>#VALUE!</v>
      </c>
      <c r="K55" s="2402" t="s">
        <v>2356</v>
      </c>
      <c r="L55" s="2403"/>
      <c r="O55" s="2429" t="s">
        <v>2411</v>
      </c>
      <c r="P55" s="1593"/>
      <c r="Q55" s="1605"/>
      <c r="R55" s="1593"/>
    </row>
    <row r="56" spans="1:18" s="2060" customFormat="1" ht="42.75" customHeight="1" thickBot="1">
      <c r="A56" s="1651"/>
      <c r="B56" s="2232" t="s">
        <v>2303</v>
      </c>
      <c r="C56" s="53">
        <f ca="1">C29</f>
        <v>3712</v>
      </c>
      <c r="D56" s="2665"/>
      <c r="E56" s="784"/>
      <c r="F56" s="809"/>
      <c r="I56" s="2404" t="s">
        <v>2357</v>
      </c>
      <c r="J56" s="3152" t="s">
        <v>1680</v>
      </c>
      <c r="K56" s="2384" t="s">
        <v>2362</v>
      </c>
      <c r="L56" s="2393" t="str">
        <f ca="1">IF(L48&lt;J51,"——",L48-J51)</f>
        <v>——</v>
      </c>
      <c r="O56" s="2420" t="s">
        <v>2375</v>
      </c>
      <c r="P56" s="2421" t="s">
        <v>2376</v>
      </c>
      <c r="Q56" s="2422" t="s">
        <v>2377</v>
      </c>
      <c r="R56" s="2421" t="s">
        <v>2378</v>
      </c>
    </row>
    <row r="57" spans="1:18" s="2060" customFormat="1" ht="28.5" customHeight="1" thickBot="1">
      <c r="A57" s="797" t="s">
        <v>1750</v>
      </c>
      <c r="B57" s="798" t="s">
        <v>652</v>
      </c>
      <c r="C57" s="799">
        <f ca="1">ROUND(C58+C63+C64+C65,0)</f>
        <v>95</v>
      </c>
      <c r="D57" s="26" t="s">
        <v>1752</v>
      </c>
      <c r="E57" s="2666"/>
      <c r="F57" s="56"/>
      <c r="I57" s="2405" t="s">
        <v>2358</v>
      </c>
      <c r="J57" s="2407" t="str">
        <f ca="1">IF(OR(M47="住宅",J51&lt;L48,J56="是"),"——",J51-L48)</f>
        <v>——</v>
      </c>
      <c r="K57" s="2384" t="s">
        <v>2363</v>
      </c>
      <c r="L57" s="2393" t="str">
        <f ca="1">IF(L48&lt;J51,"——",IF(L55="比较法",L49,IF(L55="基准地价",L50,L51)))</f>
        <v>——</v>
      </c>
      <c r="O57" s="2423" t="s">
        <v>2379</v>
      </c>
      <c r="P57" s="2424" t="s">
        <v>2409</v>
      </c>
      <c r="Q57" s="2425">
        <f ca="1">C40+J29</f>
        <v>61750</v>
      </c>
      <c r="R57" s="2424" t="s">
        <v>2380</v>
      </c>
    </row>
    <row r="58" spans="1:18" s="2060" customFormat="1" ht="28.5" customHeight="1" thickBot="1">
      <c r="A58" s="1650" t="s">
        <v>1826</v>
      </c>
      <c r="B58" s="784" t="s">
        <v>657</v>
      </c>
      <c r="C58" s="53">
        <f ca="1">ROUND(IF(项目基本情况!B11="自然人",C47*F58,C59+C60+C61),1)</f>
        <v>34</v>
      </c>
      <c r="D58" s="2664" t="s">
        <v>658</v>
      </c>
      <c r="E58" s="2665" t="s">
        <v>691</v>
      </c>
      <c r="F58" s="810" t="str">
        <f ca="1">IF(项目基本情况!B11="企业","",IF(INDIRECT("'数据-取费表'!c"&amp;$G$1)="住宅",5%,IF(F48*F49*F50/12/(1+'数据-取费表'!C42)&gt;20000,12%,7%)))</f>
        <v/>
      </c>
      <c r="I58" s="2405" t="s">
        <v>2359</v>
      </c>
      <c r="J58" s="3130" t="e">
        <f ca="1">IF(J55&lt;0.4,0.4,J55)</f>
        <v>#VALUE!</v>
      </c>
      <c r="K58" s="2384" t="s">
        <v>2364</v>
      </c>
      <c r="L58" s="2393" t="e">
        <f ca="1">ROUND(POWER(1+L52,L47-L48)*(POWER(1+L52,L48)-1)/(POWER(1+L52,L47)-1),4)</f>
        <v>#DIV/0!</v>
      </c>
      <c r="O58" s="2423" t="s">
        <v>2381</v>
      </c>
      <c r="P58" s="2424" t="s">
        <v>2412</v>
      </c>
      <c r="Q58" s="2425">
        <f ca="1">L60</f>
        <v>0</v>
      </c>
      <c r="R58" s="2428" t="s">
        <v>2414</v>
      </c>
    </row>
    <row r="59" spans="1:18" s="2060" customFormat="1" ht="28.5" customHeight="1" thickBot="1">
      <c r="A59" s="1649" t="s">
        <v>1833</v>
      </c>
      <c r="B59" s="784" t="s">
        <v>661</v>
      </c>
      <c r="C59" s="53">
        <f ca="1">ROUND(C47*F59/1.05,1)</f>
        <v>0</v>
      </c>
      <c r="D59" s="2665" t="s">
        <v>1758</v>
      </c>
      <c r="E59" s="784" t="s">
        <v>1749</v>
      </c>
      <c r="F59" s="809">
        <f t="shared" ref="F59:F65" si="0">F32</f>
        <v>5.6000000000000001E-2</v>
      </c>
      <c r="I59" s="2405" t="s">
        <v>2360</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2383</v>
      </c>
      <c r="P59" s="2424" t="s">
        <v>2413</v>
      </c>
      <c r="Q59" s="2425">
        <f>IF(L55="比较法",L49,IF(L55="基准地价",L50,0))</f>
        <v>0</v>
      </c>
      <c r="R59" s="2424" t="s">
        <v>2380</v>
      </c>
    </row>
    <row r="60" spans="1:18" s="2060" customFormat="1" ht="18" customHeight="1" thickBot="1">
      <c r="A60" s="1649" t="s">
        <v>1834</v>
      </c>
      <c r="B60" s="784" t="s">
        <v>1760</v>
      </c>
      <c r="C60" s="53">
        <f ca="1">IF(D60="按租金收入计税",ROUND(C47*F60,1),IF(D60="按房产原值计税",ROUND(C56*F60*0.7,1),INDIRECT("'数据-取费表'!Aj"&amp;$G$1)))</f>
        <v>31.2</v>
      </c>
      <c r="D60" s="2665" t="str">
        <f>D33</f>
        <v>按房产原值计税</v>
      </c>
      <c r="E60" s="784" t="s">
        <v>1749</v>
      </c>
      <c r="F60" s="809">
        <f t="shared" si="0"/>
        <v>1.2E-2</v>
      </c>
      <c r="I60" s="2406" t="s">
        <v>2361</v>
      </c>
      <c r="J60" s="2408" t="str">
        <f ca="1">IF(OR(M47="住宅",J51&lt;L48,J56="是"),"0",ROUND(J59/(1+J52)^J53,0))</f>
        <v>0</v>
      </c>
      <c r="K60" s="2409" t="s">
        <v>2366</v>
      </c>
      <c r="L60" s="2408">
        <f ca="1">IF(OR(M47="住宅",L48&lt;J51),0,ROUND(L57*(L58/L59-1),0))</f>
        <v>0</v>
      </c>
      <c r="O60" s="2426" t="s">
        <v>2384</v>
      </c>
      <c r="P60" s="2424" t="s">
        <v>2393</v>
      </c>
      <c r="Q60" s="2427">
        <f>L52</f>
        <v>0</v>
      </c>
      <c r="R60" s="2428"/>
    </row>
    <row r="61" spans="1:18" s="2060" customFormat="1" ht="18" customHeight="1" thickBot="1">
      <c r="A61" s="1652" t="s">
        <v>1835</v>
      </c>
      <c r="B61" s="341" t="s">
        <v>669</v>
      </c>
      <c r="C61" s="54">
        <f ca="1">ROUND(F61*F62/10000,1)</f>
        <v>2.8</v>
      </c>
      <c r="D61" s="814" t="s">
        <v>670</v>
      </c>
      <c r="E61" s="784" t="s">
        <v>671</v>
      </c>
      <c r="F61" s="640">
        <f t="shared" si="0"/>
        <v>5</v>
      </c>
      <c r="K61" s="2087"/>
      <c r="O61" s="2426" t="s">
        <v>2386</v>
      </c>
      <c r="P61" s="2424" t="s">
        <v>2394</v>
      </c>
      <c r="Q61" s="2425" t="e">
        <f ca="1">L58</f>
        <v>#DIV/0!</v>
      </c>
      <c r="R61" s="2428" t="s">
        <v>2395</v>
      </c>
    </row>
    <row r="62" spans="1:18" s="2060" customFormat="1" ht="15.75" thickBot="1">
      <c r="A62" s="815"/>
      <c r="B62" s="793"/>
      <c r="C62" s="69"/>
      <c r="D62" s="816"/>
      <c r="E62" s="784" t="s">
        <v>675</v>
      </c>
      <c r="F62" s="785">
        <f t="shared" ca="1" si="0"/>
        <v>5674.57</v>
      </c>
      <c r="I62" s="2410" t="s">
        <v>2367</v>
      </c>
      <c r="J62" s="2411" t="s">
        <v>2368</v>
      </c>
      <c r="K62" s="2411" t="s">
        <v>2369</v>
      </c>
      <c r="L62" s="2411" t="s">
        <v>2350</v>
      </c>
      <c r="M62" s="3131" t="s">
        <v>2943</v>
      </c>
      <c r="O62" s="2426" t="s">
        <v>2388</v>
      </c>
      <c r="P62" s="2424" t="str">
        <f>K59</f>
        <v>建设期及建筑物耐用年限下的土地年期修正系数Kn</v>
      </c>
      <c r="Q62" s="2425" t="e">
        <f ca="1">L59</f>
        <v>#DIV/0!</v>
      </c>
      <c r="R62" s="2428" t="s">
        <v>2397</v>
      </c>
    </row>
    <row r="63" spans="1:18" s="2060" customFormat="1" ht="15.75" thickBot="1">
      <c r="A63" s="1650" t="s">
        <v>1891</v>
      </c>
      <c r="B63" s="784" t="s">
        <v>677</v>
      </c>
      <c r="C63" s="53">
        <f ca="1">ROUND(C56*F63,1)</f>
        <v>55.7</v>
      </c>
      <c r="D63" s="2665" t="s">
        <v>1805</v>
      </c>
      <c r="E63" s="784" t="s">
        <v>1749</v>
      </c>
      <c r="F63" s="817">
        <f t="shared" ca="1" si="0"/>
        <v>1.4999999999999999E-2</v>
      </c>
      <c r="I63" s="2410" t="s">
        <v>2370</v>
      </c>
      <c r="J63" s="2411">
        <v>70</v>
      </c>
      <c r="K63" s="2411">
        <v>50</v>
      </c>
      <c r="L63" s="2411">
        <v>80</v>
      </c>
      <c r="M63" s="3132">
        <v>0.02</v>
      </c>
      <c r="O63" s="2423" t="s">
        <v>2391</v>
      </c>
      <c r="P63" s="2424" t="s">
        <v>2408</v>
      </c>
      <c r="Q63" s="2425">
        <f ca="1">Q57+Q58</f>
        <v>61750</v>
      </c>
      <c r="R63" s="2428" t="s">
        <v>2392</v>
      </c>
    </row>
    <row r="64" spans="1:18" s="2060" customFormat="1" ht="16.5" thickBot="1">
      <c r="A64" s="1650" t="s">
        <v>1892</v>
      </c>
      <c r="B64" s="784" t="s">
        <v>680</v>
      </c>
      <c r="C64" s="53">
        <f ca="1">ROUND(C55*F64,1)</f>
        <v>5.6</v>
      </c>
      <c r="D64" s="2665" t="s">
        <v>681</v>
      </c>
      <c r="E64" s="784" t="s">
        <v>1749</v>
      </c>
      <c r="F64" s="818">
        <f t="shared" ca="1" si="0"/>
        <v>1.5E-3</v>
      </c>
      <c r="I64" s="2410" t="s">
        <v>2371</v>
      </c>
      <c r="J64" s="2411">
        <v>50</v>
      </c>
      <c r="K64" s="2411">
        <v>35</v>
      </c>
      <c r="L64" s="2411">
        <v>60</v>
      </c>
      <c r="M64" s="3133">
        <v>0</v>
      </c>
      <c r="O64" s="2429" t="s">
        <v>2415</v>
      </c>
      <c r="P64" s="1593"/>
      <c r="Q64" s="1605"/>
      <c r="R64" s="1593"/>
    </row>
    <row r="65" spans="1:18" s="2060" customFormat="1" ht="15.75" thickBot="1">
      <c r="A65" s="1650" t="s">
        <v>1893</v>
      </c>
      <c r="B65" s="784" t="s">
        <v>667</v>
      </c>
      <c r="C65" s="53">
        <f ca="1">ROUND(C47*F65,1)</f>
        <v>0</v>
      </c>
      <c r="D65" s="2665" t="s">
        <v>684</v>
      </c>
      <c r="E65" s="784" t="s">
        <v>1749</v>
      </c>
      <c r="F65" s="794">
        <f t="shared" ca="1" si="0"/>
        <v>0.01</v>
      </c>
      <c r="I65" s="2410" t="s">
        <v>2372</v>
      </c>
      <c r="J65" s="2411">
        <v>40</v>
      </c>
      <c r="K65" s="2411">
        <v>30</v>
      </c>
      <c r="L65" s="2411">
        <v>50</v>
      </c>
      <c r="M65" s="3132">
        <v>0.02</v>
      </c>
      <c r="O65" s="2420" t="s">
        <v>2375</v>
      </c>
      <c r="P65" s="2421" t="s">
        <v>2376</v>
      </c>
      <c r="Q65" s="2422" t="s">
        <v>2377</v>
      </c>
      <c r="R65" s="2421" t="s">
        <v>2378</v>
      </c>
    </row>
    <row r="66" spans="1:18" s="2060" customFormat="1" ht="24.75" thickBot="1">
      <c r="A66" s="797" t="s">
        <v>1778</v>
      </c>
      <c r="B66" s="3037" t="s">
        <v>2824</v>
      </c>
      <c r="C66" s="799">
        <f ca="1">C47-C57</f>
        <v>-95</v>
      </c>
      <c r="D66" s="2664" t="s">
        <v>701</v>
      </c>
      <c r="E66" s="2663"/>
      <c r="F66" s="820"/>
      <c r="K66" s="2087"/>
      <c r="O66" s="2423" t="s">
        <v>2379</v>
      </c>
      <c r="P66" s="2424" t="s">
        <v>2409</v>
      </c>
      <c r="Q66" s="2425">
        <f ca="1">C40+J29</f>
        <v>61750</v>
      </c>
      <c r="R66" s="2424" t="s">
        <v>2380</v>
      </c>
    </row>
    <row r="67" spans="1:18" s="2060" customFormat="1" ht="20.25" thickBot="1">
      <c r="A67" s="781" t="s">
        <v>1782</v>
      </c>
      <c r="B67" s="2233" t="s">
        <v>2302</v>
      </c>
      <c r="C67" s="783">
        <f ca="1">ROUND(C66*(1-((1+F69)/(1+F67))^F68)/(F67-F69),0)</f>
        <v>-1602</v>
      </c>
      <c r="D67" s="814" t="s">
        <v>705</v>
      </c>
      <c r="E67" s="784" t="s">
        <v>706</v>
      </c>
      <c r="F67" s="794">
        <f ca="1">F40</f>
        <v>0.05</v>
      </c>
      <c r="K67" s="2087"/>
      <c r="O67" s="2423" t="s">
        <v>2381</v>
      </c>
      <c r="P67" s="2424" t="s">
        <v>2412</v>
      </c>
      <c r="Q67" s="2425">
        <f ca="1">L60</f>
        <v>0</v>
      </c>
      <c r="R67" s="2428" t="s">
        <v>2414</v>
      </c>
    </row>
    <row r="68" spans="1:18" ht="21.75" thickBot="1">
      <c r="A68" s="786"/>
      <c r="B68" s="787"/>
      <c r="C68" s="788"/>
      <c r="D68" s="821" t="s">
        <v>1810</v>
      </c>
      <c r="E68" s="784" t="s">
        <v>1786</v>
      </c>
      <c r="F68" s="822">
        <f ca="1">F41</f>
        <v>38</v>
      </c>
      <c r="O68" s="2426" t="s">
        <v>2383</v>
      </c>
      <c r="P68" s="2424" t="s">
        <v>2413</v>
      </c>
      <c r="Q68" s="2430">
        <f ca="1">L51</f>
        <v>38027</v>
      </c>
      <c r="R68" s="2431" t="s">
        <v>2416</v>
      </c>
    </row>
    <row r="69" spans="1:18" ht="20.25" thickBot="1">
      <c r="A69" s="790"/>
      <c r="B69" s="791"/>
      <c r="C69" s="792"/>
      <c r="D69" s="816"/>
      <c r="E69" s="784" t="s">
        <v>711</v>
      </c>
      <c r="F69" s="2372"/>
      <c r="O69" s="2426" t="s">
        <v>2384</v>
      </c>
      <c r="P69" s="2432" t="s">
        <v>2398</v>
      </c>
      <c r="Q69" s="2425">
        <f ca="1">ROUND(Q70-Q71*Q72,0)</f>
        <v>2066</v>
      </c>
      <c r="R69" s="2428"/>
    </row>
    <row r="70" spans="1:18" ht="15.75" thickBot="1">
      <c r="A70" s="823" t="s">
        <v>1789</v>
      </c>
      <c r="B70" s="824" t="s">
        <v>1812</v>
      </c>
      <c r="C70" s="825">
        <f ca="1">ROUND(C67*10000/F70,0)</f>
        <v>-1129</v>
      </c>
      <c r="D70" s="826" t="s">
        <v>1813</v>
      </c>
      <c r="E70" s="827" t="s">
        <v>1814</v>
      </c>
      <c r="F70" s="828">
        <f ca="1">F43</f>
        <v>14186.43</v>
      </c>
      <c r="O70" s="2426" t="s">
        <v>2399</v>
      </c>
      <c r="P70" s="2432" t="s">
        <v>2400</v>
      </c>
      <c r="Q70" s="2425">
        <f ca="1">C39</f>
        <v>2382</v>
      </c>
      <c r="R70" s="2424" t="s">
        <v>2380</v>
      </c>
    </row>
    <row r="71" spans="1:18" ht="15.75" thickBot="1">
      <c r="O71" s="2426" t="s">
        <v>2401</v>
      </c>
      <c r="P71" s="2432" t="s">
        <v>2402</v>
      </c>
      <c r="Q71" s="2425">
        <f ca="1">C13</f>
        <v>3712</v>
      </c>
      <c r="R71" s="2424" t="s">
        <v>2380</v>
      </c>
    </row>
    <row r="72" spans="1:18" ht="15.75" thickBot="1">
      <c r="O72" s="2426" t="s">
        <v>2403</v>
      </c>
      <c r="P72" s="2432" t="s">
        <v>2404</v>
      </c>
      <c r="Q72" s="2427">
        <f ca="1">J36</f>
        <v>8.5000000000000006E-2</v>
      </c>
      <c r="R72" s="2428"/>
    </row>
    <row r="73" spans="1:18" ht="15.75" thickBot="1">
      <c r="O73" s="2426" t="s">
        <v>2386</v>
      </c>
      <c r="P73" s="2424" t="s">
        <v>2393</v>
      </c>
      <c r="Q73" s="2427">
        <f>L52</f>
        <v>0</v>
      </c>
      <c r="R73" s="2428"/>
    </row>
    <row r="74" spans="1:18" ht="20.25" thickBot="1">
      <c r="O74" s="2426" t="s">
        <v>2388</v>
      </c>
      <c r="P74" s="2424" t="s">
        <v>2394</v>
      </c>
      <c r="Q74" s="2425" t="e">
        <f ca="1">L58</f>
        <v>#DIV/0!</v>
      </c>
      <c r="R74" s="2428" t="s">
        <v>2395</v>
      </c>
    </row>
    <row r="75" spans="1:18" ht="15.75" thickBot="1">
      <c r="O75" s="2426" t="s">
        <v>2417</v>
      </c>
      <c r="P75" s="2424" t="str">
        <f>K59</f>
        <v>建设期及建筑物耐用年限下的土地年期修正系数Kn</v>
      </c>
      <c r="Q75" s="2425" t="e">
        <f ca="1">L59</f>
        <v>#DIV/0!</v>
      </c>
      <c r="R75" s="2428" t="s">
        <v>2397</v>
      </c>
    </row>
    <row r="76" spans="1:18" ht="15.75" thickBot="1">
      <c r="O76" s="2423" t="s">
        <v>2391</v>
      </c>
      <c r="P76" s="2424" t="s">
        <v>2408</v>
      </c>
      <c r="Q76" s="2425">
        <f ca="1">Q66+Q67</f>
        <v>61750</v>
      </c>
      <c r="R76" s="242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dimension ref="C2:F9"/>
  <sheetViews>
    <sheetView workbookViewId="0">
      <selection activeCell="F9" sqref="F9"/>
    </sheetView>
  </sheetViews>
  <sheetFormatPr defaultRowHeight="13.5"/>
  <sheetData>
    <row r="2" spans="3:6">
      <c r="C2" s="3482" t="s">
        <v>3253</v>
      </c>
    </row>
    <row r="3" spans="3:6" ht="14.25" thickBot="1">
      <c r="C3" s="3483" t="s">
        <v>3254</v>
      </c>
      <c r="D3" s="3484" t="s">
        <v>3255</v>
      </c>
      <c r="E3" s="3484" t="s">
        <v>3256</v>
      </c>
      <c r="F3" s="3484" t="s">
        <v>3257</v>
      </c>
    </row>
    <row r="4" spans="3:6">
      <c r="C4" s="3485">
        <v>2016.4</v>
      </c>
      <c r="D4" s="3487">
        <v>3352</v>
      </c>
      <c r="E4" s="3487">
        <v>2</v>
      </c>
      <c r="F4" s="3486"/>
    </row>
    <row r="5" spans="3:6">
      <c r="C5" s="3488">
        <v>2017.1</v>
      </c>
      <c r="D5" s="3490">
        <v>5831</v>
      </c>
      <c r="E5" s="3490">
        <v>1.2</v>
      </c>
      <c r="F5" s="3489"/>
    </row>
    <row r="6" spans="3:6">
      <c r="C6" s="3485">
        <v>2017.2</v>
      </c>
      <c r="D6" s="3487">
        <v>6121</v>
      </c>
      <c r="E6" s="3487">
        <v>4.97</v>
      </c>
      <c r="F6" s="3486"/>
    </row>
    <row r="7" spans="3:6">
      <c r="C7" s="3488">
        <v>2017.3</v>
      </c>
      <c r="D7" s="3490">
        <v>6355</v>
      </c>
      <c r="E7" s="3490">
        <v>3.83</v>
      </c>
      <c r="F7" s="3489"/>
    </row>
    <row r="8" spans="3:6" ht="14.25">
      <c r="C8" s="3491">
        <v>2017.4</v>
      </c>
      <c r="D8" s="3492">
        <v>6489</v>
      </c>
      <c r="E8" s="3492">
        <v>2.11</v>
      </c>
    </row>
    <row r="9" spans="3:6">
      <c r="E9">
        <f>SUM(E4:E8)</f>
        <v>14.11</v>
      </c>
      <c r="F9">
        <f>E9/4</f>
        <v>3.5274999999999999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苏州金俊房地产开发有限公司：</v>
      </c>
    </row>
    <row r="4" spans="1:4" ht="37.5">
      <c r="A4" s="1792" t="str">
        <f>"受贵公司委托，我公司对"&amp;项目基本情况!K2&amp;项目基本情况!B9&amp;"进行了预评估。"</f>
        <v>受贵公司委托，我公司对苏州市姑苏区永方路以东、合兴路以南1宗住宅用途出让国有建设用地使用权市场价格进行了预评估。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苏州市姑苏区永方路以东、合兴路以南1宗住宅用途出让国有建设用地使用权。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141864.26平方米。</v>
      </c>
    </row>
    <row r="7" spans="1:4" ht="93.75">
      <c r="A7" s="2899" t="s">
        <v>2750</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2018年2月28日（评估专业人员勘察现场之日）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根据《国有建设用地使用权网上挂牌出让成交确认书》[编号：苏地2017-WG-48号]，本次评估估价对象证载（地类）用途为住宅。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93.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1" t="s">
        <v>2751</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0" t="s">
        <v>2039</v>
      </c>
      <c r="B1" s="3500"/>
      <c r="C1" s="3500"/>
      <c r="D1" s="3500"/>
      <c r="E1" s="3500"/>
      <c r="F1" s="3500"/>
      <c r="G1" s="3500"/>
      <c r="H1" s="3500"/>
      <c r="I1" s="3500"/>
      <c r="J1" s="3500"/>
      <c r="K1" s="3500"/>
      <c r="L1" s="3500"/>
      <c r="M1" s="3500"/>
      <c r="N1" s="3500"/>
      <c r="O1" s="3500"/>
      <c r="P1" s="3500"/>
      <c r="Q1" s="3500"/>
      <c r="R1" s="3500"/>
    </row>
    <row r="2" spans="1:18">
      <c r="A2" s="1808" t="s">
        <v>2041</v>
      </c>
      <c r="B2" s="1808"/>
      <c r="C2" s="1808"/>
      <c r="D2" s="1808"/>
      <c r="E2" s="1808"/>
      <c r="F2" s="1808"/>
      <c r="G2" s="1808"/>
      <c r="H2" s="1808"/>
      <c r="I2" s="1809"/>
      <c r="J2" s="1809"/>
      <c r="K2" s="1810" t="str">
        <f>"估价期日："&amp;TEXT(项目基本情况!D3,"yyyy年m月d日;;")</f>
        <v>估价期日：2018年2月28日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01" t="s">
        <v>2030</v>
      </c>
      <c r="B3" s="3501" t="s">
        <v>2733</v>
      </c>
      <c r="C3" s="3502" t="s">
        <v>2031</v>
      </c>
      <c r="D3" s="3501" t="s">
        <v>2737</v>
      </c>
      <c r="E3" s="3504" t="s">
        <v>2032</v>
      </c>
      <c r="F3" s="3504"/>
      <c r="G3" s="3504"/>
      <c r="H3" s="3504" t="s">
        <v>2033</v>
      </c>
      <c r="I3" s="3504"/>
      <c r="J3" s="3504"/>
      <c r="K3" s="3502" t="s">
        <v>2034</v>
      </c>
      <c r="L3" s="3502" t="s">
        <v>2035</v>
      </c>
      <c r="M3" s="3501" t="s">
        <v>2734</v>
      </c>
      <c r="N3" s="3503" t="str">
        <f>"（分摊）"&amp;项目基本情况!B16&amp;"国有建设用地使用权面积/㎡"</f>
        <v>（分摊）出让国有建设用地使用权面积/㎡</v>
      </c>
      <c r="O3" s="3501" t="s">
        <v>2064</v>
      </c>
      <c r="P3" s="3502" t="s">
        <v>2044</v>
      </c>
      <c r="Q3" s="3502" t="s">
        <v>2065</v>
      </c>
      <c r="R3" s="3502" t="s">
        <v>2036</v>
      </c>
    </row>
    <row r="4" spans="1:18" ht="36.75" customHeight="1">
      <c r="A4" s="3501"/>
      <c r="B4" s="3501"/>
      <c r="C4" s="3502"/>
      <c r="D4" s="3501"/>
      <c r="E4" s="2675" t="s">
        <v>2043</v>
      </c>
      <c r="F4" s="2675" t="s">
        <v>2746</v>
      </c>
      <c r="G4" s="2675" t="s">
        <v>2037</v>
      </c>
      <c r="H4" s="2675" t="s">
        <v>2038</v>
      </c>
      <c r="I4" s="2675" t="s">
        <v>2747</v>
      </c>
      <c r="J4" s="2675" t="s">
        <v>2037</v>
      </c>
      <c r="K4" s="3502"/>
      <c r="L4" s="3502"/>
      <c r="M4" s="3501"/>
      <c r="N4" s="3503"/>
      <c r="O4" s="3501"/>
      <c r="P4" s="3502"/>
      <c r="Q4" s="3502"/>
      <c r="R4" s="3502"/>
    </row>
    <row r="5" spans="1:18" ht="135" customHeight="1">
      <c r="A5" s="1944" t="s">
        <v>2657</v>
      </c>
      <c r="B5" s="2893" t="s">
        <v>2655</v>
      </c>
      <c r="C5" s="2674">
        <v>22</v>
      </c>
      <c r="D5" s="2673" t="s">
        <v>2656</v>
      </c>
      <c r="E5" s="1811" t="str">
        <f>项目基本情况!B12</f>
        <v>住宅</v>
      </c>
      <c r="F5" s="2673">
        <v>258</v>
      </c>
      <c r="G5" s="1811" t="str">
        <f>项目基本情况!B13</f>
        <v>住宅</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住宅70年</v>
      </c>
      <c r="N5" s="1811">
        <f>项目基本情况!C22</f>
        <v>56745.7</v>
      </c>
      <c r="O5" s="1811">
        <f>项目基本情况!C21</f>
        <v>141864.26</v>
      </c>
      <c r="P5" s="1811">
        <f ca="1">结果表!E42</f>
        <v>52246</v>
      </c>
      <c r="Q5" s="1811">
        <f ca="1">结果表!D42</f>
        <v>20898</v>
      </c>
      <c r="R5" s="1812">
        <f ca="1">结果表!C42</f>
        <v>296471</v>
      </c>
    </row>
    <row r="6" spans="1:18">
      <c r="A6" s="3505" t="str">
        <f>IF(项目基本情况!B9="市场价格","——","抵押价格")</f>
        <v>——</v>
      </c>
      <c r="B6" s="3506"/>
      <c r="C6" s="3506"/>
      <c r="D6" s="3506"/>
      <c r="E6" s="3506"/>
      <c r="F6" s="3506"/>
      <c r="G6" s="3506"/>
      <c r="H6" s="3506"/>
      <c r="I6" s="3506"/>
      <c r="J6" s="3506"/>
      <c r="K6" s="3506"/>
      <c r="L6" s="3506"/>
      <c r="M6" s="3506"/>
      <c r="N6" s="3506"/>
      <c r="O6" s="3506"/>
      <c r="P6" s="3506"/>
      <c r="Q6" s="3507"/>
      <c r="R6" s="1813">
        <f ca="1">结果表!O39</f>
        <v>296471</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813" t="str">
        <f>结果表!O40</f>
        <v>——</v>
      </c>
    </row>
    <row r="8" spans="1:18">
      <c r="A8" s="3505" t="str">
        <f>IF(项目基本情况!B9="市场价格","——",项目基本情况!E9)</f>
        <v>——</v>
      </c>
      <c r="B8" s="3506"/>
      <c r="C8" s="3506"/>
      <c r="D8" s="3506"/>
      <c r="E8" s="3506"/>
      <c r="F8" s="3506"/>
      <c r="G8" s="3506"/>
      <c r="H8" s="3506"/>
      <c r="I8" s="3506"/>
      <c r="J8" s="3506"/>
      <c r="K8" s="3506"/>
      <c r="L8" s="3506"/>
      <c r="M8" s="3506"/>
      <c r="N8" s="3506"/>
      <c r="O8" s="3506"/>
      <c r="P8" s="3506"/>
      <c r="Q8" s="350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09" t="s">
        <v>2066</v>
      </c>
      <c r="B1" s="3509"/>
      <c r="C1" s="3509"/>
      <c r="D1" s="3509"/>
    </row>
    <row r="2" spans="1:4" ht="47.25" customHeight="1">
      <c r="A2" s="3510" t="str">
        <f>"1.权利限制："&amp;项目基本情况!L24&amp;"未设定租赁等其他他项权利。"</f>
        <v>1.权利限制：根据估价对象————，截至估价期日，估价对象抵押权未见登记。未设定租赁等其他他项权利。</v>
      </c>
      <c r="B2" s="3510"/>
      <c r="C2" s="3510"/>
      <c r="D2" s="3510"/>
    </row>
    <row r="3" spans="1:4" ht="48" customHeight="1">
      <c r="A3" s="35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09"/>
      <c r="C3" s="3509"/>
      <c r="D3" s="3509"/>
    </row>
    <row r="4" spans="1:4" ht="36.75" customHeight="1">
      <c r="A4" s="3509" t="str">
        <f>"3.估价规划限制条件：详见"&amp;项目基本情况!E21&amp;"。"</f>
        <v>3.估价规划限制条件：详见《国有建设用地使用权网上挂牌出让成交确认书》[编号：苏地2017-WG-48号]、《估价对象清单》。</v>
      </c>
      <c r="B4" s="3509"/>
      <c r="C4" s="3509"/>
      <c r="D4" s="3509"/>
    </row>
    <row r="5" spans="1:4">
      <c r="A5" s="3508" t="s">
        <v>2067</v>
      </c>
      <c r="B5" s="3508"/>
      <c r="C5" s="3508"/>
      <c r="D5" s="3508"/>
    </row>
    <row r="6" spans="1:4">
      <c r="A6" s="3509" t="s">
        <v>2045</v>
      </c>
      <c r="B6" s="3509"/>
      <c r="C6" s="3509"/>
      <c r="D6" s="3509"/>
    </row>
    <row r="7" spans="1:4" ht="33" customHeight="1">
      <c r="A7" s="3509" t="s">
        <v>2577</v>
      </c>
      <c r="B7" s="3509"/>
      <c r="C7" s="3509"/>
      <c r="D7" s="3509"/>
    </row>
    <row r="8" spans="1:4" ht="32.25" customHeight="1">
      <c r="A8" s="35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9"/>
      <c r="C8" s="3509"/>
      <c r="D8" s="3509"/>
    </row>
    <row r="9" spans="1:4" ht="33.75" customHeight="1">
      <c r="A9" s="3509" t="str">
        <f>IF(项目基本情况!B8="抵押","3.抵押双方在办理抵押登记手续时，应使用本公司出具的正式《土地估价报告》，特提请报告使用者注意。","——")</f>
        <v>——</v>
      </c>
      <c r="B9" s="3509"/>
      <c r="C9" s="3509"/>
      <c r="D9" s="3509"/>
    </row>
    <row r="10" spans="1:4">
      <c r="A10" s="3509" t="str">
        <f>IF(项目基本情况!B8="抵押","4.估价师所知悉的法定优先受偿款情况为：","——")</f>
        <v>——</v>
      </c>
      <c r="B10" s="3509"/>
      <c r="C10" s="3509"/>
      <c r="D10" s="3509"/>
    </row>
    <row r="11" spans="1:4" ht="37.5" customHeight="1">
      <c r="A11" s="3511" t="str">
        <f>IF(项目基本情况!B8="抵押","（1）"&amp;CONCATENATE(项目基本情况!L24,项目基本情况!L25,项目基本情况!L26),"——")</f>
        <v>——</v>
      </c>
      <c r="B11" s="3511"/>
      <c r="C11" s="3511"/>
      <c r="D11" s="3511"/>
    </row>
    <row r="12" spans="1:4" ht="168" customHeight="1">
      <c r="A12" s="3508" t="s">
        <v>2069</v>
      </c>
      <c r="B12" s="3508"/>
      <c r="C12" s="3508"/>
      <c r="D12" s="3508"/>
    </row>
    <row r="13" spans="1:4">
      <c r="A13" s="3512" t="s">
        <v>2748</v>
      </c>
      <c r="B13" s="3512"/>
      <c r="C13" s="3512"/>
      <c r="D13" s="3512"/>
    </row>
    <row r="14" spans="1:4">
      <c r="A14" s="3511" t="str">
        <f>IF(项目基本情况!B8="抵押","综上，"&amp;结果表!K47,"——")</f>
        <v>——</v>
      </c>
      <c r="B14" s="3511"/>
      <c r="C14" s="3511"/>
      <c r="D14" s="3511"/>
    </row>
    <row r="15" spans="1:4" ht="58.5" customHeight="1">
      <c r="A15" s="35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9"/>
      <c r="C15" s="3509"/>
      <c r="D15" s="3509"/>
    </row>
    <row r="16" spans="1:4" ht="70.5" customHeight="1">
      <c r="A16" s="35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9"/>
      <c r="C16" s="3509"/>
      <c r="D16" s="3509"/>
    </row>
    <row r="17" spans="1:4">
      <c r="A17" s="3509" t="s">
        <v>2704</v>
      </c>
      <c r="B17" s="3509"/>
      <c r="C17" s="3509"/>
      <c r="D17" s="3509"/>
    </row>
    <row r="18" spans="1:4">
      <c r="A18" s="3509" t="s">
        <v>2696</v>
      </c>
      <c r="B18" s="3509"/>
      <c r="C18" s="3509"/>
      <c r="D18" s="3509"/>
    </row>
    <row r="19" spans="1:4">
      <c r="A19" s="2894" t="s">
        <v>2697</v>
      </c>
      <c r="B19" s="2894" t="s">
        <v>2698</v>
      </c>
      <c r="C19" s="2894" t="s">
        <v>2699</v>
      </c>
      <c r="D19" s="2894" t="s">
        <v>2700</v>
      </c>
    </row>
    <row r="20" spans="1:4">
      <c r="A20" s="2894" t="str">
        <f>项目基本情况!B4</f>
        <v>梁津</v>
      </c>
      <c r="B20" s="2894">
        <f ca="1">项目基本情况!C4</f>
        <v>96010014</v>
      </c>
      <c r="C20" s="2896"/>
      <c r="D20" s="1801" t="s">
        <v>2705</v>
      </c>
    </row>
    <row r="21" spans="1:4">
      <c r="A21" s="2894" t="str">
        <f>项目基本情况!D4</f>
        <v>王鹏</v>
      </c>
      <c r="B21" s="2894">
        <f ca="1">项目基本情况!E4</f>
        <v>2002110030</v>
      </c>
      <c r="C21" s="2896"/>
      <c r="D21" s="1801" t="s">
        <v>2706</v>
      </c>
    </row>
    <row r="23" spans="1:4">
      <c r="A23" s="3509" t="s">
        <v>2701</v>
      </c>
      <c r="B23" s="3509"/>
      <c r="C23" s="3509"/>
      <c r="D23" s="3509"/>
    </row>
    <row r="24" spans="1:4">
      <c r="A24" s="2894" t="s">
        <v>2697</v>
      </c>
      <c r="B24" s="2894" t="s">
        <v>2702</v>
      </c>
      <c r="C24" s="2894" t="s">
        <v>2699</v>
      </c>
      <c r="D24" s="2894" t="s">
        <v>2700</v>
      </c>
    </row>
    <row r="25" spans="1:4">
      <c r="A25" s="2897" t="s">
        <v>2703</v>
      </c>
      <c r="B25" s="2894" t="s">
        <v>953</v>
      </c>
      <c r="C25" s="2896"/>
      <c r="D25" s="1801" t="s">
        <v>2706</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20" t="s">
        <v>53</v>
      </c>
      <c r="B15" s="3521" t="s">
        <v>847</v>
      </c>
      <c r="C15" s="3517"/>
    </row>
    <row r="16" spans="1:7" ht="14.25">
      <c r="A16" s="3520"/>
      <c r="B16" s="3518" t="s">
        <v>54</v>
      </c>
      <c r="C16" s="1172" t="s">
        <v>53</v>
      </c>
    </row>
    <row r="17" spans="1:3" ht="14.25">
      <c r="A17" s="3520"/>
      <c r="B17" s="3518"/>
      <c r="C17" s="1172" t="s">
        <v>55</v>
      </c>
    </row>
    <row r="18" spans="1:3" ht="14.25">
      <c r="A18" s="3520"/>
      <c r="B18" s="3518"/>
      <c r="C18" s="1172" t="s">
        <v>56</v>
      </c>
    </row>
    <row r="19" spans="1:3" ht="14.25">
      <c r="A19" s="3520"/>
      <c r="B19" s="3516" t="s">
        <v>57</v>
      </c>
      <c r="C19" s="3517"/>
    </row>
    <row r="20" spans="1:3" ht="14.25">
      <c r="A20" s="1173" t="s">
        <v>58</v>
      </c>
      <c r="B20" s="1174"/>
      <c r="C20" s="1175"/>
    </row>
    <row r="21" spans="1:3" ht="14.25">
      <c r="A21" s="3519" t="s">
        <v>59</v>
      </c>
      <c r="B21" s="3516" t="s">
        <v>60</v>
      </c>
      <c r="C21" s="3517"/>
    </row>
    <row r="22" spans="1:3" ht="14.25">
      <c r="A22" s="3519"/>
      <c r="B22" s="3516" t="s">
        <v>61</v>
      </c>
      <c r="C22" s="3517"/>
    </row>
    <row r="23" spans="1:3" ht="14.25">
      <c r="A23" s="3519"/>
      <c r="B23" s="3516" t="s">
        <v>62</v>
      </c>
      <c r="C23" s="3517"/>
    </row>
    <row r="24" spans="1:3" ht="14.25">
      <c r="A24" s="3519"/>
      <c r="B24" s="3522" t="s">
        <v>63</v>
      </c>
      <c r="C24" s="1176" t="s">
        <v>838</v>
      </c>
    </row>
    <row r="25" spans="1:3" ht="14.25">
      <c r="A25" s="3519"/>
      <c r="B25" s="3523"/>
      <c r="C25" s="1176" t="s">
        <v>839</v>
      </c>
    </row>
    <row r="26" spans="1:3" ht="14.25">
      <c r="A26" s="3519"/>
      <c r="B26" s="3523"/>
      <c r="C26" s="1176" t="s">
        <v>840</v>
      </c>
    </row>
    <row r="27" spans="1:3" ht="14.25">
      <c r="A27" s="3519"/>
      <c r="B27" s="3523"/>
      <c r="C27" s="1176" t="s">
        <v>841</v>
      </c>
    </row>
    <row r="28" spans="1:3" ht="14.25">
      <c r="A28" s="3519"/>
      <c r="B28" s="3523"/>
      <c r="C28" s="1176" t="s">
        <v>842</v>
      </c>
    </row>
    <row r="29" spans="1:3" ht="14.25">
      <c r="A29" s="3519"/>
      <c r="B29" s="3523"/>
      <c r="C29" s="1176" t="s">
        <v>843</v>
      </c>
    </row>
    <row r="30" spans="1:3" ht="14.25">
      <c r="A30" s="3519"/>
      <c r="B30" s="3523"/>
      <c r="C30" s="1176" t="s">
        <v>844</v>
      </c>
    </row>
    <row r="31" spans="1:3" ht="14.25">
      <c r="A31" s="3519"/>
      <c r="B31" s="3523"/>
      <c r="C31" s="1176" t="s">
        <v>845</v>
      </c>
    </row>
    <row r="32" spans="1:3" ht="14.25">
      <c r="A32" s="3519"/>
      <c r="B32" s="3523"/>
      <c r="C32" s="1176" t="s">
        <v>1648</v>
      </c>
    </row>
    <row r="33" spans="1:3" ht="14.25">
      <c r="A33" s="3519"/>
      <c r="B33" s="3513" t="s">
        <v>1654</v>
      </c>
      <c r="C33" s="1176" t="s">
        <v>1649</v>
      </c>
    </row>
    <row r="34" spans="1:3" ht="14.25">
      <c r="A34" s="3519"/>
      <c r="B34" s="3514"/>
      <c r="C34" s="1181" t="s">
        <v>1650</v>
      </c>
    </row>
    <row r="35" spans="1:3" ht="14.25">
      <c r="A35" s="3519"/>
      <c r="B35" s="3514"/>
      <c r="C35" s="1182" t="s">
        <v>1651</v>
      </c>
    </row>
    <row r="36" spans="1:3" ht="14.25">
      <c r="A36" s="3519"/>
      <c r="B36" s="3514"/>
      <c r="C36" s="1182" t="s">
        <v>1652</v>
      </c>
    </row>
    <row r="37" spans="1:3" ht="14.25">
      <c r="A37" s="3519"/>
      <c r="B37" s="3515"/>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8">
        <f ca="1">TODAY()</f>
        <v>43165</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2576</v>
      </c>
      <c r="B15" s="2344">
        <v>1120070085</v>
      </c>
      <c r="C15" s="3032">
        <v>43814</v>
      </c>
      <c r="D15" s="2344" t="s">
        <v>2576</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2054</v>
      </c>
      <c r="B24" s="2346" t="s">
        <v>2054</v>
      </c>
      <c r="C24" s="3032"/>
      <c r="D24" s="3034" t="s">
        <v>2054</v>
      </c>
      <c r="E24" s="2346" t="s">
        <v>2054</v>
      </c>
      <c r="F24" s="2347"/>
    </row>
    <row r="25" spans="1:7" ht="20.25" customHeight="1">
      <c r="A25" s="3524" t="s">
        <v>1930</v>
      </c>
      <c r="B25" s="3524"/>
      <c r="C25" s="3524"/>
      <c r="D25" s="3524"/>
      <c r="E25" s="3524"/>
      <c r="F25" s="3524"/>
      <c r="G25" s="3524"/>
    </row>
    <row r="26" spans="1:7" ht="20.25" customHeight="1">
      <c r="A26" s="3525" t="s">
        <v>1931</v>
      </c>
      <c r="B26" s="3525"/>
      <c r="C26" s="3525"/>
      <c r="D26" s="3525" t="s">
        <v>1932</v>
      </c>
      <c r="E26" s="3525"/>
      <c r="F26" s="3525"/>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2944</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2018-03-06T02:01:43Z</dcterms:modified>
</cp:coreProperties>
</file>