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19440" windowHeight="573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r:id="rId35"/>
    <sheet name="典型户型修正" sheetId="31"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9" i="80" l="1"/>
  <c r="E10" i="80"/>
  <c r="E11" i="80"/>
  <c r="E8" i="80"/>
  <c r="E12" i="80" s="1"/>
  <c r="F19" i="6"/>
  <c r="D33" i="43" s="1"/>
  <c r="N21" i="1" l="1"/>
  <c r="N6" i="1" s="1"/>
  <c r="Y6" i="1" s="1"/>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X30" i="71"/>
  <c r="X32" i="71"/>
  <c r="AA32" i="71"/>
  <c r="C34" i="71"/>
  <c r="C35" i="71" s="1"/>
  <c r="D35" i="71" s="1"/>
  <c r="AB33" i="71"/>
  <c r="AA34" i="71"/>
  <c r="AA35" i="71"/>
  <c r="X36" i="71"/>
  <c r="AA36" i="71"/>
  <c r="Y37" i="71"/>
  <c r="Z37" i="71" s="1"/>
  <c r="X38" i="71"/>
  <c r="AA38" i="71"/>
  <c r="F51" i="71"/>
  <c r="F52" i="71" s="1"/>
  <c r="V52" i="71" s="1"/>
  <c r="C28" i="71"/>
  <c r="C27" i="71" s="1"/>
  <c r="C26" i="71" s="1"/>
  <c r="D26" i="71" s="1"/>
  <c r="X26" i="71"/>
  <c r="X28" i="71"/>
  <c r="C51" i="71"/>
  <c r="D51" i="71" s="1"/>
  <c r="P28" i="71"/>
  <c r="AA3" i="71" s="1"/>
  <c r="E55" i="71"/>
  <c r="E56" i="71"/>
  <c r="U56" i="71" s="1"/>
  <c r="E59" i="71"/>
  <c r="E60" i="71" s="1"/>
  <c r="U60" i="71" s="1"/>
  <c r="E63" i="71"/>
  <c r="E64" i="71" s="1"/>
  <c r="U64" i="71" s="1"/>
  <c r="U68" i="71"/>
  <c r="E67" i="71"/>
  <c r="Q28" i="71"/>
  <c r="AB26" i="71" s="1"/>
  <c r="C59" i="71"/>
  <c r="D58" i="71"/>
  <c r="C63" i="71"/>
  <c r="D62" i="71"/>
  <c r="N67" i="71"/>
  <c r="B66" i="71"/>
  <c r="N65" i="71" s="1"/>
  <c r="T68" i="71"/>
  <c r="O68" i="71"/>
  <c r="D68" i="71"/>
  <c r="C67" i="71"/>
  <c r="O67" i="71" s="1"/>
  <c r="Q68" i="71"/>
  <c r="C71" i="71"/>
  <c r="C70" i="71" s="1"/>
  <c r="D70" i="71" s="1"/>
  <c r="E71" i="71"/>
  <c r="E70" i="71"/>
  <c r="D72" i="71"/>
  <c r="C75" i="71"/>
  <c r="C74" i="71" s="1"/>
  <c r="D74" i="71" s="1"/>
  <c r="E75" i="71"/>
  <c r="E74" i="71"/>
  <c r="D76" i="71"/>
  <c r="C79" i="71"/>
  <c r="C78" i="71" s="1"/>
  <c r="D78" i="71" s="1"/>
  <c r="E79" i="71"/>
  <c r="E78" i="71"/>
  <c r="D80" i="71"/>
  <c r="C83" i="71"/>
  <c r="D83" i="71" s="1"/>
  <c r="C87" i="71"/>
  <c r="T28" i="71"/>
  <c r="F28" i="71"/>
  <c r="F27" i="71" s="1"/>
  <c r="F26" i="71" s="1"/>
  <c r="AB25" i="71"/>
  <c r="AB27" i="71"/>
  <c r="E28" i="71"/>
  <c r="E27" i="71" s="1"/>
  <c r="E26" i="71" s="1"/>
  <c r="AA26" i="71"/>
  <c r="AA28" i="71"/>
  <c r="C66" i="71"/>
  <c r="O66" i="71" s="1"/>
  <c r="C64" i="71"/>
  <c r="D64" i="71" s="1"/>
  <c r="D63" i="71"/>
  <c r="D75" i="71"/>
  <c r="N66" i="71"/>
  <c r="D87" i="71"/>
  <c r="C86" i="71"/>
  <c r="D86" i="71" s="1"/>
  <c r="D71" i="71"/>
  <c r="C60" i="71"/>
  <c r="T60" i="71" s="1"/>
  <c r="D59" i="71"/>
  <c r="P67" i="71"/>
  <c r="E66" i="71"/>
  <c r="C52" i="71"/>
  <c r="T52" i="71" s="1"/>
  <c r="C36" i="71"/>
  <c r="T36" i="71" s="1"/>
  <c r="D27" i="71"/>
  <c r="P65" i="71"/>
  <c r="P66" i="71"/>
  <c r="D66" i="71"/>
  <c r="T6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F94" i="40"/>
  <c r="H25" i="40"/>
  <c r="AB25" i="40" s="1"/>
  <c r="G94" i="40"/>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G83" i="21" s="1"/>
  <c r="S21" i="21"/>
  <c r="H1" i="69"/>
  <c r="W25" i="40"/>
  <c r="U25" i="40"/>
  <c r="U29" i="39"/>
  <c r="W29" i="39"/>
  <c r="W18" i="36"/>
  <c r="AB21" i="37"/>
  <c r="U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AC21" i="37"/>
  <c r="AC21" i="34"/>
  <c r="AC21" i="33"/>
  <c r="AB21"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s="1"/>
  <c r="B57" i="35"/>
  <c r="B61" i="35"/>
  <c r="B59" i="35"/>
  <c r="H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c r="Q10" i="34"/>
  <c r="Z10" i="34"/>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J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22" i="35"/>
  <c r="S31" i="35"/>
  <c r="U34" i="35"/>
  <c r="F36" i="34"/>
  <c r="J35" i="34"/>
  <c r="W9" i="34"/>
  <c r="H39" i="33"/>
  <c r="AB39" i="33" s="1"/>
  <c r="F26" i="33"/>
  <c r="AA26" i="33" s="1"/>
  <c r="U33" i="33"/>
  <c r="U35" i="33"/>
  <c r="S40" i="33"/>
  <c r="W33" i="33"/>
  <c r="W39" i="33"/>
  <c r="H39" i="37"/>
  <c r="AB39" i="37" s="1"/>
  <c r="S27" i="35"/>
  <c r="F11" i="40"/>
  <c r="AA11" i="40"/>
  <c r="H11" i="40"/>
  <c r="AB11" i="40"/>
  <c r="W8" i="40"/>
  <c r="AC40" i="40"/>
  <c r="AA9" i="40"/>
  <c r="AC9" i="40"/>
  <c r="U9" i="40"/>
  <c r="S34" i="40"/>
  <c r="S40"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S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S12" i="36"/>
  <c r="AB30" i="36"/>
  <c r="U33" i="35"/>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c r="G105" i="37"/>
  <c r="J10" i="36"/>
  <c r="AC10" i="36" s="1"/>
  <c r="AB30" i="21"/>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A118" i="9"/>
  <c r="A4" i="52"/>
  <c r="B41" i="72" s="1"/>
  <c r="J11" i="39"/>
  <c r="W11" i="39"/>
  <c r="F11" i="39"/>
  <c r="AA11" i="39"/>
  <c r="S11" i="39"/>
  <c r="G4" i="4"/>
  <c r="I4" i="4"/>
  <c r="A2" i="9"/>
  <c r="F61" i="43"/>
  <c r="H64" i="43" s="1"/>
  <c r="G64" i="43" s="1"/>
  <c r="AZ20" i="3"/>
  <c r="AZ32"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AZ380" i="3" s="1"/>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AZ127" i="3" s="1"/>
  <c r="BL128" i="3"/>
  <c r="AZ128" i="3" s="1"/>
  <c r="G129" i="3"/>
  <c r="BA131" i="3"/>
  <c r="AZ131" i="3" s="1"/>
  <c r="BL132" i="3"/>
  <c r="AZ132" i="3" s="1"/>
  <c r="G133" i="3"/>
  <c r="BA135" i="3"/>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G169" i="3"/>
  <c r="BA171" i="3"/>
  <c r="AZ171" i="3" s="1"/>
  <c r="BL172" i="3"/>
  <c r="G173" i="3"/>
  <c r="BA175" i="3"/>
  <c r="AZ175" i="3"/>
  <c r="BL176" i="3"/>
  <c r="G177" i="3"/>
  <c r="BA179" i="3"/>
  <c r="AZ179" i="3"/>
  <c r="BL180" i="3"/>
  <c r="AZ180" i="3"/>
  <c r="G181" i="3"/>
  <c r="BA183" i="3"/>
  <c r="AZ183" i="3" s="1"/>
  <c r="BL184" i="3"/>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51" i="3"/>
  <c r="AZ67" i="3"/>
  <c r="AZ75" i="3"/>
  <c r="AZ136" i="3"/>
  <c r="AZ144" i="3"/>
  <c r="AZ152" i="3"/>
  <c r="AZ168" i="3"/>
  <c r="AZ176" i="3"/>
  <c r="AZ184" i="3"/>
  <c r="AZ200" i="3"/>
  <c r="AZ89" i="3"/>
  <c r="AZ101"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38" i="3"/>
  <c r="AZ142" i="3"/>
  <c r="AZ146" i="3"/>
  <c r="AZ150" i="3"/>
  <c r="AZ158" i="3"/>
  <c r="AZ162" i="3"/>
  <c r="AZ166" i="3"/>
  <c r="AZ174" i="3"/>
  <c r="AZ178" i="3"/>
  <c r="AZ182" i="3"/>
  <c r="AZ190" i="3"/>
  <c r="AZ194" i="3"/>
  <c r="AZ198" i="3"/>
  <c r="AZ500" i="3"/>
  <c r="BA16" i="3"/>
  <c r="AZ16" i="3" s="1"/>
  <c r="BL303" i="3"/>
  <c r="G304" i="3"/>
  <c r="BA306" i="3"/>
  <c r="AZ306" i="3" s="1"/>
  <c r="BL307" i="3"/>
  <c r="G308" i="3"/>
  <c r="BA310" i="3"/>
  <c r="AZ310" i="3" s="1"/>
  <c r="BL311" i="3"/>
  <c r="AZ311" i="3" s="1"/>
  <c r="G312" i="3"/>
  <c r="BA314" i="3"/>
  <c r="BL315" i="3"/>
  <c r="AZ315" i="3" s="1"/>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22" i="3"/>
  <c r="AZ335" i="3"/>
  <c r="G342" i="3"/>
  <c r="BL345" i="3"/>
  <c r="G346" i="3"/>
  <c r="AZ348" i="3"/>
  <c r="BL349" i="3"/>
  <c r="AZ349" i="3" s="1"/>
  <c r="BL352" i="3"/>
  <c r="AZ352" i="3" s="1"/>
  <c r="G353" i="3"/>
  <c r="BA357" i="3"/>
  <c r="AZ357" i="3" s="1"/>
  <c r="BL358" i="3"/>
  <c r="AZ358" i="3" s="1"/>
  <c r="G359" i="3"/>
  <c r="BA361" i="3"/>
  <c r="AZ361" i="3" s="1"/>
  <c r="BL362" i="3"/>
  <c r="G363" i="3"/>
  <c r="BA365" i="3"/>
  <c r="AZ365" i="3" s="1"/>
  <c r="BL366" i="3"/>
  <c r="G367" i="3"/>
  <c r="BA369" i="3"/>
  <c r="AZ369" i="3" s="1"/>
  <c r="BL370" i="3"/>
  <c r="AZ370" i="3" s="1"/>
  <c r="G371" i="3"/>
  <c r="BA373" i="3"/>
  <c r="AZ373" i="3" s="1"/>
  <c r="BL374" i="3"/>
  <c r="AZ374" i="3" s="1"/>
  <c r="G375" i="3"/>
  <c r="BA377" i="3"/>
  <c r="AZ377" i="3"/>
  <c r="AZ233" i="3"/>
  <c r="AZ237" i="3"/>
  <c r="AZ249" i="3"/>
  <c r="AZ253" i="3"/>
  <c r="AZ269" i="3"/>
  <c r="AZ273" i="3"/>
  <c r="BA379" i="3"/>
  <c r="BL380" i="3"/>
  <c r="G381" i="3"/>
  <c r="BA383" i="3"/>
  <c r="AZ383" i="3" s="1"/>
  <c r="BL384" i="3"/>
  <c r="G385" i="3"/>
  <c r="BA387" i="3"/>
  <c r="AZ387" i="3" s="1"/>
  <c r="BL388" i="3"/>
  <c r="G389" i="3"/>
  <c r="BA391" i="3"/>
  <c r="AZ391" i="3" s="1"/>
  <c r="BL392" i="3"/>
  <c r="AZ392" i="3" s="1"/>
  <c r="G393" i="3"/>
  <c r="AZ279" i="3"/>
  <c r="AZ283" i="3"/>
  <c r="AZ291" i="3"/>
  <c r="AZ299" i="3"/>
  <c r="BO5" i="3"/>
  <c r="BM5" i="3"/>
  <c r="BJ5" i="3"/>
  <c r="BH5" i="3"/>
  <c r="BF5" i="3"/>
  <c r="BD5" i="3"/>
  <c r="AZ317" i="3"/>
  <c r="BQ5" i="3"/>
  <c r="AC5" i="3"/>
  <c r="AZ549" i="3"/>
  <c r="AZ506" i="3"/>
  <c r="AZ496" i="3"/>
  <c r="G548" i="3"/>
  <c r="G538" i="3"/>
  <c r="G520" i="3"/>
  <c r="G502" i="3"/>
  <c r="BS5" i="3"/>
  <c r="BP5" i="3"/>
  <c r="BN5" i="3"/>
  <c r="BK5" i="3"/>
  <c r="BI5" i="3"/>
  <c r="BG5" i="3"/>
  <c r="BE5" i="3"/>
  <c r="BC5" i="3"/>
  <c r="G17" i="3"/>
  <c r="BA17" i="3"/>
  <c r="BT5" i="3"/>
  <c r="AZ364" i="3"/>
  <c r="BA15" i="3"/>
  <c r="BB5" i="3"/>
  <c r="BR5" i="3"/>
  <c r="AZ388" i="3"/>
  <c r="AZ509" i="3"/>
  <c r="G509" i="3"/>
  <c r="BL493"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86" i="3"/>
  <c r="C40" i="11"/>
  <c r="AZ223" i="3"/>
  <c r="AZ235" i="3"/>
  <c r="AZ240" i="3"/>
  <c r="AZ251" i="3"/>
  <c r="AZ256" i="3"/>
  <c r="AZ268" i="3"/>
  <c r="AZ271" i="3"/>
  <c r="AZ280" i="3"/>
  <c r="AZ288" i="3"/>
  <c r="AZ296" i="3"/>
  <c r="AZ117" i="3"/>
  <c r="AZ130" i="3"/>
  <c r="AZ21" i="3"/>
  <c r="AZ42" i="3"/>
  <c r="AZ50" i="3"/>
  <c r="AZ53" i="3"/>
  <c r="AZ66" i="3"/>
  <c r="AZ69"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7" i="3"/>
  <c r="AZ433" i="3"/>
  <c r="AZ465" i="3"/>
  <c r="AA32" i="36"/>
  <c r="S32" i="36"/>
  <c r="AZ408" i="3"/>
  <c r="AZ457" i="3"/>
  <c r="AZ473" i="3"/>
  <c r="AA39" i="34"/>
  <c r="F28" i="6"/>
  <c r="BL14" i="3"/>
  <c r="AZ266" i="3"/>
  <c r="U30" i="33"/>
  <c r="AC13" i="34"/>
  <c r="AA47" i="34"/>
  <c r="W28" i="37"/>
  <c r="S19" i="39"/>
  <c r="F12" i="33"/>
  <c r="H12" i="39"/>
  <c r="AB12" i="39" s="1"/>
  <c r="F39" i="40"/>
  <c r="BA14" i="3"/>
  <c r="AZ14" i="3"/>
  <c r="AZ367" i="3"/>
  <c r="AZ224" i="3"/>
  <c r="AZ238" i="3"/>
  <c r="AZ254" i="3"/>
  <c r="AZ281" i="3"/>
  <c r="AZ286" i="3"/>
  <c r="AZ297" i="3"/>
  <c r="AZ157" i="3"/>
  <c r="AZ173" i="3"/>
  <c r="AZ189" i="3"/>
  <c r="AZ19" i="3"/>
  <c r="B12" i="1"/>
  <c r="E12" i="1" s="1"/>
  <c r="B10" i="1"/>
  <c r="E10" i="1" s="1"/>
  <c r="AZ80"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J35" i="33"/>
  <c r="S37" i="33"/>
  <c r="AA37" i="33"/>
  <c r="S39" i="33"/>
  <c r="J32" i="33"/>
  <c r="S46" i="33"/>
  <c r="W43" i="33"/>
  <c r="S43" i="33"/>
  <c r="F91" i="33"/>
  <c r="H27" i="33"/>
  <c r="H25" i="33"/>
  <c r="F25" i="33"/>
  <c r="J23" i="33"/>
  <c r="H23" i="33"/>
  <c r="F19" i="33"/>
  <c r="S19" i="33" s="1"/>
  <c r="W19" i="33"/>
  <c r="J17" i="33"/>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G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H87" i="33"/>
  <c r="I87" i="33" s="1"/>
  <c r="J87" i="33"/>
  <c r="K87" i="33" s="1"/>
  <c r="L87" i="33" s="1"/>
  <c r="M87" i="33" s="1"/>
  <c r="J25" i="33"/>
  <c r="AC25" i="33" s="1"/>
  <c r="AB23" i="33"/>
  <c r="U23" i="33"/>
  <c r="F23" i="33"/>
  <c r="G85" i="33"/>
  <c r="AC23" i="33"/>
  <c r="W23" i="33"/>
  <c r="AA19" i="33"/>
  <c r="H19" i="33"/>
  <c r="U19" i="33" s="1"/>
  <c r="G79" i="33"/>
  <c r="H17" i="33"/>
  <c r="F17" i="33"/>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S17" i="33"/>
  <c r="U17" i="33"/>
  <c r="AB17" i="33"/>
  <c r="U23" i="21"/>
  <c r="AB23" i="21"/>
  <c r="AC23" i="21"/>
  <c r="H109" i="9"/>
  <c r="M49" i="9" s="1"/>
  <c r="H112" i="9"/>
  <c r="D21" i="53" s="1"/>
  <c r="B39" i="72" s="1"/>
  <c r="H111" i="9"/>
  <c r="D126" i="9" s="1"/>
  <c r="AD3" i="71"/>
  <c r="J1" i="73"/>
  <c r="H69" i="43"/>
  <c r="G69" i="43" s="1"/>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F8" i="67"/>
  <c r="M29" i="15"/>
  <c r="D6" i="73"/>
  <c r="F7" i="67"/>
  <c r="L47" i="67"/>
  <c r="F37" i="67"/>
  <c r="F13" i="67"/>
  <c r="M23" i="67"/>
  <c r="F16" i="67"/>
  <c r="E9" i="76"/>
  <c r="F38" i="15"/>
  <c r="F36" i="15"/>
  <c r="B10" i="76"/>
  <c r="M9" i="15"/>
  <c r="F36" i="67"/>
  <c r="B12" i="76"/>
  <c r="C76" i="15"/>
  <c r="L48" i="15"/>
  <c r="F16" i="15"/>
  <c r="AO13" i="1"/>
  <c r="M6" i="15"/>
  <c r="F13" i="15"/>
  <c r="E13" i="76"/>
  <c r="F4" i="73"/>
  <c r="E12" i="76"/>
  <c r="L48" i="67"/>
  <c r="F42" i="15"/>
  <c r="B9" i="76"/>
  <c r="M9" i="67"/>
  <c r="E2" i="68"/>
  <c r="F20" i="31"/>
  <c r="F9" i="67"/>
  <c r="M8" i="15"/>
  <c r="M26" i="15"/>
  <c r="J15" i="67"/>
  <c r="M6" i="67"/>
  <c r="M24" i="15"/>
  <c r="C76" i="67"/>
  <c r="F6" i="67"/>
  <c r="F6" i="15"/>
  <c r="B13" i="76"/>
  <c r="F42" i="67"/>
  <c r="M28" i="15"/>
  <c r="F43" i="15"/>
  <c r="B11" i="76"/>
  <c r="B7" i="76"/>
  <c r="M24" i="67"/>
  <c r="L47" i="15"/>
  <c r="F43" i="67"/>
  <c r="F3" i="73"/>
  <c r="E2" i="69"/>
  <c r="E8" i="76"/>
  <c r="M8" i="67"/>
  <c r="M22" i="15"/>
  <c r="J15" i="15"/>
  <c r="E7" i="76"/>
  <c r="F40" i="67"/>
  <c r="D3" i="73"/>
  <c r="F7" i="15"/>
  <c r="D7" i="73"/>
  <c r="E11" i="76"/>
  <c r="F9" i="15"/>
  <c r="M28" i="67"/>
  <c r="E10" i="76"/>
  <c r="M22" i="67"/>
  <c r="M23" i="15"/>
  <c r="F5" i="73"/>
  <c r="F38" i="67"/>
  <c r="M29" i="67"/>
  <c r="F8" i="15"/>
  <c r="F37" i="15"/>
  <c r="F26" i="15"/>
  <c r="B8" i="76"/>
  <c r="F40" i="15"/>
  <c r="D5" i="73"/>
  <c r="F26" i="67"/>
  <c r="M26" i="67"/>
  <c r="F6" i="73"/>
  <c r="F7" i="73"/>
  <c r="D4" i="73"/>
  <c r="M67" i="43" l="1"/>
  <c r="N67" i="43" s="1"/>
  <c r="K67" i="43"/>
  <c r="J67" i="43" s="1"/>
  <c r="AZ379" i="3"/>
  <c r="AZ345" i="3"/>
  <c r="AZ318" i="3"/>
  <c r="AZ372" i="3"/>
  <c r="AZ337" i="3"/>
  <c r="AZ320" i="3"/>
  <c r="AZ305" i="3"/>
  <c r="AZ376" i="3"/>
  <c r="AZ362" i="3"/>
  <c r="AZ360" i="3"/>
  <c r="AZ343" i="3"/>
  <c r="M64" i="43"/>
  <c r="N64" i="43" s="1"/>
  <c r="K64" i="43"/>
  <c r="J64" i="43" s="1"/>
  <c r="AZ495" i="3"/>
  <c r="AZ513" i="3"/>
  <c r="AZ517" i="3"/>
  <c r="AZ567" i="3"/>
  <c r="AZ571" i="3"/>
  <c r="AZ575" i="3"/>
  <c r="AZ579" i="3"/>
  <c r="S29" i="35"/>
  <c r="AA29" i="35"/>
  <c r="U23" i="34"/>
  <c r="AB23" i="34"/>
  <c r="U12" i="35"/>
  <c r="AB12" i="35"/>
  <c r="M69" i="43"/>
  <c r="N69" i="43" s="1"/>
  <c r="K69" i="43"/>
  <c r="J69" i="43" s="1"/>
  <c r="AZ503" i="3"/>
  <c r="AZ523" i="3"/>
  <c r="AZ531" i="3"/>
  <c r="AZ539" i="3"/>
  <c r="AZ547" i="3"/>
  <c r="AZ553" i="3"/>
  <c r="AZ583" i="3"/>
  <c r="AZ581" i="3"/>
  <c r="AZ526" i="3"/>
  <c r="AZ566" i="3"/>
  <c r="AZ574" i="3"/>
  <c r="AZ582" i="3"/>
  <c r="AZ584" i="3"/>
  <c r="AA14" i="37"/>
  <c r="AB31" i="34"/>
  <c r="U31" i="34"/>
  <c r="U26" i="33"/>
  <c r="AB26" i="33"/>
  <c r="AC31" i="40"/>
  <c r="W31" i="40"/>
  <c r="BL586" i="3"/>
  <c r="AZ586" i="3" s="1"/>
  <c r="BL585" i="3"/>
  <c r="AZ585" i="3" s="1"/>
  <c r="BL550" i="3"/>
  <c r="BA550" i="3"/>
  <c r="AZ550" i="3" s="1"/>
  <c r="BL15" i="3"/>
  <c r="AZ15" i="3" s="1"/>
  <c r="AZ403" i="3"/>
  <c r="AZ418" i="3"/>
  <c r="AZ422" i="3"/>
  <c r="AZ434" i="3"/>
  <c r="AZ450" i="3"/>
  <c r="AZ454" i="3"/>
  <c r="AZ459" i="3"/>
  <c r="AZ477" i="3"/>
  <c r="AC11" i="40"/>
  <c r="AA39" i="37"/>
  <c r="U34" i="21"/>
  <c r="U34" i="34"/>
  <c r="W34" i="35"/>
  <c r="J36" i="35"/>
  <c r="F25" i="37"/>
  <c r="G578" i="3"/>
  <c r="G562" i="3"/>
  <c r="BA551" i="3"/>
  <c r="AZ551" i="3" s="1"/>
  <c r="BL548" i="3"/>
  <c r="AZ548" i="3" s="1"/>
  <c r="G14" i="3"/>
  <c r="A15" i="62"/>
  <c r="B61" i="72" s="1"/>
  <c r="BA398" i="3"/>
  <c r="AZ398" i="3" s="1"/>
  <c r="G401" i="3"/>
  <c r="G402" i="3"/>
  <c r="G406" i="3"/>
  <c r="G408" i="3"/>
  <c r="G409" i="3"/>
  <c r="BL409" i="3"/>
  <c r="AZ409" i="3" s="1"/>
  <c r="BA410" i="3"/>
  <c r="AZ410" i="3" s="1"/>
  <c r="BL412" i="3"/>
  <c r="AZ412" i="3" s="1"/>
  <c r="BA413" i="3"/>
  <c r="AZ413" i="3" s="1"/>
  <c r="G416" i="3"/>
  <c r="BL416" i="3"/>
  <c r="AZ416" i="3" s="1"/>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AZ445" i="3" s="1"/>
  <c r="G447" i="3"/>
  <c r="BL447" i="3"/>
  <c r="AZ447" i="3" s="1"/>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275" i="3"/>
  <c r="AZ275" i="3" s="1"/>
  <c r="BA276" i="3"/>
  <c r="AZ276" i="3" s="1"/>
  <c r="G281" i="3"/>
  <c r="G282" i="3"/>
  <c r="BL282" i="3"/>
  <c r="G285" i="3"/>
  <c r="BL285" i="3"/>
  <c r="BL287" i="3"/>
  <c r="AZ287" i="3" s="1"/>
  <c r="G290" i="3"/>
  <c r="BL290" i="3"/>
  <c r="G293" i="3"/>
  <c r="BL293" i="3"/>
  <c r="BA294" i="3"/>
  <c r="AZ294" i="3" s="1"/>
  <c r="BA295" i="3"/>
  <c r="AZ295" i="3" s="1"/>
  <c r="BL314" i="3"/>
  <c r="AZ314" i="3" s="1"/>
  <c r="BA316" i="3"/>
  <c r="AZ316" i="3" s="1"/>
  <c r="BA319" i="3"/>
  <c r="AZ319" i="3" s="1"/>
  <c r="BA323" i="3"/>
  <c r="AZ323" i="3" s="1"/>
  <c r="BL328" i="3"/>
  <c r="AZ328" i="3" s="1"/>
  <c r="BL333" i="3"/>
  <c r="AZ333" i="3" s="1"/>
  <c r="G339" i="3"/>
  <c r="BL340" i="3"/>
  <c r="AZ340" i="3" s="1"/>
  <c r="G347" i="3"/>
  <c r="BL350" i="3"/>
  <c r="AZ350" i="3" s="1"/>
  <c r="BA353" i="3"/>
  <c r="AZ353" i="3" s="1"/>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AZ270" i="3" s="1"/>
  <c r="G273" i="3"/>
  <c r="G274" i="3"/>
  <c r="BL277" i="3"/>
  <c r="BA278" i="3"/>
  <c r="AZ278" i="3" s="1"/>
  <c r="AZ282" i="3"/>
  <c r="AZ285" i="3"/>
  <c r="AZ290" i="3"/>
  <c r="G297" i="3"/>
  <c r="G298" i="3"/>
  <c r="BL298" i="3"/>
  <c r="AZ298" i="3" s="1"/>
  <c r="G301" i="3"/>
  <c r="BL301" i="3"/>
  <c r="BA302" i="3"/>
  <c r="AZ302" i="3" s="1"/>
  <c r="BA113" i="3"/>
  <c r="AZ113" i="3" s="1"/>
  <c r="BA114" i="3"/>
  <c r="AZ114" i="3" s="1"/>
  <c r="BL115" i="3"/>
  <c r="AZ115" i="3" s="1"/>
  <c r="G119" i="3"/>
  <c r="G122" i="3"/>
  <c r="BL122" i="3"/>
  <c r="BA124" i="3"/>
  <c r="AZ124" i="3" s="1"/>
  <c r="BL125" i="3"/>
  <c r="G127" i="3"/>
  <c r="G130" i="3"/>
  <c r="G131" i="3"/>
  <c r="BL133" i="3"/>
  <c r="AZ133" i="3" s="1"/>
  <c r="BA134" i="3"/>
  <c r="AZ134" i="3" s="1"/>
  <c r="BL135" i="3"/>
  <c r="AZ135" i="3" s="1"/>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AZ22" i="3" s="1"/>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G51" i="3"/>
  <c r="G52" i="3"/>
  <c r="BL52" i="3"/>
  <c r="BA54" i="3"/>
  <c r="AZ54" i="3" s="1"/>
  <c r="BA55" i="3"/>
  <c r="AZ55" i="3" s="1"/>
  <c r="BA57" i="3"/>
  <c r="AZ57" i="3" s="1"/>
  <c r="BA58" i="3"/>
  <c r="AZ58" i="3" s="1"/>
  <c r="BA59" i="3"/>
  <c r="AZ59" i="3" s="1"/>
  <c r="BL61" i="3"/>
  <c r="AZ61" i="3" s="1"/>
  <c r="BA62" i="3"/>
  <c r="AZ62" i="3" s="1"/>
  <c r="BA63" i="3"/>
  <c r="AZ63" i="3" s="1"/>
  <c r="G66" i="3"/>
  <c r="G67" i="3"/>
  <c r="G68" i="3"/>
  <c r="BL68" i="3"/>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S21" i="34"/>
  <c r="B27" i="71"/>
  <c r="B26" i="71" s="1"/>
  <c r="S28" i="71"/>
  <c r="C39" i="71"/>
  <c r="D38" i="71"/>
  <c r="E23" i="71"/>
  <c r="E22" i="71" s="1"/>
  <c r="E21" i="71" s="1"/>
  <c r="E20" i="71" s="1"/>
  <c r="V24" i="71"/>
  <c r="AZ52" i="3"/>
  <c r="AZ68" i="3"/>
  <c r="AZ100" i="3"/>
  <c r="S21" i="37"/>
  <c r="D54" i="71"/>
  <c r="C55" i="71"/>
  <c r="P27" i="6"/>
  <c r="D60" i="71"/>
  <c r="D52" i="71"/>
  <c r="D36" i="71"/>
  <c r="O65" i="71"/>
  <c r="D79" i="71"/>
  <c r="D67" i="71"/>
  <c r="D28" i="71"/>
  <c r="U28" i="71" s="1"/>
  <c r="AA27" i="71"/>
  <c r="AA25" i="71"/>
  <c r="AB28" i="71"/>
  <c r="D34" i="71"/>
  <c r="X27" i="71"/>
  <c r="X25" i="71"/>
  <c r="Y28" i="71"/>
  <c r="Z28" i="71" s="1"/>
  <c r="Y27" i="71"/>
  <c r="Z27" i="71" s="1"/>
  <c r="Y26" i="71"/>
  <c r="Z26" i="71" s="1"/>
  <c r="Y25" i="71"/>
  <c r="Z25" i="71" s="1"/>
  <c r="AB37" i="71"/>
  <c r="X35" i="71"/>
  <c r="X34" i="71"/>
  <c r="X31" i="71"/>
  <c r="C30" i="71"/>
  <c r="AA30" i="71"/>
  <c r="AA33" i="71"/>
  <c r="B43" i="71"/>
  <c r="B44" i="71" s="1"/>
  <c r="S44" i="71" s="1"/>
  <c r="B47" i="71"/>
  <c r="B48" i="71" s="1"/>
  <c r="S48" i="71" s="1"/>
  <c r="B51" i="71"/>
  <c r="B52" i="71" s="1"/>
  <c r="S52" i="71" s="1"/>
  <c r="C21" i="68"/>
  <c r="C40" i="69"/>
  <c r="G6" i="1"/>
  <c r="I24" i="43"/>
  <c r="E19" i="71"/>
  <c r="E18" i="71" s="1"/>
  <c r="E17" i="71" s="1"/>
  <c r="E16" i="71" s="1"/>
  <c r="V20" i="71"/>
  <c r="D17" i="71"/>
  <c r="C16" i="71"/>
  <c r="D19" i="53"/>
  <c r="B38" i="72" s="1"/>
  <c r="D16" i="53"/>
  <c r="B34" i="72" s="1"/>
  <c r="S12" i="21"/>
  <c r="AA12" i="21"/>
  <c r="AC9" i="35"/>
  <c r="W9" i="35"/>
  <c r="W12" i="33"/>
  <c r="AC12" i="33"/>
  <c r="AB23" i="35"/>
  <c r="U23" i="35"/>
  <c r="AC12" i="36"/>
  <c r="W12" i="36"/>
  <c r="AC24" i="36"/>
  <c r="W24" i="36"/>
  <c r="AZ557" i="3"/>
  <c r="U13" i="21"/>
  <c r="AB13" i="21"/>
  <c r="AC29" i="21"/>
  <c r="W29" i="21"/>
  <c r="W17" i="21"/>
  <c r="AC15" i="21"/>
  <c r="U12" i="39"/>
  <c r="AA27" i="40"/>
  <c r="G28" i="6"/>
  <c r="F29" i="6"/>
  <c r="U43" i="33"/>
  <c r="AA41" i="34"/>
  <c r="U46" i="33"/>
  <c r="AA13" i="35"/>
  <c r="B73" i="43"/>
  <c r="B79" i="43"/>
  <c r="B76" i="43"/>
  <c r="B75" i="43"/>
  <c r="AZ425" i="3"/>
  <c r="AZ432" i="3"/>
  <c r="AZ464" i="3"/>
  <c r="AZ467" i="3"/>
  <c r="AZ474" i="3"/>
  <c r="AZ480" i="3"/>
  <c r="AZ482" i="3"/>
  <c r="AZ486" i="3"/>
  <c r="AZ488" i="3"/>
  <c r="AZ397" i="3"/>
  <c r="AZ264" i="3"/>
  <c r="AZ293" i="3"/>
  <c r="BL5" i="3"/>
  <c r="G5" i="3"/>
  <c r="B3" i="3" s="1"/>
  <c r="E253" i="3" s="1"/>
  <c r="AC11" i="35"/>
  <c r="AZ399" i="3"/>
  <c r="AZ404" i="3"/>
  <c r="AZ414" i="3"/>
  <c r="AZ421" i="3"/>
  <c r="AZ430" i="3"/>
  <c r="AZ440" i="3"/>
  <c r="AZ449" i="3"/>
  <c r="AZ453" i="3"/>
  <c r="AZ455" i="3"/>
  <c r="AZ460" i="3"/>
  <c r="AZ471" i="3"/>
  <c r="AZ385" i="3"/>
  <c r="AZ210" i="3"/>
  <c r="AZ225" i="3"/>
  <c r="AZ239" i="3"/>
  <c r="AZ255" i="3"/>
  <c r="AZ274" i="3"/>
  <c r="AZ277" i="3"/>
  <c r="AZ301" i="3"/>
  <c r="AZ122" i="3"/>
  <c r="AZ153" i="3"/>
  <c r="AZ169" i="3"/>
  <c r="AZ185" i="3"/>
  <c r="AZ201" i="3"/>
  <c r="AZ207" i="3"/>
  <c r="AZ25" i="3"/>
  <c r="AZ30" i="3"/>
  <c r="AZ36" i="3"/>
  <c r="AZ40" i="3"/>
  <c r="AZ46" i="3"/>
  <c r="AZ49" i="3"/>
  <c r="H38" i="40"/>
  <c r="J38" i="40"/>
  <c r="H39" i="40"/>
  <c r="AZ125" i="3"/>
  <c r="AZ56" i="3"/>
  <c r="AZ60" i="3"/>
  <c r="AZ73" i="3"/>
  <c r="AZ78" i="3"/>
  <c r="AZ87" i="3"/>
  <c r="AZ91" i="3"/>
  <c r="AZ95" i="3"/>
  <c r="AZ98" i="3"/>
  <c r="AZ104" i="3"/>
  <c r="AZ108" i="3"/>
  <c r="V28" i="71"/>
  <c r="C82" i="71"/>
  <c r="D82" i="71" s="1"/>
  <c r="U18" i="36"/>
  <c r="C43" i="71"/>
  <c r="D42" i="71"/>
  <c r="C47" i="71"/>
  <c r="D47" i="71" s="1"/>
  <c r="D46" i="71"/>
  <c r="F30" i="71"/>
  <c r="F31" i="71" s="1"/>
  <c r="F32" i="71" s="1"/>
  <c r="V32" i="71" s="1"/>
  <c r="Y9" i="71"/>
  <c r="Z9" i="71" s="1"/>
  <c r="Y10" i="71"/>
  <c r="Z10" i="71" s="1"/>
  <c r="AA9" i="71"/>
  <c r="AA10" i="71"/>
  <c r="V68" i="71"/>
  <c r="F67" i="71"/>
  <c r="X22" i="71"/>
  <c r="AA24" i="71"/>
  <c r="AA23" i="71"/>
  <c r="AA22" i="71"/>
  <c r="X21" i="71"/>
  <c r="Y18" i="71"/>
  <c r="Z18" i="71" s="1"/>
  <c r="X17" i="71"/>
  <c r="Y17" i="71"/>
  <c r="Z17" i="71" s="1"/>
  <c r="AB18" i="71"/>
  <c r="Y14" i="71"/>
  <c r="Z14" i="71" s="1"/>
  <c r="AA17" i="71"/>
  <c r="AA31" i="71"/>
  <c r="X9" i="71"/>
  <c r="X10" i="71"/>
  <c r="Y39" i="71"/>
  <c r="Z39" i="71" s="1"/>
  <c r="AA39" i="71"/>
  <c r="AB9" i="71"/>
  <c r="AB10" i="71"/>
  <c r="AB24" i="71"/>
  <c r="Y21" i="71"/>
  <c r="Z21" i="71" s="1"/>
  <c r="AB23" i="71"/>
  <c r="AB21" i="71"/>
  <c r="AA21" i="71"/>
  <c r="X18" i="71"/>
  <c r="AA18" i="71"/>
  <c r="X13" i="71"/>
  <c r="AA14" i="71"/>
  <c r="AB17" i="71"/>
  <c r="X24" i="71"/>
  <c r="Y24" i="71"/>
  <c r="Z24" i="71" s="1"/>
  <c r="AB15" i="71"/>
  <c r="AB11" i="71"/>
  <c r="AB14" i="71"/>
  <c r="Y12" i="71"/>
  <c r="Z12" i="71" s="1"/>
  <c r="Y13" i="71"/>
  <c r="Z13" i="71" s="1"/>
  <c r="AA11" i="71"/>
  <c r="AA13" i="71"/>
  <c r="X12" i="71"/>
  <c r="Y23" i="71"/>
  <c r="Z23" i="71" s="1"/>
  <c r="Y22" i="71"/>
  <c r="Z22" i="71" s="1"/>
  <c r="X15" i="71"/>
  <c r="AA15" i="71"/>
  <c r="AB12" i="71"/>
  <c r="AB13" i="71"/>
  <c r="Y11" i="71"/>
  <c r="Z11" i="71" s="1"/>
  <c r="AA12"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56" i="3"/>
  <c r="E238" i="3"/>
  <c r="E434" i="3"/>
  <c r="E128" i="3"/>
  <c r="E262" i="3"/>
  <c r="E120" i="3"/>
  <c r="E177" i="3"/>
  <c r="E330" i="3"/>
  <c r="Q6" i="3"/>
  <c r="E437" i="3"/>
  <c r="E481" i="3"/>
  <c r="E424" i="3"/>
  <c r="E344" i="3"/>
  <c r="AE6" i="3"/>
  <c r="E429" i="3"/>
  <c r="E496"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4" i="43"/>
  <c r="D67" i="43"/>
  <c r="D65"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U16" i="71" l="1"/>
  <c r="M23" i="43"/>
  <c r="M66" i="43"/>
  <c r="N66" i="43" s="1"/>
  <c r="K66" i="43"/>
  <c r="M63" i="43"/>
  <c r="N63" i="43" s="1"/>
  <c r="K63" i="43"/>
  <c r="C56" i="71"/>
  <c r="D55" i="71"/>
  <c r="AZ451" i="3"/>
  <c r="AZ438" i="3"/>
  <c r="AZ435" i="3"/>
  <c r="AZ419" i="3"/>
  <c r="AC36" i="35"/>
  <c r="W36" i="35"/>
  <c r="BA5" i="3"/>
  <c r="M68" i="43"/>
  <c r="N68" i="43" s="1"/>
  <c r="K68" i="43"/>
  <c r="J68" i="43" s="1"/>
  <c r="D68" i="43" s="1"/>
  <c r="M61" i="43"/>
  <c r="N61" i="43" s="1"/>
  <c r="K61" i="43"/>
  <c r="J61" i="43" s="1"/>
  <c r="AZ5" i="3"/>
  <c r="M65" i="43"/>
  <c r="N65" i="43" s="1"/>
  <c r="K65" i="43"/>
  <c r="J65" i="43" s="1"/>
  <c r="M62" i="43"/>
  <c r="N62" i="43" s="1"/>
  <c r="K62" i="43"/>
  <c r="D30" i="71"/>
  <c r="C31" i="71"/>
  <c r="C40" i="71"/>
  <c r="D39" i="71"/>
  <c r="AA25" i="37"/>
  <c r="S25" i="37"/>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54" i="3"/>
  <c r="E468" i="3"/>
  <c r="E577" i="3"/>
  <c r="E587" i="3"/>
  <c r="E465" i="3"/>
  <c r="E406" i="3"/>
  <c r="E472" i="3"/>
  <c r="E560" i="3"/>
  <c r="K6" i="3"/>
  <c r="E133" i="3"/>
  <c r="E277" i="3"/>
  <c r="E228" i="3"/>
  <c r="AK6" i="3"/>
  <c r="E545" i="3"/>
  <c r="E181" i="3"/>
  <c r="E568" i="3"/>
  <c r="E77"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U39" i="40"/>
  <c r="AB39" i="40"/>
  <c r="AB38" i="40"/>
  <c r="U38" i="40"/>
  <c r="C15" i="71"/>
  <c r="T16" i="71"/>
  <c r="B15" i="71"/>
  <c r="B14" i="71" s="1"/>
  <c r="B13" i="71" s="1"/>
  <c r="B12" i="71" s="1"/>
  <c r="S16" i="71"/>
  <c r="F66" i="71"/>
  <c r="Q67" i="71"/>
  <c r="C44" i="71"/>
  <c r="D43" i="71"/>
  <c r="AC38" i="40"/>
  <c r="W38" i="40"/>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102"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20" i="3"/>
  <c r="E80" i="3"/>
  <c r="E62" i="3"/>
  <c r="E113" i="3"/>
  <c r="E176" i="3"/>
  <c r="E158" i="3"/>
  <c r="E218" i="3"/>
  <c r="E287" i="3"/>
  <c r="E265" i="3"/>
  <c r="E308" i="3"/>
  <c r="E365" i="3"/>
  <c r="E326" i="3"/>
  <c r="E524" i="3"/>
  <c r="E22" i="3"/>
  <c r="E101" i="3"/>
  <c r="E15" i="71"/>
  <c r="E14" i="71" s="1"/>
  <c r="E13" i="71" s="1"/>
  <c r="E12" i="71" s="1"/>
  <c r="V16" i="7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D31" i="71" l="1"/>
  <c r="C32" i="71"/>
  <c r="J62" i="43"/>
  <c r="D62" i="43"/>
  <c r="J63" i="43"/>
  <c r="D63" i="43"/>
  <c r="J66" i="43"/>
  <c r="D66" i="43"/>
  <c r="T40" i="71"/>
  <c r="D40" i="71"/>
  <c r="T56" i="71"/>
  <c r="D56" i="71"/>
  <c r="E65" i="39"/>
  <c r="E11" i="71"/>
  <c r="E10" i="71" s="1"/>
  <c r="E9" i="71" s="1"/>
  <c r="E8" i="71" s="1"/>
  <c r="E7" i="71" s="1"/>
  <c r="E6" i="71" s="1"/>
  <c r="E5" i="71" s="1"/>
  <c r="V12" i="71"/>
  <c r="D44" i="71"/>
  <c r="T44"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E61" i="43" l="1"/>
  <c r="B59" i="43" s="1"/>
  <c r="C28" i="43" s="1"/>
  <c r="T32" i="71"/>
  <c r="D32" i="71"/>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T15" i="43" l="1"/>
  <c r="V15" i="43" s="1"/>
  <c r="T11" i="43"/>
  <c r="V11" i="43" s="1"/>
  <c r="T7" i="43"/>
  <c r="V7" i="43" s="1"/>
  <c r="T14" i="43"/>
  <c r="V14" i="43" s="1"/>
  <c r="T10" i="43"/>
  <c r="V10" i="43" s="1"/>
  <c r="T4" i="43"/>
  <c r="V4" i="43" s="1"/>
  <c r="T2" i="43"/>
  <c r="V2" i="43" s="1"/>
  <c r="T5" i="43"/>
  <c r="V5" i="43" s="1"/>
  <c r="C40" i="43"/>
  <c r="C41" i="43"/>
  <c r="C42" i="43"/>
  <c r="C38" i="43"/>
  <c r="T13" i="43"/>
  <c r="V13" i="43" s="1"/>
  <c r="T9" i="43"/>
  <c r="V9" i="43" s="1"/>
  <c r="T16" i="43"/>
  <c r="V16" i="43" s="1"/>
  <c r="T12" i="43"/>
  <c r="V12" i="43" s="1"/>
  <c r="T8" i="43"/>
  <c r="V8" i="43" s="1"/>
  <c r="T3" i="43"/>
  <c r="V3" i="43" s="1"/>
  <c r="T6" i="43"/>
  <c r="V6" i="43" s="1"/>
  <c r="C33" i="43"/>
  <c r="C37" i="43"/>
  <c r="C39" i="43"/>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G37" i="43" l="1"/>
  <c r="I37" i="43" s="1"/>
  <c r="E37" i="43"/>
  <c r="E42" i="43"/>
  <c r="G42" i="43"/>
  <c r="I42" i="43" s="1"/>
  <c r="G40" i="43"/>
  <c r="I40" i="43" s="1"/>
  <c r="E40" i="43"/>
  <c r="G39" i="43"/>
  <c r="I39" i="43" s="1"/>
  <c r="E39" i="43"/>
  <c r="I6" i="69"/>
  <c r="C6" i="69" s="1"/>
  <c r="C7" i="69" s="1"/>
  <c r="C34" i="43"/>
  <c r="E34" i="43" s="1"/>
  <c r="E33" i="43"/>
  <c r="E38" i="43"/>
  <c r="G38" i="43"/>
  <c r="I38" i="43" s="1"/>
  <c r="G41" i="43"/>
  <c r="I41" i="43" s="1"/>
  <c r="E41" i="43"/>
  <c r="C8" i="69"/>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F7" i="21" l="1"/>
  <c r="S7" i="21" s="1"/>
  <c r="C5" i="69"/>
  <c r="C23" i="69" s="1"/>
  <c r="C31" i="43"/>
  <c r="C30" i="43"/>
  <c r="J7" i="21"/>
  <c r="C8" i="68"/>
  <c r="C5" i="68" s="1"/>
  <c r="C23" i="68" s="1"/>
  <c r="C18" i="12"/>
  <c r="C21" i="12" s="1"/>
  <c r="C10" i="71"/>
  <c r="D11"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AA7" i="21"/>
  <c r="R48" i="21" s="1"/>
  <c r="J63" i="40"/>
  <c r="I65" i="40"/>
  <c r="K48" i="35"/>
  <c r="L48" i="35" s="1"/>
  <c r="M48" i="35" s="1"/>
  <c r="N48" i="35" s="1"/>
  <c r="O48" i="35" s="1"/>
  <c r="H7" i="35" s="1"/>
  <c r="J7" i="35"/>
  <c r="AC7" i="21"/>
  <c r="V48" i="21" s="1"/>
  <c r="I48" i="21" s="1"/>
  <c r="W7" i="21"/>
  <c r="E6" i="76"/>
  <c r="C20" i="69" l="1"/>
  <c r="C28" i="69" s="1"/>
  <c r="C27" i="69" s="1"/>
  <c r="E2" i="76"/>
  <c r="B2" i="43"/>
  <c r="C20" i="68"/>
  <c r="C28" i="68" s="1"/>
  <c r="C27" i="68" s="1"/>
  <c r="C22" i="12"/>
  <c r="C30" i="12" s="1"/>
  <c r="C28"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B6" i="76"/>
  <c r="B2" i="76" l="1"/>
  <c r="B3" i="76" s="1"/>
  <c r="B3" i="43"/>
  <c r="C25" i="68"/>
  <c r="C22" i="68" s="1"/>
  <c r="C31" i="68" s="1"/>
  <c r="C27" i="12"/>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2" i="68"/>
  <c r="B2" i="68" s="1"/>
  <c r="B3"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7"/>
  <c r="D19" i="9"/>
  <c r="L51" i="15"/>
  <c r="D2" i="34"/>
  <c r="D2" i="35"/>
  <c r="D2" i="36"/>
  <c r="D102" i="9" l="1"/>
  <c r="D21" i="9"/>
  <c r="D22" i="9"/>
  <c r="G19" i="9"/>
  <c r="G21" i="9" s="1"/>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11" i="1"/>
  <c r="AO9" i="1"/>
  <c r="AO7" i="1"/>
  <c r="AO8" i="1"/>
  <c r="AO10" i="1"/>
  <c r="AO6" i="1"/>
  <c r="D20" i="9"/>
  <c r="D103" i="9" l="1"/>
  <c r="G20" i="9"/>
  <c r="R24" i="31" s="1"/>
  <c r="G8" i="80"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24" i="31" l="1"/>
  <c r="R27" i="31"/>
  <c r="R26" i="31"/>
  <c r="R25" i="31"/>
  <c r="C32" i="9"/>
  <c r="C35" i="9" s="1"/>
  <c r="N28" i="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S26" i="31"/>
  <c r="G10" i="80"/>
  <c r="S25" i="31"/>
  <c r="G9" i="80"/>
  <c r="S27" i="31"/>
  <c r="G11" i="80"/>
  <c r="C42" i="40"/>
  <c r="C43" i="40"/>
  <c r="E47" i="40"/>
  <c r="F47" i="40" s="1"/>
  <c r="E46" i="40"/>
  <c r="F46" i="40" s="1"/>
  <c r="I47" i="40"/>
  <c r="J47" i="40" s="1"/>
  <c r="D34" i="9"/>
  <c r="S22" i="31" l="1"/>
  <c r="B20" i="31" s="1"/>
  <c r="B58" i="40"/>
  <c r="F58" i="40" s="1"/>
  <c r="B54" i="40"/>
  <c r="F54" i="40" s="1"/>
  <c r="B53" i="40"/>
  <c r="F53" i="40" s="1"/>
  <c r="B59" i="40"/>
  <c r="F59" i="40" s="1"/>
  <c r="B52" i="40"/>
  <c r="F52" i="40" s="1"/>
  <c r="B56" i="40"/>
  <c r="F56" i="40" s="1"/>
  <c r="B60" i="40"/>
  <c r="F60" i="40" s="1"/>
  <c r="B57" i="40"/>
  <c r="F57" i="40" s="1"/>
  <c r="B51" i="40"/>
  <c r="F51" i="40" s="1"/>
  <c r="F61" i="40"/>
  <c r="B2" i="40" s="1"/>
  <c r="B3" i="40" s="1"/>
  <c r="B21" i="31" l="1"/>
  <c r="D14" i="74"/>
  <c r="F14" i="74" s="1"/>
  <c r="R22" i="31"/>
  <c r="B5" i="74"/>
  <c r="D5" i="74" s="1"/>
  <c r="E14" i="74" l="1"/>
  <c r="B6" i="74"/>
  <c r="D6" i="74" s="1"/>
  <c r="G118" i="9"/>
  <c r="F118" i="9" s="1"/>
  <c r="F119" i="9" s="1"/>
  <c r="F5" i="52" s="1"/>
  <c r="B53" i="72" s="1"/>
  <c r="I118" i="9"/>
  <c r="C105" i="9" s="1"/>
  <c r="G4" i="52" l="1"/>
  <c r="B52" i="72" s="1"/>
  <c r="H118" i="9"/>
  <c r="E118" i="9"/>
  <c r="F4" i="52"/>
  <c r="B51" i="72" s="1"/>
  <c r="H102" i="9"/>
  <c r="I4" i="52"/>
  <c r="H4" i="52" l="1"/>
  <c r="H101" i="9"/>
  <c r="C104" i="9"/>
  <c r="H119" i="9"/>
  <c r="H5" i="52" s="1"/>
  <c r="D7" i="53"/>
  <c r="B21" i="72" s="1"/>
  <c r="C5" i="74"/>
  <c r="D118" i="9"/>
  <c r="E4" i="52"/>
  <c r="B48" i="72" s="1"/>
  <c r="M48" i="9" l="1"/>
  <c r="H107" i="9"/>
  <c r="D45" i="9"/>
  <c r="D5" i="53"/>
  <c r="D119" i="9"/>
  <c r="D5" i="52" s="1"/>
  <c r="B49" i="72" s="1"/>
  <c r="D4" i="52"/>
  <c r="B47" i="72" s="1"/>
  <c r="D53" i="9" l="1"/>
  <c r="C85" i="9"/>
  <c r="D52" i="9"/>
  <c r="C93" i="9"/>
  <c r="C86" i="9" s="1"/>
  <c r="C78" i="9"/>
  <c r="C73" i="9" s="1"/>
  <c r="D55" i="9"/>
  <c r="M53" i="9" s="1"/>
  <c r="C64" i="9"/>
  <c r="C63" i="9" s="1"/>
  <c r="C67" i="9" s="1"/>
  <c r="C72" i="9"/>
  <c r="B20" i="72"/>
  <c r="D6" i="53"/>
  <c r="B22" i="72" s="1"/>
  <c r="D122" i="9"/>
  <c r="D13" i="53"/>
  <c r="H108" i="9"/>
  <c r="C79" i="9" l="1"/>
  <c r="C95" i="9"/>
  <c r="B30" i="72"/>
  <c r="D14" i="53"/>
  <c r="B32" i="72" s="1"/>
  <c r="C6" i="74"/>
  <c r="D15" i="53"/>
  <c r="B31" i="72" s="1"/>
  <c r="D8" i="52"/>
  <c r="D123" i="9"/>
  <c r="D9" i="52" s="1"/>
  <c r="D59" i="9"/>
  <c r="M55" i="9" s="1"/>
  <c r="C68" i="9"/>
  <c r="D54" i="9" s="1"/>
  <c r="C96" i="9" l="1"/>
  <c r="E96" i="9" s="1"/>
  <c r="E97"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<sst xmlns="http://schemas.openxmlformats.org/spreadsheetml/2006/main" count="7817" uniqueCount="3418">
  <si>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</si>
  <si>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</si>
  <si>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</si>
  <si>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</si>
  <si>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</si>
  <si>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</si>
  <si>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</si>
  <si>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</si>
  <si>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</si>
  <si>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</si>
  <si>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</si>
  <si>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</si>
  <si>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</si>
  <si>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</si>
  <si>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</si>
  <si>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</si>
  <si>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</si>
  <si>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</si>
  <si>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</si>
  <si>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</si>
  <si>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</si>
  <si>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</si>
  <si>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</si>
  <si>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</si>
  <si>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</si>
  <si>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</si>
  <si>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</si>
  <si>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</si>
  <si>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</si>
  <si>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</si>
  <si>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</si>
  <si>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</si>
  <si>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</si>
  <si>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</si>
  <si>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</si>
  <si>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</si>
  <si>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</si>
  <si>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</si>
  <si>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</si>
  <si>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</si>
  <si>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</si>
  <si>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</si>
  <si>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</si>
  <si>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</si>
  <si>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</si>
  <si>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</si>
  <si>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</si>
  <si>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</si>
  <si>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</si>
  <si>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</si>
  <si>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</si>
  <si>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</si>
  <si>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</si>
  <si>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</si>
  <si>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</si>
  <si>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</si>
  <si>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</si>
  <si>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</si>
  <si>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</si>
  <si>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</si>
  <si>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</si>
  <si>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</si>
  <si>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</si>
  <si>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</si>
  <si>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</si>
  <si>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</si>
  <si>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</si>
  <si>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</si>
  <si>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</si>
  <si>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</si>
  <si>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</si>
  <si>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</si>
  <si>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</si>
  <si>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</si>
  <si>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</si>
  <si>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</si>
  <si>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</si>
  <si>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</si>
  <si>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</si>
  <si>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</si>
  <si>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</si>
  <si>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</si>
  <si>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</si>
  <si>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</si>
  <si>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</si>
  <si>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</si>
  <si>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</si>
  <si>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</si>
  <si>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</si>
  <si>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</si>
  <si>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</si>
  <si>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</si>
  <si>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</si>
  <si>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</si>
  <si>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</si>
  <si>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</si>
  <si>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</si>
  <si>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</si>
  <si>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</si>
  <si>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</si>
  <si>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</si>
  <si>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</si>
  <si>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</si>
  <si>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</si>
  <si>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</si>
  <si>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</si>
  <si>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</si>
  <si>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</si>
  <si>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</si>
  <si>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</si>
  <si>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</si>
  <si>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</si>
  <si>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</si>
  <si>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</si>
  <si>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</si>
  <si>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</si>
  <si>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</si>
  <si>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</si>
  <si>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</si>
  <si>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</si>
  <si>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</si>
  <si>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</si>
  <si>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</si>
  <si>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</si>
  <si>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</si>
  <si>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</si>
  <si>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</si>
  <si>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</si>
  <si>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</si>
  <si>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</si>
  <si>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</si>
  <si>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</si>
  <si>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</si>
  <si>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</si>
  <si>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</si>
  <si>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</si>
  <si>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</si>
  <si>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</si>
  <si>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</si>
  <si>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</si>
  <si>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</si>
  <si>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</si>
  <si>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</si>
  <si>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</si>
  <si>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</si>
  <si>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</si>
  <si>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</si>
  <si>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</si>
  <si>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</si>
  <si>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</si>
  <si>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</si>
  <si>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</si>
  <si>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</si>
  <si>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</si>
  <si>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</si>
  <si>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</si>
  <si>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</si>
  <si>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</si>
  <si>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</si>
  <si>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</si>
  <si>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</si>
  <si>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</si>
  <si>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</si>
  <si>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</si>
  <si>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</si>
  <si>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</si>
  <si>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</si>
  <si>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</si>
  <si>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</si>
  <si>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</si>
  <si>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</si>
  <si>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</si>
  <si>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</si>
  <si>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</si>
  <si>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</si>
  <si>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</si>
  <si>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</si>
  <si>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</si>
  <si>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</si>
  <si>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</si>
  <si>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</si>
  <si>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</si>
  <si>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</si>
  <si>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</si>
  <si>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</si>
  <si>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</si>
  <si>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</si>
  <si>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</si>
  <si>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</si>
  <si>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</si>
  <si>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</si>
  <si>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</si>
  <si>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</si>
  <si>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</si>
  <si>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</si>
  <si>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</si>
  <si>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</si>
  <si>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</si>
  <si>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</si>
  <si>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</si>
  <si>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</si>
  <si>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</si>
  <si>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</si>
  <si>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</si>
  <si>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</si>
  <si>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</si>
  <si>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</si>
  <si>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</si>
  <si>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</si>
  <si>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</si>
  <si>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</si>
  <si>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</si>
  <si>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</si>
  <si>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</si>
  <si>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</si>
  <si>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</si>
  <si>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</si>
  <si>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</si>
  <si>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</si>
  <si>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</si>
  <si>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</si>
  <si>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</si>
  <si>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</si>
  <si>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</si>
  <si>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</si>
  <si>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</si>
  <si>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</si>
  <si>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</si>
  <si>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</si>
  <si>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</si>
  <si>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</si>
  <si>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</si>
  <si>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</si>
  <si>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</si>
  <si>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</si>
  <si>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</si>
  <si>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</si>
  <si>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</si>
  <si>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</si>
  <si>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</si>
  <si>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</si>
  <si>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</si>
  <si>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</si>
  <si>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</si>
  <si>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</si>
  <si>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</si>
  <si>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</si>
  <si>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</si>
  <si>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</si>
  <si>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</si>
  <si>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</si>
  <si>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</si>
  <si>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</si>
  <si>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</si>
  <si>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</si>
  <si>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</si>
  <si>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</si>
  <si>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</si>
  <si>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</si>
  <si>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</si>
  <si>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</si>
  <si>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</si>
  <si>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</si>
  <si>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</si>
  <si>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</si>
  <si>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</si>
  <si>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</si>
  <si>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</si>
  <si>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</si>
  <si>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</si>
  <si>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</si>
  <si>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</si>
  <si>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</si>
  <si>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</si>
  <si>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</si>
  <si>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</si>
  <si>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</si>
  <si>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</si>
  <si>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</si>
  <si>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</si>
  <si>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</si>
  <si>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</si>
  <si>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</si>
  <si>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</si>
  <si>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</si>
  <si>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</si>
  <si>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</si>
  <si>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</si>
  <si>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</si>
  <si>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</si>
  <si>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</si>
  <si>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</si>
  <si>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</si>
  <si>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</si>
  <si>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</si>
  <si>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</si>
  <si>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</si>
  <si>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</si>
  <si>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</si>
  <si>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</si>
  <si>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</si>
  <si>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</si>
  <si>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</si>
  <si>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</si>
  <si>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</si>
  <si>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</si>
  <si>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</si>
  <si>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</si>
  <si>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</si>
  <si>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</si>
  <si>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</si>
  <si>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</si>
  <si>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</si>
  <si>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</si>
  <si>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</si>
  <si>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</si>
  <si>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</si>
  <si>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</si>
  <si>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</si>
  <si>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</si>
  <si>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</si>
  <si>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</si>
  <si>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</si>
  <si>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</si>
  <si>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</si>
  <si>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</si>
  <si>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</si>
  <si>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</si>
  <si>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</si>
  <si>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</si>
  <si>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</si>
  <si>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</si>
  <si>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</si>
  <si>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</si>
  <si>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</si>
  <si>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</si>
  <si>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</si>
  <si>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</si>
  <si>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</si>
  <si>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</si>
  <si>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</si>
  <si>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</si>
  <si>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</si>
  <si>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</si>
  <si>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</si>
  <si>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</si>
  <si>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</si>
  <si>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</si>
  <si>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</si>
  <si>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</si>
  <si>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</si>
  <si>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</si>
  <si>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</si>
  <si>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</si>
  <si>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</si>
  <si>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</si>
  <si>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</si>
  <si>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</si>
  <si>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</si>
  <si>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</si>
  <si>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</si>
  <si>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</si>
  <si>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</si>
  <si>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</si>
  <si>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</si>
  <si>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</si>
  <si>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</si>
  <si>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</si>
  <si>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</si>
  <si>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</si>
  <si>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</si>
  <si>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</si>
  <si>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</si>
  <si>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</si>
  <si>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</si>
  <si>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</si>
  <si>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</si>
  <si>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</si>
  <si>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</si>
  <si>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</si>
  <si>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</si>
  <si>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</si>
  <si>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</si>
  <si>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</si>
  <si>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</si>
  <si>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</si>
  <si>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</si>
  <si>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</si>
  <si>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</si>
  <si>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</si>
  <si>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</si>
  <si>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</si>
  <si>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</si>
  <si>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</si>
  <si>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</si>
  <si>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</si>
  <si>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</si>
  <si>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</si>
  <si>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</si>
  <si>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</si>
  <si>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</si>
  <si>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</si>
  <si>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</si>
  <si>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</si>
  <si>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</si>
  <si>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</si>
  <si>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</si>
  <si>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</si>
  <si>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</si>
  <si>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</si>
  <si>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</si>
  <si>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</si>
  <si>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</si>
  <si>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</si>
  <si>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</si>
  <si>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</si>
  <si>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</si>
  <si>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</si>
  <si>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</si>
  <si>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</si>
  <si>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</si>
  <si>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</si>
  <si>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</si>
  <si>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</si>
  <si>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</si>
  <si>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</si>
  <si>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</si>
  <si>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</si>
  <si>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</si>
  <si>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</si>
  <si>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</si>
  <si>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</si>
  <si>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</si>
  <si>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</si>
  <si>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</si>
  <si>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</si>
  <si>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</si>
  <si>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</si>
  <si>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</si>
  <si>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</si>
  <si>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</si>
  <si>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</si>
  <si>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</si>
  <si>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</si>
  <si>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</si>
  <si>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</si>
  <si>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</si>
  <si>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</si>
  <si>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</si>
  <si>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</si>
  <si>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</si>
  <si>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</si>
  <si>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</si>
  <si>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</si>
  <si>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</si>
  <si>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</si>
  <si>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</si>
  <si>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</si>
  <si>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</si>
  <si>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</si>
  <si>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</si>
  <si>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</si>
  <si>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</si>
  <si>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</si>
  <si>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</si>
  <si>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</si>
  <si>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</si>
  <si>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</si>
  <si>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</si>
  <si>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</si>
  <si>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</si>
  <si>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</si>
  <si>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</si>
  <si>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</si>
  <si>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</si>
  <si>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</si>
  <si>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</si>
  <si>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</si>
  <si>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</si>
  <si>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</si>
  <si>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</si>
  <si>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</si>
  <si>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</si>
  <si>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</si>
  <si>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</si>
  <si>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</si>
  <si>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</si>
  <si>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</si>
  <si>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</si>
  <si>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</si>
  <si>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</si>
  <si>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</si>
  <si>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</si>
  <si>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</si>
  <si>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</si>
  <si>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</si>
  <si>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</si>
  <si>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</si>
  <si>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</si>
  <si>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</si>
  <si>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</si>
  <si>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</si>
  <si>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</si>
  <si>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</si>
  <si>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</si>
  <si>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</si>
  <si>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</si>
  <si>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</si>
  <si>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</si>
  <si>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</si>
  <si>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</si>
  <si>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</si>
  <si>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</si>
  <si>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</si>
  <si>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</si>
  <si>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</si>
  <si>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</si>
  <si>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</si>
  <si>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</si>
  <si>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</si>
  <si>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</si>
  <si>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</si>
  <si>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</si>
  <si>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</si>
  <si>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</si>
  <si>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</si>
  <si>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</si>
  <si>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</si>
  <si>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</si>
  <si>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</si>
  <si>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</si>
  <si>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</si>
  <si>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</si>
  <si>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</si>
  <si>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</si>
  <si>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</si>
  <si>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</si>
  <si>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</si>
  <si>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</si>
  <si>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</si>
  <si>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</si>
  <si>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</si>
  <si>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</si>
  <si>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</si>
  <si>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</si>
  <si>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</si>
  <si>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</si>
  <si>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</si>
  <si>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</si>
  <si>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</si>
  <si>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</si>
  <si>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</si>
  <si>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</si>
  <si>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</si>
  <si>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</si>
  <si>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</si>
  <si>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</si>
  <si>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</si>
  <si>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</si>
  <si>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</si>
  <si>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</si>
  <si>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</si>
  <si>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</si>
  <si>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</si>
  <si>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</si>
  <si>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</si>
  <si>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</si>
  <si>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</si>
  <si>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</si>
  <si>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</si>
  <si>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</si>
  <si>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</si>
  <si>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</si>
  <si>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</si>
  <si>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</si>
  <si>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</si>
  <si>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</si>
  <si>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</si>
  <si>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</si>
  <si>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</si>
  <si>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</si>
  <si>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</si>
  <si>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</si>
  <si>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</si>
  <si>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</si>
  <si>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</si>
  <si>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</si>
  <si>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</si>
  <si>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</si>
  <si>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</si>
  <si>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</si>
  <si>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</si>
  <si>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</si>
  <si>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</si>
  <si>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</si>
  <si>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</si>
  <si>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</si>
  <si>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</si>
  <si>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</si>
  <si>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</si>
  <si>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</si>
  <si>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</si>
  <si>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</si>
  <si>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</si>
  <si>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</si>
  <si>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</si>
  <si>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</si>
  <si>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</si>
  <si>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</si>
  <si>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</si>
  <si>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</si>
  <si>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</si>
  <si>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</si>
  <si>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</si>
  <si>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</si>
  <si>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</si>
  <si>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</si>
  <si>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</si>
  <si>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</si>
  <si>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</si>
  <si>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</si>
  <si>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</si>
  <si>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</si>
  <si>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</si>
  <si>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</si>
  <si>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</si>
  <si>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</si>
  <si>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</si>
  <si>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</si>
  <si>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</si>
  <si>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</si>
  <si>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</si>
  <si>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</si>
  <si>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</si>
  <si>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</si>
  <si>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</si>
  <si>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</si>
  <si>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</si>
  <si>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</si>
  <si>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</si>
  <si>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</si>
  <si>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</si>
  <si>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</si>
  <si>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</si>
  <si>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</si>
  <si>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</si>
  <si>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</si>
  <si>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</si>
  <si>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</si>
  <si>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</si>
  <si>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</si>
  <si>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</si>
  <si>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</si>
  <si>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</si>
  <si>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</si>
  <si>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</si>
  <si>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</si>
  <si>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</si>
  <si>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</si>
  <si>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</si>
  <si>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</si>
  <si>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</si>
  <si>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</si>
  <si>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</si>
  <si>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</si>
  <si>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</si>
  <si>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</si>
  <si>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</si>
  <si>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</si>
  <si>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</si>
  <si>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</si>
  <si>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</si>
  <si>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</si>
  <si>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</si>
  <si>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</si>
  <si>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</si>
  <si>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</si>
  <si>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</si>
  <si>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</si>
  <si>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</si>
  <si>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</si>
  <si>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</si>
  <si>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</si>
  <si>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</si>
  <si>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</si>
  <si>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</si>
  <si>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</si>
  <si>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</si>
  <si>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</si>
  <si>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</si>
  <si>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</si>
  <si>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</si>
  <si>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</si>
  <si>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</si>
  <si>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</si>
  <si>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</si>
  <si>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</si>
  <si>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</si>
  <si>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</si>
  <si>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</si>
  <si>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</si>
  <si>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</si>
  <si>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</si>
  <si>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</si>
  <si>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</si>
  <si>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</si>
  <si>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</si>
  <si>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</si>
  <si>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</si>
  <si>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</si>
  <si>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</si>
  <si>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</si>
  <si>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</si>
  <si>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</si>
  <si>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</si>
  <si>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</si>
  <si>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</si>
  <si>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</si>
  <si>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</si>
  <si>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</si>
  <si>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</si>
  <si>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</si>
  <si>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</si>
  <si>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</si>
  <si>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</si>
  <si>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</si>
  <si>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</si>
  <si>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</si>
  <si>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</si>
  <si>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</si>
  <si>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</si>
  <si>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</si>
  <si>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</si>
  <si>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</si>
  <si>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</si>
  <si>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</si>
  <si>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</si>
  <si>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</si>
  <si>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</si>
  <si>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</si>
  <si>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</si>
  <si>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</si>
  <si>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</si>
  <si>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</si>
  <si>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</si>
  <si>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</si>
  <si>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</si>
  <si>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</si>
  <si>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</si>
  <si>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</si>
  <si>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</si>
  <si>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</si>
  <si>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</si>
  <si>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</si>
  <si>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</si>
  <si>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</si>
  <si>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</si>
  <si>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</si>
  <si>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</si>
  <si>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</si>
  <si>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</si>
  <si>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</si>
  <si>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</si>
  <si>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</si>
  <si>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</si>
  <si>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</si>
  <si>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</si>
  <si>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</si>
  <si>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</si>
  <si>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</si>
  <si>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</si>
  <si>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</si>
  <si>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</si>
  <si>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</si>
  <si>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</si>
  <si>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</si>
  <si>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</si>
  <si>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</si>
  <si>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</si>
  <si>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</si>
  <si>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</si>
  <si>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</si>
  <si>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</si>
  <si>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</si>
  <si>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</si>
  <si>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</si>
  <si>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</si>
  <si>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</si>
  <si>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</si>
  <si>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</si>
  <si>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</si>
  <si>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</si>
  <si>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</si>
  <si>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</si>
  <si>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</si>
  <si>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</si>
  <si>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</si>
  <si>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</si>
  <si>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</si>
  <si>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</si>
  <si>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</si>
  <si>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</si>
  <si>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</si>
  <si>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</si>
  <si>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</si>
  <si>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</si>
  <si>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</si>
  <si>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</si>
  <si>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</si>
  <si>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</si>
  <si>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</si>
  <si>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</si>
  <si>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</si>
  <si>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</si>
  <si>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</si>
  <si>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</si>
  <si>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</si>
  <si>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</si>
  <si>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</si>
  <si>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</si>
  <si>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</si>
  <si>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</si>
  <si>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</si>
  <si>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</si>
  <si>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</si>
  <si>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</si>
  <si>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</si>
  <si>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</si>
  <si>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</si>
  <si>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</si>
  <si>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</si>
  <si>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</si>
  <si>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</si>
  <si>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</si>
  <si>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</si>
  <si>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</si>
  <si>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</si>
  <si>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</si>
  <si>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</si>
  <si>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</si>
  <si>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</si>
  <si>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</si>
  <si>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</si>
  <si>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</si>
  <si>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</si>
  <si>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</si>
  <si>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</si>
  <si>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</si>
  <si>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</si>
  <si>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</si>
  <si>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</si>
  <si>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</si>
  <si>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</si>
  <si>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</si>
  <si>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</si>
  <si>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</si>
  <si>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</si>
  <si>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</si>
  <si>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</si>
  <si>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</si>
  <si>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</si>
  <si>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</si>
  <si>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</si>
  <si>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</si>
  <si>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</si>
  <si>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</si>
  <si>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</si>
  <si>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</si>
  <si>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</si>
  <si>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</si>
  <si>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</si>
  <si>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</si>
  <si>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</si>
  <si>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</si>
  <si>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</si>
  <si>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</si>
  <si>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</si>
  <si>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</si>
  <si>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</si>
  <si>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</si>
  <si>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</si>
  <si>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</si>
  <si>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</si>
  <si>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</si>
  <si>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</si>
  <si>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</si>
  <si>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</si>
  <si>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</si>
  <si>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</si>
  <si>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</si>
  <si>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</si>
  <si>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</si>
  <si>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</si>
  <si>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</si>
  <si>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</si>
  <si>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</si>
  <si>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</si>
  <si>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</si>
  <si>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</si>
  <si>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</si>
  <si>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</si>
  <si>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</si>
  <si>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</si>
  <si>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</si>
  <si>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</si>
  <si>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</si>
  <si>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</si>
  <si>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</si>
  <si>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</si>
  <si>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</si>
  <si>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</si>
  <si>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</si>
  <si>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</si>
  <si>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</si>
  <si>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</si>
  <si>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</si>
  <si>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</si>
  <si>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</si>
  <si>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</si>
  <si>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</si>
  <si>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</si>
  <si>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</si>
  <si>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</si>
  <si>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</si>
  <si>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</si>
  <si>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</si>
  <si>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</si>
  <si>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</si>
  <si>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</si>
  <si>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</si>
  <si>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</si>
  <si>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</si>
  <si>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</si>
  <si>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</si>
  <si>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</si>
  <si>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</si>
  <si>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</si>
  <si>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</si>
  <si>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</si>
  <si>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</si>
  <si>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</si>
  <si>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</si>
  <si>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</si>
  <si>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</si>
  <si>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</si>
  <si>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</si>
  <si>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</si>
  <si>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</si>
  <si>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</si>
  <si>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</si>
  <si>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</si>
  <si>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</si>
  <si>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</si>
  <si>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</si>
  <si>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</si>
  <si>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</si>
  <si>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</si>
  <si>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</si>
  <si>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</si>
  <si>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</si>
  <si>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</si>
  <si>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</si>
  <si>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</si>
  <si>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</si>
  <si>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</si>
  <si>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</si>
  <si>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</si>
  <si>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</si>
  <si>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</si>
  <si>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</si>
  <si>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</si>
  <si>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</si>
  <si>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</si>
  <si>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</si>
  <si>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</si>
  <si>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</si>
  <si>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</si>
  <si>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</si>
  <si>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</si>
  <si>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</si>
  <si>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</si>
  <si>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</si>
  <si>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</si>
  <si>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</si>
  <si>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</si>
  <si>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</si>
  <si>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</si>
  <si>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</si>
  <si>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</si>
  <si>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</si>
  <si>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</si>
  <si>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</si>
  <si>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</si>
  <si>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</si>
  <si>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</si>
  <si>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</si>
  <si>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</si>
  <si>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</si>
  <si>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</si>
  <si>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</si>
  <si>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</si>
  <si>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</si>
  <si>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</si>
  <si>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</si>
  <si>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</si>
  <si>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</si>
  <si>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</si>
  <si>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</si>
  <si>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</si>
  <si>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</si>
  <si>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</si>
  <si>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</si>
  <si>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</si>
  <si>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</si>
  <si>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</si>
  <si>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</si>
  <si>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</si>
  <si>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</si>
  <si>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</si>
  <si>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</si>
  <si>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</si>
  <si>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</si>
  <si>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</si>
  <si>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</si>
  <si>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</si>
  <si>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</si>
  <si>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</si>
  <si>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</si>
  <si>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</si>
  <si>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</si>
  <si>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</si>
  <si>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</si>
  <si>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</si>
  <si>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</si>
  <si>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</si>
  <si>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</si>
  <si>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</si>
  <si>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</si>
  <si>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</si>
  <si>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</si>
  <si>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</si>
  <si>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</si>
  <si>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</si>
  <si>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</si>
  <si>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</si>
  <si>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</si>
  <si>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</si>
  <si>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</si>
  <si>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</si>
  <si>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</si>
  <si>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</si>
  <si>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</si>
  <si>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</si>
  <si>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</si>
  <si>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</si>
  <si>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</si>
  <si>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</si>
  <si>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</si>
  <si>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</si>
  <si>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</si>
  <si>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</si>
  <si>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</si>
  <si>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</si>
  <si>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</si>
  <si>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</si>
  <si>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</si>
  <si>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</si>
  <si>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</si>
  <si>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</si>
  <si>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</si>
  <si>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</si>
  <si>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</si>
  <si>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</si>
  <si>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</si>
  <si>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</si>
  <si>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</si>
  <si>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</si>
  <si>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</si>
  <si>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</si>
  <si>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</si>
  <si>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</si>
  <si>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</si>
  <si>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</si>
  <si>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</si>
  <si>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</si>
  <si>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</si>
  <si>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</si>
  <si>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</si>
  <si>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</si>
  <si>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</si>
  <si>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</si>
  <si>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</si>
  <si>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</si>
  <si>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</si>
  <si>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</si>
  <si>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</si>
  <si>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</si>
  <si>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</si>
  <si>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</si>
  <si>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</si>
  <si>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</si>
  <si>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</si>
  <si>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</si>
  <si>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</si>
  <si>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</si>
  <si>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</si>
  <si>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</si>
  <si>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</si>
  <si>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</si>
  <si>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</si>
  <si>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</si>
  <si>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</si>
  <si>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</si>
  <si>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</si>
  <si>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</si>
  <si>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</si>
  <si>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</si>
  <si>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</si>
  <si>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</si>
  <si>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</si>
  <si>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</si>
  <si>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</si>
  <si>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</si>
  <si>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</si>
  <si>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</si>
  <si>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</si>
  <si>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</si>
  <si>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</si>
  <si>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</si>
  <si>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</si>
  <si>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</si>
  <si>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</si>
  <si>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</si>
  <si>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</si>
  <si>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</si>
  <si>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</si>
  <si>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</si>
  <si>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</si>
  <si>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</si>
  <si>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</si>
  <si>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</si>
  <si>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</si>
  <si>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</si>
  <si>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</si>
  <si>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</si>
  <si>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</si>
  <si>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</si>
  <si>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</si>
  <si>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</si>
  <si>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</si>
  <si>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</si>
  <si>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</si>
  <si>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</si>
  <si>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</si>
  <si>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</si>
  <si>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</si>
  <si>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</si>
  <si>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</si>
  <si>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</si>
  <si>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</si>
  <si>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</si>
  <si>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</si>
  <si>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</si>
  <si>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</si>
  <si>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</si>
  <si>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</si>
  <si>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</si>
  <si>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</si>
  <si>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</si>
  <si>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</si>
  <si>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</si>
  <si>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</si>
  <si>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</si>
  <si>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</si>
  <si>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</si>
  <si>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</si>
  <si>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</si>
  <si>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</si>
  <si>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</si>
  <si>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</si>
  <si>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</si>
  <si>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</si>
  <si>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</si>
  <si>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</si>
  <si>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</si>
  <si>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</si>
  <si>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</si>
  <si>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</si>
  <si>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</si>
  <si>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</si>
  <si>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</si>
  <si>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</si>
  <si>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</si>
  <si>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</si>
  <si>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</si>
  <si>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</si>
  <si>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</si>
  <si>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</si>
  <si>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</si>
  <si>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</si>
  <si>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</si>
  <si>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</si>
  <si>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</si>
  <si>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</si>
  <si>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</si>
  <si>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</si>
  <si>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</si>
  <si>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</si>
  <si>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</si>
  <si>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</si>
  <si>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</si>
  <si>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</si>
  <si>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</si>
  <si>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</si>
  <si>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</si>
  <si>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</si>
  <si>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</si>
  <si>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</si>
  <si>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</si>
  <si>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</si>
  <si>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</si>
  <si>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</si>
  <si>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</si>
  <si>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</si>
  <si>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</si>
  <si>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</si>
  <si>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</si>
  <si>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</si>
  <si>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</si>
  <si>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</si>
  <si>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</si>
  <si>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</si>
  <si>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</si>
  <si>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</si>
  <si>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</si>
  <si>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</si>
  <si>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</si>
  <si>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</si>
  <si>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</si>
  <si>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</si>
  <si>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</si>
  <si>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</si>
  <si>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</si>
  <si>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</si>
  <si>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</si>
  <si>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</si>
  <si>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</si>
  <si>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</si>
  <si>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</si>
  <si>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</si>
  <si>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</si>
  <si>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</si>
  <si>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</si>
  <si>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</si>
  <si>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</si>
  <si>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</si>
  <si>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</si>
  <si>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</si>
  <si>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</si>
  <si>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</si>
  <si>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</si>
  <si>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</si>
  <si>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</si>
  <si>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</si>
  <si>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</si>
  <si>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</si>
  <si>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</si>
  <si>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</si>
  <si>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</si>
  <si>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</si>
  <si>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</si>
  <si>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</si>
  <si>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</si>
  <si>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</si>
  <si>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</si>
  <si>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</si>
  <si>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</si>
  <si>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</si>
  <si>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</si>
  <si>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</si>
  <si>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</si>
  <si>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</si>
  <si>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</si>
  <si>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</si>
  <si>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</si>
  <si>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</si>
  <si>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</si>
  <si>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</si>
  <si>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</si>
  <si>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</si>
  <si>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</si>
  <si>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</si>
  <si>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</si>
  <si>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</si>
  <si>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</si>
  <si>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</si>
  <si>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</si>
  <si>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</si>
  <si>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</si>
  <si>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</si>
  <si>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</si>
  <si>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</si>
  <si>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</si>
  <si>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</si>
  <si>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</si>
  <si>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</si>
  <si>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</si>
  <si>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</si>
  <si>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</si>
  <si>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</si>
  <si>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</si>
  <si>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</si>
  <si>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</si>
  <si>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</si>
  <si>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</si>
  <si>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</si>
  <si>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</si>
  <si>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</si>
  <si>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</si>
  <si>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</si>
  <si>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</si>
  <si>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</si>
  <si>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</si>
  <si>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</si>
  <si>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</si>
  <si>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</si>
  <si>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</si>
  <si>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</si>
  <si>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</si>
  <si>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</si>
  <si>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</si>
  <si>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</si>
  <si>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</si>
  <si>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</si>
  <si>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</si>
  <si>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</si>
  <si>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</si>
  <si>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</si>
  <si>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</si>
  <si>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</si>
  <si>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</si>
  <si>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</si>
  <si>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</si>
  <si>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</si>
  <si>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</si>
  <si>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</si>
  <si>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</si>
  <si>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</si>
  <si>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</si>
  <si>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</si>
  <si>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</si>
  <si>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</si>
  <si>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</si>
  <si>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</si>
  <si>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</si>
  <si>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</si>
  <si>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</si>
  <si>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</si>
  <si>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</si>
  <si>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</si>
  <si>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</si>
  <si>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</si>
  <si>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</si>
  <si>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</si>
  <si>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</si>
  <si>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</si>
  <si>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</si>
  <si>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</si>
  <si>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</si>
  <si>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</si>
  <si>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</si>
  <si>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</si>
  <si>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</si>
  <si>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</si>
  <si>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</si>
  <si>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</si>
  <si>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</si>
  <si>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</si>
  <si>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</si>
  <si>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</si>
  <si>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</si>
  <si>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</si>
  <si>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</si>
  <si>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</si>
  <si>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</si>
  <si>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</si>
  <si>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</si>
  <si>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</si>
  <si>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</si>
  <si>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</si>
  <si>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</si>
  <si>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</si>
  <si>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</si>
  <si>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</si>
  <si>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</si>
  <si>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</si>
  <si>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</si>
  <si>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</si>
  <si>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</si>
  <si>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</si>
  <si>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</si>
  <si>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</si>
  <si>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</si>
  <si>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</si>
  <si>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</si>
  <si>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</si>
  <si>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</si>
  <si>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</si>
  <si>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</si>
  <si>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</si>
  <si>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</si>
  <si>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</si>
  <si>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</si>
  <si>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</si>
  <si>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</si>
  <si>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</si>
  <si>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</si>
  <si>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</si>
  <si>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</si>
  <si>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</si>
  <si>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</si>
  <si>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</si>
  <si>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</si>
  <si>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</si>
  <si>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</si>
  <si>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</si>
  <si>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</si>
  <si>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</si>
  <si>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</si>
  <si>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</si>
  <si>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</si>
  <si>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</si>
  <si>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</si>
  <si>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</si>
  <si>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</si>
  <si>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</si>
  <si>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</si>
  <si>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</si>
  <si>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</si>
  <si>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</si>
  <si>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</si>
  <si>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</si>
  <si>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</si>
  <si>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</si>
  <si>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</si>
  <si>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</si>
  <si>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</si>
  <si>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</si>
  <si>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</si>
  <si>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</si>
  <si>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</si>
  <si>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</si>
  <si>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</si>
  <si>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</si>
  <si>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</si>
  <si>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</si>
  <si>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</si>
  <si>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</si>
  <si>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</si>
  <si>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</si>
  <si>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</si>
  <si>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</si>
  <si>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</si>
  <si>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</si>
  <si>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</si>
  <si>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</si>
  <si>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</si>
  <si>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</si>
  <si>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</si>
  <si>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</si>
  <si>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</si>
  <si>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</si>
  <si>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</si>
  <si>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</si>
  <si>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</si>
  <si>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</si>
  <si>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</si>
  <si>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</si>
  <si>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</si>
  <si>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</si>
  <si>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</si>
  <si>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</si>
  <si>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</si>
  <si>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</si>
  <si>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</si>
  <si>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</si>
  <si>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</si>
  <si>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</si>
  <si>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</si>
  <si>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</si>
  <si>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</si>
  <si>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</si>
  <si>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</si>
  <si>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</si>
  <si>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</si>
  <si>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</si>
  <si>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</si>
  <si>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</si>
  <si>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</si>
  <si>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</si>
  <si>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</si>
  <si>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</si>
  <si>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</si>
  <si>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</si>
  <si>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</si>
  <si>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</si>
  <si>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</si>
  <si>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</si>
  <si>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</si>
  <si>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</si>
  <si>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</si>
  <si>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</si>
  <si>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</si>
  <si>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</si>
  <si>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</si>
  <si>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</si>
  <si>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</si>
  <si>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</si>
  <si>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</si>
  <si>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</si>
  <si>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</si>
  <si>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</si>
  <si>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</si>
  <si>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</si>
  <si>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</si>
  <si>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</si>
  <si>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</si>
  <si>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</si>
  <si>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</si>
  <si>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</si>
  <si>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</si>
  <si>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</si>
  <si>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</si>
  <si>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</si>
  <si>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</si>
  <si>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</si>
  <si>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</si>
  <si>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</si>
  <si>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</si>
  <si>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</si>
  <si>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</si>
  <si>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</si>
  <si>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</si>
  <si>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</si>
  <si>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</si>
  <si>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</si>
  <si>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</si>
  <si>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</si>
  <si>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</si>
  <si>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</si>
  <si>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</si>
  <si>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</si>
  <si>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</si>
  <si>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</si>
  <si>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</si>
  <si>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</si>
  <si>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</si>
  <si>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</si>
  <si>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</si>
  <si>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</si>
  <si>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</si>
  <si>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</si>
  <si>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</si>
  <si>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</si>
  <si>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</si>
  <si>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</si>
  <si>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</si>
  <si>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</si>
  <si>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</si>
  <si>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</si>
  <si>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</si>
  <si>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</si>
  <si>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</si>
  <si>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</si>
  <si>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</si>
  <si>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</si>
  <si>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</si>
  <si>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</si>
  <si>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</si>
  <si>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</si>
  <si>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</si>
  <si>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</si>
  <si>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</si>
  <si>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</si>
  <si>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</si>
  <si>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</si>
  <si>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</si>
  <si>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</si>
  <si>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</si>
  <si>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</si>
  <si>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</si>
  <si>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</si>
  <si>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</si>
  <si>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</si>
  <si>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</si>
  <si>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</si>
  <si>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</si>
  <si>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</si>
  <si>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</si>
  <si>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</si>
  <si>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</si>
  <si>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</si>
  <si>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</si>
  <si>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</si>
  <si>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</si>
  <si>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</si>
  <si>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</si>
  <si>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</si>
  <si>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</si>
  <si>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</si>
  <si>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</si>
  <si>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</si>
  <si>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</si>
  <si>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</si>
  <si>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</si>
  <si>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</si>
  <si>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</si>
  <si>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</si>
  <si>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</si>
  <si>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</si>
  <si>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</si>
  <si>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</si>
  <si>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</si>
  <si>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</si>
  <si>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</si>
  <si>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</si>
  <si>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</si>
  <si>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</si>
  <si>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</si>
  <si>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</si>
  <si>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</si>
  <si>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</si>
  <si>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</si>
  <si>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</si>
  <si>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</si>
  <si>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</si>
  <si>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</si>
  <si>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</si>
  <si>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</si>
  <si>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</si>
  <si>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</si>
  <si>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</si>
  <si>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</si>
  <si>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</si>
  <si>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</si>
  <si>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</si>
  <si>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</si>
  <si>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</si>
  <si>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</si>
  <si>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</si>
  <si>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</si>
  <si>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</si>
  <si>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</si>
  <si>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</si>
  <si>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</si>
  <si>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</si>
  <si>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</si>
  <si>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</si>
  <si>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</si>
  <si>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</si>
  <si>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</si>
  <si>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</si>
  <si>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</si>
  <si>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</si>
  <si>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</si>
  <si>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</si>
  <si>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</si>
  <si>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</si>
  <si>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</si>
  <si>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</si>
  <si>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</si>
  <si>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</si>
  <si>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</si>
  <si>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</si>
  <si>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</si>
  <si>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</si>
  <si>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</si>
  <si>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</si>
  <si>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</si>
  <si>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</si>
  <si>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</si>
  <si>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</si>
  <si>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</si>
  <si>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</si>
  <si>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</si>
  <si>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</si>
  <si>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</si>
  <si>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</si>
  <si>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</si>
  <si>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</si>
  <si>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</si>
  <si>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</si>
  <si>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</si>
  <si>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</si>
  <si>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</si>
  <si>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</si>
  <si>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</si>
  <si>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</si>
  <si>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</si>
  <si>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</si>
  <si>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</si>
  <si>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</si>
  <si>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</si>
  <si>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</si>
  <si>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</si>
  <si>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</si>
  <si>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</si>
  <si>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</si>
  <si>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</si>
  <si>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</si>
  <si>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</si>
  <si>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</si>
  <si>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</si>
  <si>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</si>
  <si>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</si>
  <si>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</si>
  <si>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</si>
  <si>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</si>
  <si>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</si>
  <si>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</si>
  <si>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</si>
  <si>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</si>
  <si>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</si>
  <si>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</si>
  <si>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</si>
  <si>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</si>
  <si>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</si>
  <si>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</si>
  <si>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</si>
  <si>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</si>
  <si>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</si>
  <si>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</si>
  <si>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</si>
  <si>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</si>
  <si>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</si>
  <si>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</si>
  <si>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</si>
  <si>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</si>
  <si>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</si>
  <si>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</si>
  <si>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</si>
  <si>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</si>
  <si>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</si>
  <si>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</si>
  <si>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</si>
  <si>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</si>
  <si>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</si>
  <si>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</si>
  <si>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</si>
  <si>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</si>
  <si>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</si>
  <si>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</si>
  <si>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</si>
  <si>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</si>
  <si>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</si>
  <si>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</si>
  <si>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</si>
  <si>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</si>
  <si>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</si>
  <si>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</si>
  <si>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</si>
  <si>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</si>
  <si>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</si>
  <si>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</si>
  <si>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</si>
  <si>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</si>
  <si>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</si>
  <si>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</si>
  <si>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</si>
  <si>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</si>
  <si>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</si>
  <si>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</si>
  <si>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</si>
  <si>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</si>
  <si>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</si>
  <si>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</si>
  <si>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</si>
  <si>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</si>
  <si>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</si>
  <si>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</si>
  <si>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</si>
  <si>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</si>
  <si>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</si>
  <si>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</si>
  <si>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</si>
  <si>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</si>
  <si>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</si>
  <si>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</si>
  <si>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</si>
  <si>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</si>
  <si>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</si>
  <si>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</si>
  <si>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</si>
  <si>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</si>
  <si>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</si>
  <si>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</si>
  <si>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</si>
  <si>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</si>
  <si>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</si>
  <si>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</si>
  <si>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</si>
  <si>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</si>
  <si>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</si>
  <si>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</si>
  <si>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</si>
  <si>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</si>
  <si>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</si>
  <si>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</si>
  <si>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</si>
  <si>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</si>
  <si>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</si>
  <si>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</si>
  <si>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</si>
  <si>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</si>
  <si>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</si>
  <si>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</si>
  <si>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</si>
  <si>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</si>
  <si>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</si>
  <si>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</si>
  <si>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</si>
  <si>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</si>
  <si>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</si>
  <si>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</si>
  <si>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</si>
  <si>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</si>
  <si>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</si>
  <si>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</si>
  <si>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</si>
  <si>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</si>
  <si>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</si>
  <si>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</si>
  <si>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</si>
  <si>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</si>
  <si>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</si>
  <si>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</si>
  <si>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</si>
  <si>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</si>
  <si>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</si>
  <si>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</si>
  <si>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</si>
  <si>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</si>
  <si>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</si>
  <si>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</si>
  <si>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</si>
  <si>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</si>
  <si>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</si>
  <si>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</si>
  <si>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</si>
  <si>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</si>
  <si>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</si>
  <si>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</si>
  <si>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</si>
  <si>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</si>
  <si>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</si>
  <si>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</si>
  <si>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</si>
  <si>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</si>
  <si>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</si>
  <si>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</si>
  <si>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</si>
  <si>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</si>
  <si>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</si>
  <si>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</si>
  <si>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</si>
  <si>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</si>
  <si>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</si>
  <si>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</si>
  <si>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</si>
  <si>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</si>
  <si>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</si>
  <si>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</si>
  <si>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</si>
  <si>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</si>
  <si>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</si>
  <si>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</si>
  <si>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</si>
  <si>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</si>
  <si>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</si>
  <si>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</si>
  <si>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</si>
  <si>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</si>
  <si>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</si>
  <si>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</si>
  <si>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</si>
  <si>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</si>
  <si>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</si>
  <si>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</si>
  <si>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</si>
  <si>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</si>
  <si>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</si>
  <si>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</si>
  <si>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</si>
  <si>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</si>
  <si>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</si>
  <si>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</si>
  <si>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</si>
  <si>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</si>
  <si>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</si>
  <si>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</si>
  <si>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</si>
  <si>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</si>
  <si>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</si>
  <si>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</si>
  <si>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</si>
  <si>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</si>
  <si>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</si>
  <si>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</si>
  <si>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</si>
  <si>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</si>
  <si>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</si>
  <si>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</si>
  <si>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</si>
  <si>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</si>
  <si>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</si>
  <si>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</si>
  <si>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</si>
  <si>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</si>
  <si>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</si>
  <si>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</si>
  <si>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</si>
  <si>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</si>
  <si>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</si>
  <si>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</si>
  <si>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</si>
  <si>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</si>
  <si>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</si>
  <si>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</si>
  <si>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</si>
  <si>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</si>
  <si>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</si>
  <si>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</si>
  <si>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</si>
  <si>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</si>
  <si>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</si>
  <si>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</si>
  <si>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</si>
  <si>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</si>
  <si>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</si>
  <si>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</si>
  <si>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</si>
  <si>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</si>
  <si>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</si>
  <si>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</si>
  <si>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</si>
  <si>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</si>
  <si>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</si>
  <si>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</si>
  <si>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</si>
  <si>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</si>
  <si>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</si>
  <si>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</si>
  <si>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</si>
  <si>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</si>
  <si>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</si>
  <si>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</si>
  <si>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</si>
  <si>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</si>
  <si>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</si>
  <si>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</si>
  <si>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</si>
  <si>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</si>
  <si>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</si>
  <si>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</si>
  <si>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</si>
  <si>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</si>
  <si>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</si>
  <si>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</si>
  <si>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</si>
  <si>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</si>
  <si>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</si>
  <si>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</si>
  <si>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</si>
  <si>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</si>
  <si>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</si>
  <si>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</si>
  <si>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</si>
  <si>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</si>
  <si>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</si>
  <si>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</si>
  <si>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</si>
  <si>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</si>
  <si>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</si>
  <si>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</si>
  <si>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</si>
  <si>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</si>
  <si>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</si>
  <si>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</si>
  <si>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</si>
  <si>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</si>
  <si>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</si>
  <si>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</si>
  <si>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</si>
  <si>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</si>
  <si>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</si>
  <si>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</si>
  <si>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</si>
  <si>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</si>
  <si>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</si>
  <si>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</si>
  <si>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</si>
  <si>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</si>
  <si>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</si>
  <si>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</si>
  <si>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</si>
  <si>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</si>
  <si>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</si>
  <si>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</si>
  <si>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</si>
  <si>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</si>
  <si>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</si>
  <si>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</si>
  <si>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</si>
  <si>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</si>
  <si>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</si>
  <si>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</si>
  <si>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</si>
  <si>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</si>
  <si>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</si>
  <si>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</si>
  <si>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</si>
  <si>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</si>
  <si>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</si>
  <si>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</si>
  <si>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</si>
  <si>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</si>
  <si>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</si>
  <si>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</si>
  <si>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</si>
  <si>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</si>
  <si>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</si>
  <si>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</si>
  <si>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</si>
  <si>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</si>
  <si>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</si>
  <si>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</si>
  <si>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</si>
  <si>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</si>
  <si>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</si>
  <si>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</si>
  <si>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</si>
  <si>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</si>
  <si>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</si>
  <si>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</si>
  <si>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</si>
  <si>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</si>
  <si>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</si>
  <si>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</si>
  <si>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</si>
  <si>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</si>
  <si>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</si>
  <si>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</si>
  <si>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</si>
  <si>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</si>
  <si>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</si>
  <si>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</si>
  <si>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</si>
  <si>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</si>
  <si>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</si>
  <si>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</si>
  <si>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</si>
  <si>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</si>
  <si>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</si>
  <si>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</si>
  <si>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</si>
  <si>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</si>
  <si>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</si>
  <si>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</si>
  <si>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</si>
  <si>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</si>
  <si>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</si>
  <si>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</si>
  <si>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</si>
  <si>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</si>
  <si>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</si>
  <si>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</si>
  <si>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</si>
  <si>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</si>
  <si>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</si>
  <si>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</si>
  <si>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</si>
  <si>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</si>
  <si>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</si>
  <si>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</si>
  <si>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</si>
  <si>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</si>
  <si>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</si>
  <si>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</si>
  <si>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</si>
  <si>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</si>
  <si>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</si>
  <si>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</si>
  <si>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</si>
  <si>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</si>
  <si>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</si>
  <si>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</si>
  <si>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</si>
  <si>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</si>
  <si>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</si>
  <si>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</si>
  <si>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</si>
  <si>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</si>
  <si>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</si>
  <si>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</si>
  <si>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</si>
  <si>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</si>
  <si>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</si>
  <si>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</si>
  <si>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</si>
  <si>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</si>
  <si>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</si>
  <si>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</si>
  <si>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</si>
  <si>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</si>
  <si>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</si>
  <si>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</si>
  <si>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</si>
  <si>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</si>
  <si>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</si>
  <si>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</si>
  <si>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</si>
  <si>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</si>
  <si>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</si>
  <si>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</si>
  <si>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</si>
  <si>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</si>
  <si>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</si>
  <si>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</si>
  <si>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</si>
  <si>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</si>
  <si>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</si>
  <si>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</si>
  <si>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</si>
  <si>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</si>
  <si>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</si>
  <si>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</si>
  <si>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</si>
  <si>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</si>
  <si>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</si>
  <si>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</si>
  <si>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</si>
  <si>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</si>
  <si>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</si>
  <si>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</si>
  <si>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</si>
  <si>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</si>
  <si>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</si>
  <si>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</si>
  <si>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</si>
  <si>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</si>
  <si>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</si>
  <si>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</si>
  <si>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</si>
  <si>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</si>
  <si>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</si>
  <si>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</si>
  <si>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</si>
  <si>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</si>
  <si>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</si>
  <si>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</si>
  <si>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</si>
  <si>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</si>
  <si>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</si>
  <si>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</si>
  <si>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</si>
  <si>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</si>
  <si>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</si>
  <si>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</si>
  <si>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</si>
  <si>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</si>
  <si>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</si>
  <si>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</si>
  <si>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</si>
  <si>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</si>
  <si>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</si>
  <si>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</si>
  <si>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</si>
  <si>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</si>
  <si>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</si>
  <si>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</si>
  <si>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</si>
  <si>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</si>
  <si>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</si>
  <si>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</si>
  <si>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</si>
  <si>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</si>
  <si>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</si>
  <si>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</si>
  <si>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</si>
  <si>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</si>
  <si>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</si>
  <si>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</si>
  <si>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</si>
  <si>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</si>
  <si>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</si>
  <si>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</si>
  <si>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</si>
  <si>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</si>
  <si>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</si>
  <si>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</si>
  <si>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</si>
  <si>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</si>
  <si>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</si>
  <si>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</si>
  <si>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</si>
  <si>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</si>
  <si>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</si>
  <si>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</si>
  <si>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</si>
  <si>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</si>
  <si>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</si>
  <si>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</si>
  <si>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</si>
  <si>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</si>
  <si>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</si>
  <si>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</si>
  <si>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</si>
  <si>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</si>
  <si>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</si>
  <si>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</si>
  <si>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</si>
  <si>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</si>
  <si>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</si>
  <si>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</si>
  <si>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</si>
  <si>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</si>
  <si>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</si>
  <si>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</si>
  <si>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</si>
  <si>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</si>
  <si>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</si>
  <si>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</si>
  <si>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</si>
  <si>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</si>
  <si>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</si>
  <si>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</si>
  <si>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</si>
  <si>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</si>
  <si>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</si>
  <si>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</si>
  <si>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</si>
  <si>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</si>
  <si>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</si>
  <si>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</si>
  <si>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</si>
  <si>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</si>
  <si>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</si>
  <si>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</si>
  <si>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</si>
  <si>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</si>
  <si>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</si>
  <si>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</si>
  <si>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</si>
  <si>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</si>
  <si>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</si>
  <si>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</si>
  <si>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</si>
  <si>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</si>
  <si>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</si>
  <si>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</si>
  <si>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</si>
  <si>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</si>
  <si>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</si>
  <si>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</si>
  <si>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</si>
  <si>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</si>
  <si>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</si>
  <si>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</si>
  <si>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</si>
  <si>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</si>
  <si>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</si>
  <si>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</si>
  <si>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</si>
  <si>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</si>
  <si>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</si>
  <si>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</si>
  <si>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</si>
  <si>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</si>
  <si>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</si>
  <si>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</si>
  <si>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</si>
  <si>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</si>
  <si>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</si>
  <si>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</si>
  <si>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</si>
  <si>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</si>
  <si>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</si>
  <si>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</si>
  <si>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</si>
  <si>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</si>
  <si>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</si>
  <si>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</si>
  <si>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</si>
  <si>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</si>
  <si>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</si>
  <si>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</si>
  <si>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</si>
  <si>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</si>
  <si>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</si>
  <si>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</si>
  <si>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</si>
  <si>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</si>
  <si>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</si>
  <si>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</si>
  <si>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</si>
  <si>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</si>
  <si>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</si>
  <si>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</si>
  <si>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</si>
  <si>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</si>
  <si>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</si>
  <si>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</si>
  <si>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</si>
  <si>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</si>
  <si>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</si>
  <si>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</si>
  <si>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</si>
  <si>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</si>
  <si>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</si>
  <si>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</si>
  <si>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</si>
  <si>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</si>
  <si>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</si>
  <si>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</si>
  <si>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</si>
  <si>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</si>
  <si>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</si>
  <si>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</si>
  <si>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</si>
  <si>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</si>
  <si>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</si>
  <si>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</si>
  <si>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</si>
  <si>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</si>
  <si>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</si>
  <si>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</si>
  <si>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</si>
  <si>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</si>
  <si>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</si>
  <si>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</si>
  <si>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</si>
  <si>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</si>
  <si>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</si>
  <si>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</si>
  <si>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</si>
  <si>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</si>
  <si>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</si>
  <si>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</si>
  <si>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</si>
  <si>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</si>
  <si>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</si>
  <si>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</si>
  <si>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</si>
  <si>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</si>
  <si>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</si>
  <si>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</si>
  <si>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</si>
  <si>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</si>
  <si>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</si>
  <si>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</si>
  <si>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</si>
  <si>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</si>
  <si>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</si>
  <si>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</si>
  <si>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</si>
  <si>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</si>
  <si>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</si>
  <si>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</si>
  <si>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</si>
  <si>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</si>
  <si>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</si>
  <si>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</si>
  <si>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</si>
  <si>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</si>
  <si>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</si>
  <si>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</si>
  <si>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</si>
  <si>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</si>
  <si>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</si>
  <si>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</si>
  <si>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</si>
  <si>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</si>
  <si>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</si>
  <si>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</si>
  <si>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</si>
  <si>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</si>
  <si>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</si>
  <si>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</si>
  <si>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</si>
  <si>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</si>
  <si>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</si>
  <si>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</si>
  <si>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</si>
  <si>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</si>
  <si>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</si>
  <si>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</si>
  <si>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</si>
  <si>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</si>
  <si>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</si>
  <si>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</si>
  <si>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</si>
  <si>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</si>
  <si>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</si>
  <si>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</si>
  <si>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</si>
  <si>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</si>
  <si>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</si>
  <si>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</si>
  <si>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</si>
  <si>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</si>
  <si>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</si>
  <si>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</si>
  <si>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</si>
  <si>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</si>
  <si>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</si>
  <si>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</si>
  <si>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</si>
  <si>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</si>
  <si>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</si>
  <si>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</si>
  <si>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</si>
  <si>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</si>
  <si>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</si>
  <si>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</si>
  <si>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</si>
  <si>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</si>
  <si>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</si>
  <si>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</si>
  <si>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</si>
  <si>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</si>
  <si>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</si>
  <si>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</si>
  <si>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</si>
  <si>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</si>
  <si>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</si>
  <si>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</si>
  <si>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</si>
  <si>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</si>
  <si>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</si>
  <si>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</si>
  <si>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</si>
  <si>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</si>
  <si>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</si>
  <si>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</si>
  <si>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</si>
  <si>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</si>
  <si>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</si>
  <si>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</si>
  <si>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</si>
  <si>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</si>
  <si>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</si>
  <si>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</si>
  <si>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</si>
  <si>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</si>
  <si>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</si>
  <si>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</si>
  <si>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</si>
  <si>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</si>
  <si>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</si>
  <si>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</si>
  <si>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</si>
  <si>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</si>
  <si>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</si>
  <si>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</si>
  <si>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</si>
  <si>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</si>
  <si>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</si>
  <si>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</si>
  <si>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</si>
  <si>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</si>
  <si>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</si>
  <si>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</si>
  <si>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</si>
  <si>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</si>
  <si>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</si>
  <si>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</si>
  <si>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</si>
  <si>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</si>
  <si>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</si>
  <si>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</si>
  <si>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</si>
  <si>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</si>
  <si>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</si>
  <si>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</si>
  <si>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</si>
  <si>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</si>
  <si>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</si>
  <si>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</si>
  <si>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</si>
  <si>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</si>
  <si>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</si>
  <si>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</si>
  <si>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</si>
  <si>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</si>
  <si>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</si>
  <si>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</si>
  <si>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</si>
  <si>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</si>
  <si>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</si>
  <si>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</si>
  <si>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</si>
  <si>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</si>
  <si>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</si>
  <si>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</si>
  <si>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</si>
  <si>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</si>
  <si>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</si>
  <si>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</si>
  <si>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</si>
  <si>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</si>
  <si>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</si>
  <si>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</si>
  <si>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</si>
  <si>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</si>
  <si>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</si>
  <si>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</si>
  <si>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</si>
  <si>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</si>
  <si>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</si>
  <si>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</si>
  <si>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</si>
  <si>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</si>
  <si>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</si>
  <si>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</si>
  <si>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</si>
  <si>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</si>
  <si>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</si>
  <si>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</si>
  <si>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</si>
  <si>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</si>
  <si>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</si>
  <si>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</si>
  <si>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</si>
  <si>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</si>
  <si>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</si>
  <si>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</si>
  <si>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</si>
  <si>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</si>
  <si>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</si>
  <si>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</si>
  <si>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</si>
  <si>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</si>
  <si>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</si>
  <si>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</si>
  <si>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</si>
  <si>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</si>
  <si>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</si>
  <si>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</si>
  <si>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</si>
  <si>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</si>
  <si>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</si>
  <si>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</si>
  <si>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</si>
  <si>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</si>
  <si>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</si>
  <si>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</si>
  <si>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</si>
  <si>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</si>
  <si>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</si>
  <si>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</si>
  <si>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</si>
  <si>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</si>
  <si>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</si>
  <si>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</si>
  <si>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</si>
  <si>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</si>
  <si>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</si>
  <si>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</si>
  <si>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</si>
  <si>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</si>
  <si>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</si>
  <si>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</si>
  <si>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</si>
  <si>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</si>
  <si>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</si>
  <si>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</si>
  <si>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</si>
  <si>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</si>
  <si>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</si>
  <si>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</si>
  <si>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</si>
  <si>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</si>
  <si>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</si>
  <si>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</si>
  <si>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</si>
  <si>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</si>
  <si>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</si>
  <si>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</si>
  <si>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</si>
  <si>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</si>
  <si>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</si>
  <si>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</si>
  <si>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</si>
  <si>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</si>
  <si>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</si>
  <si>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</si>
  <si>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</si>
  <si>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</si>
  <si>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</si>
  <si>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</si>
  <si>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</si>
  <si>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</si>
  <si>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</si>
  <si>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</si>
  <si>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</si>
  <si>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</si>
  <si>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</si>
  <si>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</si>
  <si>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</si>
  <si>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</si>
  <si>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</si>
  <si>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</si>
  <si>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</si>
  <si>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</si>
  <si>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</si>
  <si>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</si>
  <si>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</si>
  <si>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</si>
  <si>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</si>
  <si>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</si>
  <si>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</si>
  <si>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</si>
  <si>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</si>
  <si>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</si>
  <si>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</si>
  <si>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</si>
  <si>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</si>
  <si>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</si>
  <si>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</si>
  <si>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</si>
  <si>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</si>
  <si>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</si>
  <si>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</si>
  <si>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</si>
  <si>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</si>
  <si>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</si>
  <si>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</si>
  <si>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</si>
  <si>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</si>
  <si>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</si>
  <si>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</si>
  <si>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</si>
  <si>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</si>
  <si>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</si>
  <si>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</si>
  <si>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</si>
  <si>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</si>
  <si>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</si>
  <si>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</si>
  <si>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</si>
  <si>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</si>
  <si>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</si>
  <si>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</si>
  <si>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</si>
  <si>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</si>
  <si>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</si>
  <si>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</si>
  <si>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</si>
  <si>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</si>
  <si>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</si>
  <si>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</si>
  <si>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</si>
  <si>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</si>
  <si>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</si>
  <si>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</si>
  <si>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</si>
  <si>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</si>
  <si>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</si>
  <si>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</si>
  <si>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</si>
  <si>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</si>
  <si>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</si>
  <si>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</si>
  <si>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</si>
  <si>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</si>
  <si>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</si>
  <si>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</si>
  <si>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</si>
  <si>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</si>
  <si>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</si>
  <si>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</si>
  <si>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</si>
  <si>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</si>
  <si>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</si>
  <si>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</si>
  <si>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</si>
  <si>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</si>
  <si>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</si>
  <si>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</si>
  <si>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</si>
  <si>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</si>
  <si>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</si>
  <si>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</si>
  <si>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</si>
  <si>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</si>
  <si>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</si>
  <si>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</si>
  <si>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</si>
  <si>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</si>
  <si>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</si>
  <si>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</si>
  <si>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</si>
  <si>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</si>
  <si>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</si>
  <si>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</si>
  <si>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</si>
  <si>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</si>
  <si>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</si>
  <si>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</si>
  <si>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</si>
  <si>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</si>
  <si>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</si>
  <si>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</si>
  <si>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</si>
  <si>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</si>
  <si>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</si>
  <si>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</si>
  <si>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</si>
  <si>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</si>
  <si>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</si>
  <si>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</si>
  <si>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</si>
  <si>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</si>
  <si>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</si>
  <si>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</si>
  <si>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</si>
  <si>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</si>
  <si>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</si>
  <si>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</si>
  <si>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</si>
  <si>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</si>
  <si>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</si>
  <si>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</si>
  <si>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</si>
  <si>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</si>
  <si>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</si>
  <si>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</si>
  <si>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</si>
  <si>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</si>
  <si>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</si>
  <si>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</si>
  <si>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</si>
  <si>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</si>
  <si>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</si>
  <si>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</si>
  <si>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</si>
  <si>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</si>
  <si>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</si>
  <si>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</si>
  <si>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</si>
  <si>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</si>
  <si>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</si>
  <si>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</si>
  <si>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</si>
  <si>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</si>
  <si>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</si>
  <si>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</si>
  <si>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</si>
  <si>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</si>
  <si>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</si>
  <si>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</si>
  <si>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</si>
  <si>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</si>
  <si>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</si>
  <si>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</si>
  <si>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</si>
  <si>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</si>
  <si>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</si>
  <si>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</si>
  <si>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</si>
  <si>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</si>
  <si>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</si>
  <si>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</si>
  <si>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</si>
  <si>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</si>
  <si>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</si>
  <si>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</si>
  <si>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</si>
  <si>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</si>
  <si>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</si>
  <si>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</si>
  <si>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</si>
  <si>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</si>
  <si>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</si>
  <si>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</si>
  <si>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</si>
  <si>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</si>
  <si>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</si>
  <si>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</si>
  <si>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</si>
  <si>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</si>
  <si>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</si>
  <si>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</si>
  <si>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</si>
  <si>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</si>
  <si>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</si>
  <si>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</si>
  <si>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</si>
  <si>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</si>
  <si>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</si>
  <si>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</si>
  <si>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</si>
  <si>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</si>
  <si>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</si>
  <si>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</si>
  <si>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</si>
  <si>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</si>
  <si>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</si>
  <si>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</si>
  <si>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</si>
  <si>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</si>
  <si>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</si>
  <si>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</si>
  <si>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</si>
  <si>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</si>
  <si>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</si>
  <si>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</si>
  <si>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</si>
  <si>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</si>
  <si>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</si>
  <si>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</si>
  <si>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</si>
  <si>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</si>
  <si>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</si>
  <si>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</si>
  <si>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</si>
  <si>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</si>
  <si>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</si>
  <si>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</si>
  <si>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</si>
  <si>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</si>
  <si>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</si>
  <si>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</si>
  <si>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</si>
  <si>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</si>
  <si>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</si>
  <si>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</si>
  <si>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</si>
  <si>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</si>
  <si>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</si>
  <si>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</si>
  <si>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</si>
  <si>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</si>
  <si>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</si>
  <si>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</si>
  <si>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</si>
  <si>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</si>
  <si>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</si>
  <si>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</si>
  <si>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</si>
  <si>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</si>
  <si>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</si>
  <si>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</si>
  <si>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</si>
  <si>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</si>
  <si>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</si>
  <si>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</si>
  <si>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</si>
  <si>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</si>
  <si>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</si>
  <si>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</si>
  <si>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</si>
  <si>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</si>
  <si>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</si>
  <si>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</si>
  <si>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</si>
  <si>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</si>
  <si>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</si>
  <si>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</si>
  <si>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</si>
  <si>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</si>
  <si>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</si>
  <si>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</si>
  <si>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</si>
  <si>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</si>
  <si>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</si>
  <si>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</si>
  <si>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</si>
  <si>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</si>
  <si>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</si>
  <si>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</si>
  <si>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</si>
  <si>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</si>
  <si>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</si>
  <si>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</si>
  <si>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</si>
  <si>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</si>
  <si>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</si>
  <si>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</si>
  <si>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</si>
  <si>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</si>
  <si>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</si>
  <si>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</si>
  <si>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</si>
  <si>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</si>
  <si>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</si>
  <si>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</si>
  <si>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</si>
  <si>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</si>
  <si>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</si>
  <si>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</si>
  <si>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</si>
  <si>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</si>
  <si>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</si>
  <si>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</si>
  <si>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</si>
  <si>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</si>
  <si>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</si>
  <si>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</si>
  <si>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</si>
  <si>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</si>
  <si>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</si>
  <si>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</si>
  <si>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</si>
  <si>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</si>
  <si>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</si>
  <si>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</si>
  <si>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</si>
  <si>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</si>
  <si>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</si>
  <si>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</si>
  <si>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</si>
  <si>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</si>
  <si>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</si>
  <si>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</si>
  <si>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</si>
  <si>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</si>
  <si>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</si>
  <si>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</si>
  <si>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</si>
  <si>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</si>
  <si>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</si>
  <si>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</si>
  <si>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</si>
  <si>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</si>
  <si>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</si>
  <si>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</si>
  <si>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</si>
  <si>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</si>
  <si>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</si>
  <si>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</si>
  <si>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</si>
  <si>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</si>
  <si>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</si>
  <si>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</si>
  <si>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</si>
  <si>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</si>
  <si>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</si>
  <si>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</si>
  <si>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</si>
  <si>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</si>
  <si>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</si>
  <si>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</si>
  <si>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</si>
  <si>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</si>
  <si>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</si>
  <si>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</si>
  <si>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</si>
  <si>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</si>
  <si>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</si>
  <si>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</si>
  <si>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</si>
  <si>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</si>
  <si>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</si>
  <si>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</si>
  <si>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</si>
  <si>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</si>
  <si>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</si>
  <si>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</si>
  <si>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</si>
  <si>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</si>
  <si>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</si>
  <si>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</si>
  <si>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</si>
  <si>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</si>
  <si>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</si>
  <si>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</si>
  <si>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</si>
  <si>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</si>
  <si>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</si>
  <si>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</si>
  <si>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</si>
  <si>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</si>
  <si>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</si>
  <si>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</si>
  <si>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</si>
  <si>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</si>
  <si>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</si>
  <si>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</si>
  <si>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</si>
  <si>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</si>
  <si>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</si>
  <si>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</si>
  <si>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</si>
  <si>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</si>
  <si>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</si>
  <si>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</si>
  <si>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</si>
  <si>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</si>
  <si>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</si>
  <si>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</si>
  <si>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</si>
  <si>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</si>
  <si>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</si>
  <si>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</si>
  <si>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</si>
  <si>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</si>
  <si>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</si>
  <si>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</si>
  <si>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</si>
  <si>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</si>
  <si>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</si>
  <si>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</si>
  <si>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</si>
  <si>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</si>
  <si>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</si>
  <si>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</si>
  <si>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</si>
  <si>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</si>
  <si>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</si>
  <si>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</si>
  <si>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</si>
  <si>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</si>
  <si>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</si>
  <si>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</si>
  <si>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</si>
  <si>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</si>
  <si>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</si>
  <si>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</si>
  <si>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</si>
  <si>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</si>
  <si>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</si>
  <si>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</si>
  <si>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</si>
  <si>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</si>
  <si>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</si>
  <si>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</si>
  <si>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</si>
  <si>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</si>
  <si>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</si>
  <si>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</si>
  <si>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</si>
  <si>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</si>
  <si>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</si>
  <si>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</si>
  <si>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</si>
  <si>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</si>
  <si>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</si>
  <si>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</si>
  <si>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</si>
  <si>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</si>
  <si>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</si>
  <si>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</si>
  <si>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</si>
  <si>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</si>
  <si>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</si>
  <si>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</si>
  <si>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</si>
  <si>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</si>
  <si>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</si>
  <si>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</si>
  <si>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</si>
  <si>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</si>
  <si>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</si>
  <si>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</si>
  <si>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</si>
  <si>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</si>
  <si>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</si>
  <si>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</si>
  <si>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</si>
  <si>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</si>
  <si>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</si>
  <si>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</si>
  <si>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</si>
  <si>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</si>
  <si>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</si>
  <si>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</si>
  <si>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</si>
  <si>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</si>
  <si>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</si>
  <si>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</si>
  <si>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</si>
  <si>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</si>
  <si>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</si>
  <si>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</si>
  <si>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</si>
  <si>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</si>
  <si>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</si>
  <si>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</si>
  <si>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</si>
  <si>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</si>
  <si>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</si>
  <si>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</si>
  <si>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</si>
  <si>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</si>
  <si>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</si>
  <si>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</si>
  <si>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</si>
  <si>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</si>
  <si>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</si>
  <si>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</si>
  <si>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</si>
  <si>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</si>
  <si>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</si>
  <si>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</si>
  <si>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</si>
  <si>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</si>
  <si>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</si>
  <si>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</si>
  <si>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</si>
  <si>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</si>
  <si>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</si>
  <si>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</si>
  <si>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</si>
  <si>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</si>
  <si>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</si>
  <si>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</si>
  <si>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</si>
  <si>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</si>
  <si>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</si>
  <si>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</si>
  <si>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</si>
  <si>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</si>
  <si>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</si>
  <si>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</si>
  <si>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</si>
  <si>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</si>
  <si>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</si>
  <si>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</si>
  <si>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</si>
  <si>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</si>
  <si>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</si>
  <si>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</si>
  <si>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</si>
  <si>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</si>
  <si>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</si>
  <si>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</si>
  <si>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</si>
  <si>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</si>
  <si>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</si>
  <si>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</si>
  <si>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</si>
  <si>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</si>
  <si>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</si>
  <si>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</si>
  <si>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</si>
  <si>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</si>
  <si>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</si>
  <si>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</si>
  <si>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</si>
  <si>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</si>
  <si>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</si>
  <si>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</si>
  <si>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</si>
  <si>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</si>
  <si>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</si>
  <si>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</si>
  <si>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</si>
  <si>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</si>
  <si>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</si>
  <si>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</si>
  <si>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</si>
  <si>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</si>
  <si>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</si>
  <si>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</si>
  <si>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</si>
  <si>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</si>
  <si>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</si>
  <si>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</si>
  <si>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</si>
  <si>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</si>
  <si>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</si>
  <si>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</si>
  <si>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</si>
  <si>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</si>
  <si>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</si>
  <si>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</si>
  <si>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</si>
  <si>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</si>
  <si>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</si>
  <si>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</si>
  <si>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</si>
  <si>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</si>
  <si>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</si>
  <si>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</si>
  <si>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</si>
  <si>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</si>
  <si>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</si>
  <si>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</si>
  <si>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</si>
  <si>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</si>
  <si>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</si>
  <si>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</si>
  <si>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</si>
  <si>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</si>
  <si>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</si>
  <si>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</si>
  <si>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</si>
  <si>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</si>
  <si>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</si>
  <si>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</si>
  <si>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</si>
  <si>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</si>
  <si>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</si>
  <si>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</si>
  <si>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</si>
  <si>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</si>
  <si>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</si>
  <si>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</si>
  <si>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</si>
  <si>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</si>
  <si>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</si>
  <si>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</si>
  <si>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</si>
  <si>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</si>
  <si>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</si>
  <si>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</si>
  <si>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</si>
  <si>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</si>
  <si>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</si>
  <si>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</si>
  <si>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</si>
  <si>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</si>
  <si>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</si>
  <si>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</si>
  <si>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</si>
  <si>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</si>
  <si>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</si>
  <si>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</si>
  <si>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</si>
  <si>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</si>
  <si>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</si>
  <si>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</si>
  <si>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</si>
  <si>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</si>
  <si>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</si>
  <si>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</si>
  <si>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</si>
  <si>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</si>
  <si>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</si>
  <si>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</si>
  <si>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</si>
  <si>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</si>
  <si>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</si>
  <si>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</si>
  <si>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</si>
  <si>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</si>
  <si>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</si>
  <si>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</si>
  <si>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</si>
  <si>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</si>
  <si>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</si>
  <si>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</si>
  <si>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</si>
  <si>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</si>
  <si>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</si>
  <si>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</si>
  <si>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</si>
  <si>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</si>
  <si>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</si>
  <si>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</si>
  <si>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</si>
  <si>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</si>
  <si>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</si>
  <si>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</si>
  <si>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</si>
  <si>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</si>
  <si>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</si>
  <si>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</si>
  <si>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</si>
  <si>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</si>
  <si>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</si>
  <si>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</si>
  <si>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</si>
  <si>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</si>
  <si>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</si>
  <si>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</si>
  <si>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</si>
  <si>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</si>
  <si>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</si>
  <si>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</si>
  <si>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</si>
  <si>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</si>
  <si>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</si>
  <si>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</si>
  <si>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</si>
  <si>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</si>
  <si>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</si>
  <si>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</si>
  <si>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</si>
  <si>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</si>
  <si>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</si>
  <si>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</si>
  <si>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</si>
  <si>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</si>
  <si>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</si>
  <si>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</si>
  <si>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</si>
  <si>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</si>
  <si>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</si>
  <si>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</si>
  <si>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</si>
  <si>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</si>
  <si>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</si>
  <si>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</si>
  <si>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</si>
  <si>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</si>
  <si>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</si>
  <si>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</si>
  <si>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</si>
  <si>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</si>
  <si>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</si>
  <si>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</si>
  <si>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</si>
  <si>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</si>
  <si>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</si>
  <si>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</si>
  <si>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</si>
  <si>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</si>
  <si>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</si>
  <si>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</si>
  <si>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</si>
  <si>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</si>
  <si>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</si>
  <si>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</si>
  <si>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</si>
  <si>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</si>
  <si>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</si>
  <si>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</si>
  <si>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</si>
  <si>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</si>
  <si>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</si>
  <si>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</si>
  <si>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</si>
  <si>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</si>
  <si>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</si>
  <si>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</si>
  <si>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</si>
  <si>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</si>
  <si>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</si>
  <si>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</si>
  <si>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</si>
  <si>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</si>
  <si>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</si>
  <si>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</si>
  <si>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</si>
  <si>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</si>
  <si>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</si>
  <si>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</si>
  <si>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</si>
  <si>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</si>
  <si>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</si>
  <si>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</si>
  <si>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</si>
  <si>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</si>
  <si>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</si>
  <si>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</si>
  <si>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</si>
  <si>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</si>
  <si>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</si>
  <si>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</si>
  <si>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</si>
  <si>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</si>
  <si>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</si>
  <si>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</si>
  <si>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</si>
  <si>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</si>
  <si>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</si>
  <si>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</si>
  <si>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</si>
  <si>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</si>
  <si>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</si>
  <si>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</si>
  <si>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</si>
  <si>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</si>
  <si>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</si>
  <si>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</si>
  <si>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</si>
  <si>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</si>
  <si>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</si>
  <si>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</si>
  <si>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Ⅷ-平1</t>
  </si>
  <si>
    <t>商务金融用地</t>
  </si>
  <si>
    <t>自定义容积率</t>
  </si>
  <si>
    <t>是</t>
  </si>
  <si>
    <t>地上</t>
  </si>
  <si>
    <t>办公</t>
    <phoneticPr fontId="7" type="noConversion"/>
  </si>
  <si>
    <t>成新度</t>
  </si>
  <si>
    <t>收益法 (元)</t>
  </si>
  <si>
    <t>一般</t>
  </si>
  <si>
    <t>较好</t>
  </si>
  <si>
    <t>好</t>
  </si>
  <si>
    <t>中心城区以外</t>
  </si>
  <si>
    <t>与级别开发程度一致</t>
  </si>
  <si>
    <t>未包含在土地购买价格中</t>
  </si>
  <si>
    <t>已包含在土地取得成本中</t>
  </si>
  <si>
    <t>押一</t>
  </si>
  <si>
    <t>钢混</t>
  </si>
  <si>
    <t>非生产用房</t>
  </si>
  <si>
    <t>否</t>
  </si>
  <si>
    <t>成本法 (元)</t>
  </si>
  <si>
    <t>高区</t>
    <phoneticPr fontId="24" type="noConversion"/>
  </si>
  <si>
    <t>中区</t>
    <phoneticPr fontId="24" type="noConversion"/>
  </si>
  <si>
    <t>低区</t>
    <phoneticPr fontId="24" type="noConversion"/>
  </si>
  <si>
    <t>中区</t>
    <phoneticPr fontId="24" type="noConversion"/>
  </si>
  <si>
    <t>房号</t>
    <phoneticPr fontId="134" type="noConversion"/>
  </si>
  <si>
    <t>面积（㎡）</t>
    <phoneticPr fontId="134" type="noConversion"/>
  </si>
  <si>
    <t>单价（元/㎡）</t>
    <phoneticPr fontId="134" type="noConversion"/>
  </si>
  <si>
    <t>总价（万元）</t>
    <phoneticPr fontId="134" type="noConversion"/>
  </si>
  <si>
    <t>府前西街18号院</t>
    <phoneticPr fontId="134" type="noConversion"/>
  </si>
  <si>
    <t>通路</t>
  </si>
  <si>
    <t>通电</t>
  </si>
  <si>
    <t>通讯</t>
  </si>
  <si>
    <t>通上水</t>
  </si>
  <si>
    <t>通下水</t>
  </si>
  <si>
    <t>平整</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</si>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</sst>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36" fillId="2" borderId="1" xfId="0" applyFont="1" applyFill="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0" fontId="107" fillId="0" borderId="1" xfId="0" applyFont="1"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1" xfId="0" applyFont="1" applyBorder="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估价对象为北京市房地产，为所有。根据《国有土地使用证》[]，估价对象（分摊）出让国有建设用地使用权面积为0平方米，建筑面积为104.4平方米。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估价对象为北京市房地产,属开发建设的，该项目尚在开发建设中。根据《国有土地使用证》[]，估价对象（分摊）出让国有建设用地使用权面积为0平方米，规划建筑面积为104.4平方米。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2023年7月1日</v>
      </c>
    </row>
    <row r="13" spans="1:2" s="1202" customFormat="1">
      <c r="A13" s="1200" t="s">
        <v>529</v>
      </c>
      <c r="B13" s="1201" t="str">
        <f>'预评函-1'!A18</f>
        <v>本次估价的“房地产价值”是指在正常市场情况下，在价值时点2023年7月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163</v>
      </c>
    </row>
    <row r="21" spans="1:2" s="1202" customFormat="1">
      <c r="A21" s="1200" t="s">
        <v>537</v>
      </c>
      <c r="B21" s="1201">
        <f ca="1">'预评函-2'!D7</f>
        <v>15621</v>
      </c>
    </row>
    <row r="22" spans="1:2" s="1202" customFormat="1">
      <c r="A22" s="1200" t="s">
        <v>538</v>
      </c>
      <c r="B22" s="1201" t="str">
        <f ca="1">'预评函-2'!D6</f>
        <v>壹佰陆拾叁万元整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163</v>
      </c>
    </row>
    <row r="31" spans="1:2" s="1202" customFormat="1">
      <c r="A31" s="1200" t="s">
        <v>576</v>
      </c>
      <c r="B31" s="1201">
        <f ca="1">'预评函-2'!D15</f>
        <v>15621</v>
      </c>
    </row>
    <row r="32" spans="1:2" s="1202" customFormat="1">
      <c r="A32" s="1200" t="s">
        <v>543</v>
      </c>
      <c r="B32" s="1201" t="str">
        <f ca="1">'预评函-2'!D14</f>
        <v>壹佰陆拾叁万元整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104.4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G32" sqref="G32"/>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2580</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2581</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3" t="s">
        <v>385</v>
      </c>
      <c r="C54" s="1550" t="s">
        <v>583</v>
      </c>
    </row>
    <row r="55" spans="1:4">
      <c r="A55" s="3494"/>
      <c r="B55" s="1553" t="s">
        <v>386</v>
      </c>
      <c r="C55" s="1550" t="s">
        <v>584</v>
      </c>
    </row>
    <row r="56" spans="1:4">
      <c r="A56" s="3494"/>
      <c r="B56" s="1553" t="s">
        <v>387</v>
      </c>
      <c r="C56" s="1550" t="s">
        <v>588</v>
      </c>
    </row>
    <row r="57" spans="1:4">
      <c r="A57" s="349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5" t="s">
        <v>2583</v>
      </c>
      <c r="J2" s="3495"/>
      <c r="K2" s="3495"/>
      <c r="L2" s="3495"/>
      <c r="M2" s="3495"/>
      <c r="N2" s="3495"/>
      <c r="O2" s="3495"/>
      <c r="P2" s="3495"/>
      <c r="Q2" s="3495"/>
      <c r="R2" s="3495"/>
    </row>
    <row r="3" spans="1:18">
      <c r="A3" s="3019" t="s">
        <v>2504</v>
      </c>
      <c r="B3" s="3020">
        <f>项目基本情况!D3</f>
        <v>45108</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3.47</v>
      </c>
      <c r="D5" s="3024">
        <f>IF(ISERROR(ROUND(POWER(1+E5,A5-C5)*(POWER(1+E5,C5)-1)/(POWER(1+E5,A5)-1),3)),0,ROUND(POWER(1+E5,A5-C5)*(POWER(1+E5,C5)-1)/(POWER(1+E5,A5)-1),4))</f>
        <v>0.16070000000000001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13.47</v>
      </c>
      <c r="D6" s="3024">
        <f>IF(ISERROR(ROUND(POWER(1+E6,A6-C6)*(POWER(1+E6,C6)-1)/(POWER(1+E6,A6)-1),3)),0,ROUND(POWER(1+E6,A6-C6)*(POWER(1+E6,C6)-1)/(POWER(1+E6,A6)-1),4))</f>
        <v>0.47760000000000002</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33.49</v>
      </c>
      <c r="D7" s="3024">
        <f>IF(ISERROR(ROUND(POWER(1+E7,A7-C7)*(POWER(1+E7,C7)-1)/(POWER(1+E7,A7)-1),3)),0,ROUND(POWER(1+E7,A7-C7)*(POWER(1+E7,C7)-1)/(POWER(1+E7,A7)-1),4))</f>
        <v>0.78129999999999999</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38" sqref="K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45108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3377</v>
      </c>
      <c r="C8" s="2389"/>
      <c r="D8" s="3507" t="s">
        <v>2176</v>
      </c>
      <c r="E8" s="2390"/>
      <c r="F8" s="2391"/>
      <c r="G8" s="2662"/>
      <c r="H8" s="2662"/>
      <c r="I8" s="2662"/>
      <c r="J8" s="2438"/>
      <c r="K8" s="2613"/>
      <c r="L8" s="2612"/>
      <c r="M8" s="2612"/>
      <c r="N8" s="2438"/>
      <c r="O8" s="2449"/>
      <c r="P8" s="2438"/>
      <c r="Q8" s="2438"/>
      <c r="R8" s="2438"/>
    </row>
    <row r="9" spans="1:30" ht="13.5" thickBot="1">
      <c r="A9" s="2392" t="s">
        <v>2177</v>
      </c>
      <c r="B9" s="2393" t="s">
        <v>3378</v>
      </c>
      <c r="C9" s="2394"/>
      <c r="D9" s="3508"/>
      <c r="E9" s="2393"/>
      <c r="F9" s="2395"/>
      <c r="G9" s="2664"/>
      <c r="H9" s="2664"/>
      <c r="I9" s="2664"/>
      <c r="J9" s="2438"/>
      <c r="K9" s="2615"/>
      <c r="L9" s="2612"/>
      <c r="M9" s="2612"/>
      <c r="N9" s="2438"/>
      <c r="O9" s="2449"/>
      <c r="P9" s="2438"/>
      <c r="Q9" s="2438"/>
      <c r="R9" s="2438"/>
    </row>
    <row r="10" spans="1:30" ht="13.5" thickTop="1">
      <c r="A10" s="2396" t="s">
        <v>2178</v>
      </c>
      <c r="B10" s="2397" t="s">
        <v>3379</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3380</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3336</v>
      </c>
      <c r="B13" s="2406" t="s">
        <v>2189</v>
      </c>
      <c r="C13" s="856"/>
      <c r="D13" s="856"/>
      <c r="E13" s="856">
        <v>56773</v>
      </c>
      <c r="F13" s="856"/>
      <c r="G13" s="856"/>
      <c r="H13" s="856"/>
      <c r="I13" s="856"/>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31.95</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14"/>
      <c r="C16" s="3515"/>
      <c r="D16" s="3516"/>
      <c r="E16" s="2412" t="s">
        <v>2193</v>
      </c>
      <c r="F16" s="3517"/>
      <c r="G16" s="3518"/>
      <c r="H16" s="3518"/>
      <c r="I16" s="3519"/>
      <c r="J16" s="2438"/>
      <c r="K16" s="2616"/>
      <c r="L16" s="2450"/>
      <c r="M16" s="2450"/>
      <c r="N16" s="2508"/>
      <c r="O16" s="2450"/>
      <c r="P16" s="2508"/>
      <c r="Q16" s="2438"/>
      <c r="R16" s="2438"/>
    </row>
    <row r="17" spans="1:28">
      <c r="A17" s="313" t="s">
        <v>2194</v>
      </c>
      <c r="B17" s="302" t="s">
        <v>2195</v>
      </c>
      <c r="C17" s="8">
        <f>'数据-汇总表'!E3</f>
        <v>104.4</v>
      </c>
      <c r="D17" s="2321" t="s">
        <v>2196</v>
      </c>
      <c r="E17" s="3520" t="s">
        <v>2197</v>
      </c>
      <c r="F17" s="3521"/>
      <c r="G17" s="3521"/>
      <c r="H17" s="3521"/>
      <c r="I17" s="3522"/>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23" t="s">
        <v>2201</v>
      </c>
      <c r="F18" s="3524"/>
      <c r="G18" s="3524"/>
      <c r="H18" s="3524"/>
      <c r="I18" s="3525"/>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0" t="s">
        <v>2205</v>
      </c>
      <c r="C20" s="3511"/>
      <c r="D20" s="3512" t="s">
        <v>2206</v>
      </c>
      <c r="E20" s="3513"/>
      <c r="F20" s="2646" t="s">
        <v>1056</v>
      </c>
      <c r="G20" s="2663"/>
      <c r="H20" s="2663"/>
      <c r="I20" s="2663"/>
      <c r="J20" s="2438"/>
      <c r="K20" s="350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7"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7"/>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7"/>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8"/>
      <c r="B30" s="302" t="s">
        <v>2217</v>
      </c>
      <c r="C30" s="3499"/>
      <c r="D30" s="3500"/>
      <c r="E30" s="2663"/>
      <c r="F30" s="2663"/>
      <c r="G30" s="2663"/>
      <c r="H30" s="2663"/>
      <c r="I30" s="2663"/>
      <c r="J30" s="2438"/>
      <c r="K30" s="2615"/>
      <c r="L30" s="2612"/>
      <c r="M30" s="2612"/>
      <c r="N30" s="2438"/>
      <c r="O30" s="2449"/>
      <c r="P30" s="2438"/>
      <c r="Q30" s="2438"/>
      <c r="R30" s="2438"/>
      <c r="S30" s="2438"/>
      <c r="T30" s="2438"/>
      <c r="U30" s="2438"/>
      <c r="V30" s="2438"/>
    </row>
    <row r="31" spans="1:28">
      <c r="A31" s="3501"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496" t="s">
        <v>2227</v>
      </c>
      <c r="T34" s="2427" t="str">
        <f>NUMBERSTRING(7-K34,1)&amp;"通"</f>
        <v>七通</v>
      </c>
      <c r="U34" s="2438"/>
      <c r="V34" s="2438"/>
    </row>
    <row r="35" spans="1:30">
      <c r="A35" s="2428"/>
      <c r="B35" s="3503" t="s">
        <v>2228</v>
      </c>
      <c r="C35" s="3503"/>
      <c r="D35" s="3503"/>
      <c r="E35" s="3503"/>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6"/>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305</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3381</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104.4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104.4</v>
      </c>
      <c r="H5" s="13">
        <f t="shared" ref="H5:AT5" si="0">SUM(H13:H656)</f>
        <v>104.4</v>
      </c>
      <c r="I5" s="13">
        <f t="shared" si="0"/>
        <v>104.4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104.4</v>
      </c>
      <c r="BA5" s="15">
        <f t="shared" si="1"/>
        <v>104.4</v>
      </c>
      <c r="BB5" s="15">
        <f t="shared" si="1"/>
        <v>104.4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3385</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3384</v>
      </c>
      <c r="E13" s="13">
        <f>IF($C$3="是",ROUND($A$3*G13/$B$3,2),ROUND($A$3*(G13-AT13)/$B$3,2))</f>
        <v>0</v>
      </c>
      <c r="F13" s="29"/>
      <c r="G13" s="30">
        <f>H13+AC13+AT13</f>
        <v>104.4</v>
      </c>
      <c r="H13" s="17">
        <f>SUMIF(I$12:AB$12,"总值",I13:AB13)</f>
        <v>104.4</v>
      </c>
      <c r="I13" s="1625">
        <v>104.4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104.4</v>
      </c>
      <c r="BA13" s="13">
        <f>SUM(BB13:BK13)</f>
        <v>104.4</v>
      </c>
      <c r="BB13" s="13">
        <f>IF($D13="是",I13-J13,0)</f>
        <v>104.4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5" t="s">
        <v>1131</v>
      </c>
      <c r="B2" s="3535"/>
      <c r="C2" s="3535"/>
      <c r="D2" s="796" t="s">
        <v>1107</v>
      </c>
      <c r="E2" s="1638" t="s">
        <v>1108</v>
      </c>
      <c r="F2" s="2658"/>
      <c r="G2" s="2649"/>
      <c r="H2" s="2650"/>
      <c r="I2" s="2324" t="s">
        <v>1132</v>
      </c>
      <c r="J2" s="2658"/>
      <c r="K2" s="2658"/>
      <c r="L2" s="2658"/>
      <c r="M2" s="2658"/>
      <c r="N2" s="2660"/>
      <c r="O2" s="2658"/>
      <c r="P2" s="2658"/>
    </row>
    <row r="3" spans="1:16" ht="15.75" thickBot="1">
      <c r="A3" s="3536" t="s">
        <v>1105</v>
      </c>
      <c r="B3" s="3536"/>
      <c r="C3" s="3536"/>
      <c r="D3" s="43">
        <f>'数据-基础表'!AY6</f>
        <v>0</v>
      </c>
      <c r="E3" s="43">
        <f>'数据-基础表'!AZ5</f>
        <v>104.4</v>
      </c>
      <c r="F3" s="2658"/>
      <c r="G3" s="1144"/>
      <c r="H3" s="1025" t="s">
        <v>1106</v>
      </c>
      <c r="I3" s="855" t="e">
        <f>ROUND('数据-基础表'!B3/'数据-基础表'!A3,2)</f>
        <v>#DIV/0!</v>
      </c>
      <c r="J3" s="2658"/>
      <c r="K3" s="2658"/>
      <c r="L3" s="2658"/>
      <c r="M3" s="2658"/>
      <c r="N3" s="2660"/>
      <c r="O3" s="2658"/>
      <c r="P3" s="2658"/>
    </row>
    <row r="4" spans="1:16" ht="15">
      <c r="A4" s="3537"/>
      <c r="B4" s="3538"/>
      <c r="C4" s="3539"/>
      <c r="D4" s="1640" t="s">
        <v>1107</v>
      </c>
      <c r="E4" s="1641" t="s">
        <v>1108</v>
      </c>
      <c r="F4" s="2658"/>
      <c r="G4" s="2651" t="s">
        <v>1133</v>
      </c>
      <c r="H4" s="1025" t="s">
        <v>1113</v>
      </c>
      <c r="I4" s="855" t="e">
        <f>ROUND(SUMIF('数据-基础表'!I9:AS9,"地上",'数据-基础表'!I5:AS5)/'数据-基础表'!A3,2)</f>
        <v>#DIV/0!</v>
      </c>
      <c r="J4" s="2658"/>
      <c r="K4" s="2658"/>
      <c r="L4" s="2658"/>
      <c r="M4" s="2658"/>
      <c r="N4" s="2660"/>
      <c r="O4" s="2658"/>
      <c r="P4" s="2658"/>
    </row>
    <row r="5" spans="1:16">
      <c r="A5" s="44" t="s">
        <v>1109</v>
      </c>
      <c r="B5" s="3540" t="s">
        <v>1110</v>
      </c>
      <c r="C5" s="3540"/>
      <c r="D5" s="45">
        <f>ROUND($D$3*E5/$E$3,2)</f>
        <v>0</v>
      </c>
      <c r="E5" s="46">
        <f>SUMIF('数据-基础表'!$11:$11,"住宅",'数据-基础表'!$5:$5)</f>
        <v>0</v>
      </c>
      <c r="F5" s="2658"/>
      <c r="G5" s="1144"/>
      <c r="H5" s="1025" t="s">
        <v>1106</v>
      </c>
      <c r="I5" s="855" t="e">
        <f>ROUND(E31/D31,2)</f>
        <v>#DIV/0!</v>
      </c>
      <c r="J5" s="2658"/>
      <c r="K5" s="2658"/>
      <c r="L5" s="2658"/>
      <c r="M5" s="2658"/>
      <c r="N5" s="2658"/>
      <c r="O5" s="2658"/>
      <c r="P5" s="2658"/>
    </row>
    <row r="6" spans="1:16" ht="15" thickBot="1">
      <c r="A6" s="1643"/>
      <c r="B6" s="3540" t="s">
        <v>1111</v>
      </c>
      <c r="C6" s="3540"/>
      <c r="D6" s="45">
        <f>ROUND($D$3*E6/$E$3,2)</f>
        <v>0</v>
      </c>
      <c r="E6" s="46">
        <f>E3-E5</f>
        <v>104.4</v>
      </c>
      <c r="F6" s="2658"/>
      <c r="G6" s="2652" t="s">
        <v>1112</v>
      </c>
      <c r="H6" s="1145" t="s">
        <v>1113</v>
      </c>
      <c r="I6" s="2653" t="e">
        <f>ROUND(F31/D31,2)</f>
        <v>#DIV/0!</v>
      </c>
      <c r="J6" s="2658"/>
      <c r="K6" s="2658"/>
      <c r="L6" s="2658"/>
      <c r="M6" s="2658"/>
      <c r="N6" s="2658"/>
      <c r="O6" s="2658"/>
      <c r="P6" s="2658"/>
    </row>
    <row r="7" spans="1:16" ht="15.75" thickBot="1">
      <c r="A7" s="3532"/>
      <c r="B7" s="3533"/>
      <c r="C7" s="3534"/>
      <c r="D7" s="1640" t="s">
        <v>1107</v>
      </c>
      <c r="E7" s="1644" t="s">
        <v>1114</v>
      </c>
      <c r="F7" s="2658"/>
      <c r="G7" s="2654" t="s">
        <v>1115</v>
      </c>
      <c r="H7" s="2655"/>
      <c r="I7" s="2656">
        <v>2</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104.4</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104.4</v>
      </c>
      <c r="F16" s="2658"/>
      <c r="G16" s="2659"/>
      <c r="H16" s="1647" t="s">
        <v>1135</v>
      </c>
      <c r="I16" s="1648"/>
      <c r="J16" s="1138"/>
      <c r="K16" s="3529" t="s">
        <v>1135</v>
      </c>
      <c r="L16" s="3530"/>
      <c r="M16" s="3530"/>
      <c r="N16" s="3530"/>
      <c r="O16" s="3530"/>
      <c r="P16" s="3531"/>
    </row>
    <row r="17" spans="1:19" ht="15">
      <c r="A17" s="1649" t="s">
        <v>1136</v>
      </c>
      <c r="B17" s="1650" t="s">
        <v>1137</v>
      </c>
      <c r="C17" s="1651" t="s">
        <v>1138</v>
      </c>
      <c r="D17" s="1652" t="s">
        <v>1126</v>
      </c>
      <c r="E17" s="1653" t="s">
        <v>1127</v>
      </c>
      <c r="F17" s="1654"/>
      <c r="G17" s="1655"/>
      <c r="H17" s="1656" t="s">
        <v>1139</v>
      </c>
      <c r="I17" s="1657" t="s">
        <v>1124</v>
      </c>
      <c r="J17" s="1138"/>
      <c r="K17" s="3526" t="s">
        <v>1140</v>
      </c>
      <c r="L17" s="3527"/>
      <c r="M17" s="3528"/>
      <c r="N17" s="3526" t="s">
        <v>1141</v>
      </c>
      <c r="O17" s="3527"/>
      <c r="P17" s="3528"/>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5" t="s">
        <v>1150</v>
      </c>
      <c r="N18" s="1040" t="s">
        <v>1148</v>
      </c>
      <c r="O18" s="1665" t="s">
        <v>1149</v>
      </c>
      <c r="P18" s="855" t="s">
        <v>1150</v>
      </c>
      <c r="R18" s="1025" t="s">
        <v>1151</v>
      </c>
      <c r="S18" s="1025" t="s">
        <v>1152</v>
      </c>
    </row>
    <row r="19" spans="1:19">
      <c r="A19" s="1666"/>
      <c r="B19" s="47" t="s">
        <v>1125</v>
      </c>
      <c r="C19" s="3416" t="s">
        <v>3386</v>
      </c>
      <c r="D19" s="45">
        <f>ROUND($D$3*E19/$E$3,2)</f>
        <v>0</v>
      </c>
      <c r="E19" s="53">
        <f t="shared" ref="E19:E26" si="1">SUM(F19:G19)</f>
        <v>104.4</v>
      </c>
      <c r="F19" s="2794">
        <f>'数据-基础表'!I13</f>
        <v>104.4</v>
      </c>
      <c r="G19" s="2795"/>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104.4</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104.4</v>
      </c>
      <c r="F27" s="1139">
        <f>IF(SUM(F19:F26)=E8,SUM(F19:F26),"地上面积有误")</f>
        <v>104.4</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104.4</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5" t="s">
        <v>1158</v>
      </c>
      <c r="D31" s="676">
        <f>D27+D30</f>
        <v>0</v>
      </c>
      <c r="E31" s="676">
        <f>E27+E30</f>
        <v>104.4</v>
      </c>
      <c r="F31" s="677">
        <f>F27+F30</f>
        <v>104.4</v>
      </c>
      <c r="G31" s="678">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J24" sqref="J2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45108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3387</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50</v>
      </c>
      <c r="E6" s="857">
        <f>IF(B6="","",SUMIF(项目基本情况!C$12:I$12,C6,项目基本情况!C$13:I$13))</f>
        <v>56773</v>
      </c>
      <c r="F6" s="64">
        <f>SUMIF(项目基本情况!C$12:I$12,C6,项目基本情况!C$15:I$15)</f>
        <v>31.95</v>
      </c>
      <c r="G6" s="65">
        <f>IF(ISERROR(ROUND(POWER(1+H6,D6-F6)*(POWER(1+H6,F6)-1)/(POWER(1+H6,D6)-1),3)),0,ROUND(POWER(1+H6,D6-F6)*(POWER(1+H6,F6)-1)/(POWER(1+H6,D6)-1),3))</f>
        <v>0.86499999999999999</v>
      </c>
      <c r="H6" s="732">
        <v>0.05</v>
      </c>
      <c r="I6" s="732">
        <v>5.5E-2</v>
      </c>
      <c r="J6" s="66">
        <v>7.0000000000000007E-2</v>
      </c>
      <c r="K6" s="1029">
        <f>SUMIF('数据-汇总表'!C$19:C$33,A6,'数据-汇总表'!E$19:E$33)</f>
        <v>104.4</v>
      </c>
      <c r="L6" s="733">
        <v>4500</v>
      </c>
      <c r="M6" s="67">
        <f t="shared" ref="M6:M14" si="0">ROUND(K6*L6/10000,0)</f>
        <v>47</v>
      </c>
      <c r="N6" s="731">
        <f>N21</f>
        <v>0.87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3</v>
      </c>
      <c r="V6" s="70">
        <v>0.03</v>
      </c>
      <c r="W6" s="70">
        <v>0.1</v>
      </c>
      <c r="X6" s="1039"/>
      <c r="Y6" s="71">
        <f>N6</f>
        <v>0.87</v>
      </c>
      <c r="Z6" s="72"/>
      <c r="AA6" s="66"/>
      <c r="AB6" s="66"/>
      <c r="AC6" s="1039"/>
      <c r="AD6" s="73"/>
      <c r="AE6" s="1040">
        <f ca="1">IF(AN6="",0,SUMIF(INDIRECT("'"&amp;AN6&amp;"'"&amp;"!E:E"),$AE$5,INDIRECT("'"&amp;AN6&amp;"'"&amp;"!F:F")))</f>
        <v>31.95</v>
      </c>
      <c r="AF6" s="1347"/>
      <c r="AG6" s="138">
        <f>IF(AF6="",0,AE6-AF6)</f>
        <v>0</v>
      </c>
      <c r="AH6" s="74"/>
      <c r="AI6" s="76">
        <v>365</v>
      </c>
      <c r="AJ6" s="77"/>
      <c r="AK6" s="78">
        <v>0.01</v>
      </c>
      <c r="AL6" s="79">
        <v>1E-3</v>
      </c>
      <c r="AM6" s="80">
        <v>0.01</v>
      </c>
      <c r="AN6" s="1714" t="s">
        <v>3388</v>
      </c>
      <c r="AO6" s="52">
        <f ca="1">SUMIF(INDIRECT("'"&amp;AN6&amp;"'"&amp;"!A:A"),"总价",INDIRECT("'"&amp;AN6&amp;"'"&amp;"!B:B"))</f>
        <v>168.29249999999999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8"/>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0.86499999999999999</v>
      </c>
      <c r="H16" s="90">
        <f>ROUND(SUMPRODUCT(H6:H13,K6:K13)/SUMPRODUCT((H6:H13&gt;0)*(K6:K13)),3)</f>
        <v>0.05</v>
      </c>
      <c r="I16" s="91"/>
      <c r="J16" s="91"/>
      <c r="K16" s="92">
        <f>SUM(K6:K15)</f>
        <v>104.4</v>
      </c>
      <c r="L16" s="93">
        <f>ROUND(M16*10000/SUM(K6:K14),0)</f>
        <v>4502</v>
      </c>
      <c r="M16" s="93">
        <f>SUM(M6:M14)</f>
        <v>47</v>
      </c>
      <c r="N16" s="94">
        <f>ROUND(SUMPRODUCT(M6:M14,N6:N14)/M16,3)</f>
        <v>0.87</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v>2015</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f>ROUND(1-(2023-N20)/60,2)</f>
        <v>0.87</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f ca="1">结果表!G20</f>
        <v>15621</v>
      </c>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(元)'!C10</f>
        <v>20880</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41" t="s">
        <v>2285</v>
      </c>
      <c r="B1" s="3542"/>
      <c r="C1" s="3542"/>
      <c r="D1" s="3542"/>
      <c r="E1" s="3542"/>
      <c r="F1" s="3542"/>
      <c r="G1" s="354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420.24</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45108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650</v>
      </c>
      <c r="C5" s="2511">
        <f ca="1">IF(B5=D14,结果表!H102,ROUND(B5*10000/$B$1,0))</f>
        <v>15621</v>
      </c>
      <c r="D5" s="2511" t="e">
        <f ca="1">ROUND(B5*10000/$B$2,0)</f>
        <v>#DIV/0!</v>
      </c>
      <c r="E5" s="2685"/>
      <c r="F5" s="2686"/>
      <c r="G5" s="2686"/>
      <c r="H5" s="2687"/>
      <c r="I5" s="2687"/>
      <c r="J5" s="2687"/>
      <c r="K5" s="2687"/>
    </row>
    <row r="6" spans="1:11" ht="16.5">
      <c r="A6" s="2511" t="s">
        <v>656</v>
      </c>
      <c r="B6" s="2511">
        <f>SUM(G14:G23)</f>
        <v>0</v>
      </c>
      <c r="C6" s="2511">
        <f ca="1">IF(B6=G14,结果表!H108,ROUND(B6*10000/$B$1,0))</f>
        <v>15621</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420.24</v>
      </c>
      <c r="C14" s="2517"/>
      <c r="D14" s="2517">
        <f ca="1">典型户型修正!B20</f>
        <v>650</v>
      </c>
      <c r="E14" s="2517">
        <f ca="1">ROUND(D14*10000/B14,0)</f>
        <v>15467</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37" sqref="L3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77" t="str">
        <f>项目基本情况!S2</f>
        <v>北京市房地产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3" t="s">
        <v>1265</v>
      </c>
      <c r="B4" s="1754" t="s">
        <v>1266</v>
      </c>
      <c r="C4" s="1755" t="s">
        <v>3400</v>
      </c>
      <c r="D4" s="1755" t="s">
        <v>3388</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c r="D5" s="3580"/>
      <c r="E5" s="131" t="s">
        <v>1269</v>
      </c>
      <c r="F5" s="1756"/>
      <c r="G5" s="1756"/>
      <c r="H5" s="1756"/>
      <c r="I5" s="1372"/>
    </row>
    <row r="6" spans="1:12" ht="12.75">
      <c r="A6" s="3557"/>
      <c r="B6" s="3544"/>
      <c r="C6" s="3561"/>
      <c r="D6" s="3580"/>
      <c r="E6" s="131" t="s">
        <v>1270</v>
      </c>
      <c r="F6" s="1756"/>
      <c r="G6" s="1756"/>
      <c r="H6" s="1756"/>
      <c r="I6" s="1372"/>
    </row>
    <row r="7" spans="1:12" ht="12.75">
      <c r="A7" s="3557"/>
      <c r="B7" s="3544"/>
      <c r="C7" s="3562"/>
      <c r="D7" s="3580"/>
      <c r="E7" s="131" t="s">
        <v>1271</v>
      </c>
      <c r="F7" s="1756"/>
      <c r="G7" s="1756"/>
      <c r="H7" s="1756"/>
      <c r="I7" s="1372"/>
    </row>
    <row r="8" spans="1:12" ht="12.75">
      <c r="A8" s="3557" t="s">
        <v>1272</v>
      </c>
      <c r="B8" s="3544">
        <v>15</v>
      </c>
      <c r="C8" s="3560"/>
      <c r="D8" s="3580"/>
      <c r="E8" s="131" t="s">
        <v>1273</v>
      </c>
      <c r="F8" s="1756"/>
      <c r="G8" s="1756"/>
      <c r="H8" s="1756"/>
      <c r="I8" s="1372"/>
    </row>
    <row r="9" spans="1:12" ht="12.75">
      <c r="A9" s="3557"/>
      <c r="B9" s="3544"/>
      <c r="C9" s="3562"/>
      <c r="D9" s="3580"/>
      <c r="E9" s="131" t="s">
        <v>1274</v>
      </c>
      <c r="F9" s="1756"/>
      <c r="G9" s="1756"/>
      <c r="H9" s="1756"/>
      <c r="I9" s="1372"/>
    </row>
    <row r="10" spans="1:12" ht="12.75">
      <c r="A10" s="3557" t="s">
        <v>1275</v>
      </c>
      <c r="B10" s="3544">
        <v>15</v>
      </c>
      <c r="C10" s="3560"/>
      <c r="D10" s="3580"/>
      <c r="E10" s="131" t="s">
        <v>1276</v>
      </c>
      <c r="F10" s="1756"/>
      <c r="G10" s="1756"/>
      <c r="H10" s="1756"/>
      <c r="I10" s="1372"/>
    </row>
    <row r="11" spans="1:12" ht="12.75">
      <c r="A11" s="3557"/>
      <c r="B11" s="3544"/>
      <c r="C11" s="3562"/>
      <c r="D11" s="3580"/>
      <c r="E11" s="131" t="s">
        <v>1277</v>
      </c>
      <c r="F11" s="1756"/>
      <c r="G11" s="1756"/>
      <c r="H11" s="1756"/>
      <c r="I11" s="1372"/>
    </row>
    <row r="12" spans="1:12" ht="12.75">
      <c r="A12" s="3557" t="s">
        <v>1278</v>
      </c>
      <c r="B12" s="3544">
        <v>15</v>
      </c>
      <c r="C12" s="3560"/>
      <c r="D12" s="3580"/>
      <c r="E12" s="131" t="s">
        <v>1279</v>
      </c>
      <c r="F12" s="1756"/>
      <c r="G12" s="1756"/>
      <c r="H12" s="1756"/>
      <c r="I12" s="1372"/>
    </row>
    <row r="13" spans="1:12" ht="12.75">
      <c r="A13" s="3557"/>
      <c r="B13" s="3544"/>
      <c r="C13" s="3562"/>
      <c r="D13" s="3580"/>
      <c r="E13" s="131" t="s">
        <v>1280</v>
      </c>
      <c r="F13" s="1756"/>
      <c r="G13" s="1756"/>
      <c r="H13" s="1756"/>
      <c r="I13" s="1372"/>
    </row>
    <row r="14" spans="1:12" ht="12.75">
      <c r="A14" s="3557" t="s">
        <v>1281</v>
      </c>
      <c r="B14" s="3544">
        <v>30</v>
      </c>
      <c r="C14" s="3560">
        <v>5</v>
      </c>
      <c r="D14" s="3580">
        <v>5</v>
      </c>
      <c r="E14" s="131" t="s">
        <v>1282</v>
      </c>
      <c r="F14" s="1756"/>
      <c r="G14" s="1756"/>
      <c r="H14" s="1756"/>
      <c r="I14" s="1372"/>
    </row>
    <row r="15" spans="1:12" ht="12.75">
      <c r="A15" s="3557"/>
      <c r="B15" s="3544"/>
      <c r="C15" s="3561"/>
      <c r="D15" s="3580"/>
      <c r="E15" s="131" t="s">
        <v>1283</v>
      </c>
      <c r="F15" s="1756"/>
      <c r="G15" s="1756"/>
      <c r="H15" s="1756"/>
      <c r="I15" s="1372"/>
    </row>
    <row r="16" spans="1:12" ht="12.75">
      <c r="A16" s="3557"/>
      <c r="B16" s="3544"/>
      <c r="C16" s="3562"/>
      <c r="D16" s="3580"/>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567" t="s">
        <v>2130</v>
      </c>
      <c r="F18" s="3568"/>
      <c r="G18" s="3568"/>
      <c r="H18" s="3568"/>
      <c r="I18" s="3568"/>
      <c r="K18" s="302" t="s">
        <v>1289</v>
      </c>
      <c r="L18" s="302">
        <f>IF(C1="",'数据-汇总表'!E3,SUMIF(项目类型,C1,'数据-汇总表'!E17:E26)+SUMIF(项目类型,C1,'数据-汇总表'!I17:I26))</f>
        <v>104.4</v>
      </c>
      <c r="M18" s="302">
        <f>IF(C1="",'数据-汇总表'!E3,SUMIF(项目类型,C1,'数据-汇总表'!E17:E26))</f>
        <v>104.4</v>
      </c>
    </row>
    <row r="19" spans="1:36" ht="15">
      <c r="A19" s="1760" t="s">
        <v>1290</v>
      </c>
      <c r="B19" s="1761" t="s">
        <v>1291</v>
      </c>
      <c r="C19" s="134">
        <f ca="1">SUMIF(INDIRECT("'"&amp;C4&amp;"'"&amp;"!A:A"),结果表!B19,INDIRECT("'"&amp;C4&amp;"'"&amp;"!B:B"))</f>
        <v>157.86699999999999</v>
      </c>
      <c r="D19" s="135">
        <f ca="1">SUMIF(INDIRECT("'"&amp;D4&amp;"'"&amp;"!A:A"),结果表!B19,INDIRECT("'"&amp;D4&amp;"'"&amp;"!B:B"))</f>
        <v>168.29249999999999</v>
      </c>
      <c r="E19" s="1760" t="s">
        <v>1292</v>
      </c>
      <c r="F19" s="1761" t="s">
        <v>1291</v>
      </c>
      <c r="G19" s="136">
        <f ca="1">ROUND(C19*$C$18+D19*$D$18,0)</f>
        <v>163</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15121</v>
      </c>
      <c r="D20" s="138">
        <f ca="1">SUMIF(INDIRECT("'"&amp;D4&amp;"'"&amp;"!A:A"),结果表!B20,INDIRECT("'"&amp;D4&amp;"'"&amp;"!B:B"))</f>
        <v>16120</v>
      </c>
      <c r="E20" s="1763"/>
      <c r="F20" s="1025" t="s">
        <v>1295</v>
      </c>
      <c r="G20" s="139">
        <f ca="1">ROUND(C20*$C$18+D20*$D$18,0)</f>
        <v>15621</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6.6039767652517734E-2</v>
      </c>
      <c r="E22" s="129"/>
      <c r="F22" s="129"/>
      <c r="G22" s="129"/>
      <c r="H22" s="129"/>
      <c r="I22" s="129"/>
    </row>
    <row r="23" spans="1:36" ht="13.5" thickBot="1">
      <c r="A23" s="1746"/>
      <c r="B23" s="1746"/>
      <c r="C23" s="1746"/>
      <c r="D23" s="1746"/>
      <c r="E23" s="129"/>
      <c r="F23" s="129"/>
      <c r="G23" s="129"/>
      <c r="H23" s="129"/>
      <c r="I23" s="129"/>
    </row>
    <row r="24" spans="1:36" ht="14.25">
      <c r="A24" s="3551" t="s">
        <v>1299</v>
      </c>
      <c r="B24" s="1761" t="s">
        <v>1291</v>
      </c>
      <c r="C24" s="136">
        <f>IF(B30=0,0,D30)</f>
        <v>0</v>
      </c>
      <c r="D24" s="1768"/>
      <c r="E24" s="129"/>
      <c r="F24" s="129"/>
      <c r="G24" s="129"/>
      <c r="H24" s="129"/>
      <c r="I24" s="129"/>
    </row>
    <row r="25" spans="1:36" ht="14.25">
      <c r="A25" s="3552"/>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15621</v>
      </c>
      <c r="D32" s="1774" t="s">
        <v>3416</v>
      </c>
      <c r="E32" s="129"/>
      <c r="F32" s="129"/>
      <c r="G32" s="129"/>
      <c r="H32" s="129"/>
      <c r="I32" s="129"/>
    </row>
    <row r="33" spans="1:15" ht="15">
      <c r="A33" s="786" t="s">
        <v>1306</v>
      </c>
      <c r="B33" s="1775"/>
      <c r="C33" s="1776" t="s">
        <v>3417</v>
      </c>
      <c r="D33" s="1777"/>
      <c r="E33" s="1778" t="s">
        <v>1307</v>
      </c>
      <c r="F33" s="1779" t="str">
        <f>IF(D32="楼面单价","取值（单价）","取值（总价）")</f>
        <v>取值（单价）</v>
      </c>
      <c r="G33" s="129"/>
      <c r="H33" s="129"/>
      <c r="I33" s="129"/>
    </row>
    <row r="34" spans="1:15" ht="15">
      <c r="A34" s="1780"/>
      <c r="B34" s="1781" t="s">
        <v>1308</v>
      </c>
      <c r="C34" s="148">
        <f>IF(C33="自定义",F34,C32-C35)</f>
        <v>0</v>
      </c>
      <c r="D34" s="861">
        <f ca="1">IF(C33="自定义",ROUND(C34/C32,3),IF(C33="收益比率",SUMIF(INDIRECT("'"&amp;D33&amp;"'"&amp;"!b:b"),"土地收益比率",INDIRECT("'"&amp;D33&amp;"'"&amp;"!c:c")),SUMIF(INDIRECT("'"&amp;D33&amp;"'"&amp;"!b:b"),"土地成本比率",INDIRECT("'"&amp;D33&amp;"'"&amp;"!c:c"))))</f>
        <v>0</v>
      </c>
      <c r="E34" s="1782" t="s">
        <v>1309</v>
      </c>
      <c r="F34" s="1329"/>
      <c r="G34" s="129"/>
      <c r="H34" s="129"/>
      <c r="I34" s="129"/>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4"/>
      <c r="G35" s="129"/>
      <c r="H35" s="129"/>
      <c r="I35" s="129"/>
    </row>
    <row r="36" spans="1:15" ht="15.75" thickBot="1">
      <c r="A36" s="3571" t="s">
        <v>1312</v>
      </c>
      <c r="B36" s="1786" t="s">
        <v>1313</v>
      </c>
      <c r="C36" s="145"/>
      <c r="D36" s="1787"/>
      <c r="E36" s="1788"/>
      <c r="F36" s="1789"/>
      <c r="G36" s="129"/>
      <c r="H36" s="129"/>
      <c r="I36" s="129"/>
    </row>
    <row r="37" spans="1:15" ht="15.75" thickBot="1">
      <c r="A37" s="3572"/>
      <c r="B37" s="1673" t="s">
        <v>1314</v>
      </c>
      <c r="C37" s="147"/>
      <c r="D37" s="1138"/>
      <c r="E37" s="1138"/>
      <c r="F37" s="1789"/>
      <c r="G37" s="129"/>
      <c r="H37" s="129"/>
      <c r="I37" s="129"/>
    </row>
    <row r="38" spans="1:15" ht="15.75" thickBot="1">
      <c r="A38" s="3573"/>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48" t="s">
        <v>1326</v>
      </c>
      <c r="B45" s="3549"/>
      <c r="C45" s="3550"/>
      <c r="D45" s="155">
        <f ca="1">ROUND(H101*F45,0)</f>
        <v>163</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5"/>
      <c r="I46" s="159"/>
      <c r="J46" s="2522">
        <v>1</v>
      </c>
      <c r="K46" s="3607" t="s">
        <v>1331</v>
      </c>
      <c r="L46" s="3607"/>
      <c r="M46" s="3627"/>
      <c r="N46" s="3627"/>
      <c r="O46" s="3627"/>
    </row>
    <row r="47" spans="1:15" ht="12" customHeight="1">
      <c r="A47" s="160" t="s">
        <v>1332</v>
      </c>
      <c r="B47" s="161"/>
      <c r="C47" s="162"/>
      <c r="D47" s="1086" t="s">
        <v>1333</v>
      </c>
      <c r="E47" s="302" t="s">
        <v>1334</v>
      </c>
      <c r="F47" s="163" t="s">
        <v>1335</v>
      </c>
      <c r="G47" s="2545" t="s">
        <v>1336</v>
      </c>
      <c r="H47" s="2546"/>
      <c r="I47" s="159"/>
      <c r="J47" s="2522">
        <v>2</v>
      </c>
      <c r="K47" s="3607" t="s">
        <v>1337</v>
      </c>
      <c r="L47" s="3607"/>
      <c r="M47" s="3628">
        <f>'数据-取费表'!B2</f>
        <v>45108</v>
      </c>
      <c r="N47" s="3628"/>
      <c r="O47" s="3628"/>
    </row>
    <row r="48" spans="1:15" ht="25.5">
      <c r="A48" s="3576" t="s">
        <v>1338</v>
      </c>
      <c r="B48" s="3559"/>
      <c r="C48" s="3559"/>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07" t="s">
        <v>1340</v>
      </c>
      <c r="L48" s="3607"/>
      <c r="M48" s="3629">
        <f ca="1">H101</f>
        <v>163</v>
      </c>
      <c r="N48" s="3629"/>
      <c r="O48" s="3629"/>
    </row>
    <row r="49" spans="1:35" ht="25.5" customHeight="1">
      <c r="A49" s="2332" t="s">
        <v>1341</v>
      </c>
      <c r="B49" s="3543" t="s">
        <v>1342</v>
      </c>
      <c r="C49" s="3543"/>
      <c r="D49" s="1589">
        <v>0</v>
      </c>
      <c r="E49" s="324" t="s">
        <v>1343</v>
      </c>
      <c r="F49" s="2423" t="s">
        <v>28</v>
      </c>
      <c r="G49" s="3613"/>
      <c r="H49" s="2309" t="s">
        <v>2133</v>
      </c>
      <c r="I49" s="2310"/>
      <c r="J49" s="2522">
        <v>4</v>
      </c>
      <c r="K49" s="3607" t="str">
        <f>IF(项目基本情况!E8="房地产抵押价值","房地产抵押价值","抵押担保权已注销时的房地产抵押价值")</f>
        <v>抵押担保权已注销时的房地产抵押价值</v>
      </c>
      <c r="L49" s="3607"/>
      <c r="M49" s="3629" t="str">
        <f>IF(项目基本情况!E8="房地产抵押价值",H107,H109)</f>
        <v>——</v>
      </c>
      <c r="N49" s="3629"/>
      <c r="O49" s="3629"/>
    </row>
    <row r="50" spans="1:35" ht="25.5" customHeight="1">
      <c r="A50" s="2550"/>
      <c r="B50" s="3543" t="s">
        <v>1344</v>
      </c>
      <c r="C50" s="3543"/>
      <c r="D50" s="2551"/>
      <c r="E50" s="332"/>
      <c r="F50" s="2423"/>
      <c r="G50" s="3614"/>
      <c r="H50" s="2311" t="s">
        <v>2134</v>
      </c>
      <c r="I50" s="2310"/>
      <c r="J50" s="3626" t="s">
        <v>1345</v>
      </c>
      <c r="K50" s="3626"/>
      <c r="L50" s="3626"/>
      <c r="M50" s="3626"/>
      <c r="N50" s="3626"/>
      <c r="O50" s="3626"/>
    </row>
    <row r="51" spans="1:35" ht="20.45" customHeight="1">
      <c r="A51" s="2552"/>
      <c r="B51" s="3543" t="s">
        <v>1346</v>
      </c>
      <c r="C51" s="3543"/>
      <c r="D51" s="1086"/>
      <c r="E51" s="327"/>
      <c r="F51" s="2423"/>
      <c r="G51" s="3615"/>
      <c r="H51" s="2311" t="s">
        <v>2135</v>
      </c>
      <c r="I51" s="2310"/>
      <c r="J51" s="2523" t="s">
        <v>1347</v>
      </c>
      <c r="K51" s="3607" t="s">
        <v>1348</v>
      </c>
      <c r="L51" s="3607"/>
      <c r="M51" s="2523" t="s">
        <v>1349</v>
      </c>
      <c r="N51" s="2523" t="s">
        <v>1350</v>
      </c>
      <c r="O51" s="2523" t="s">
        <v>1351</v>
      </c>
    </row>
    <row r="52" spans="1:35" ht="24" customHeight="1">
      <c r="A52" s="2334" t="s">
        <v>1352</v>
      </c>
      <c r="B52" s="3543" t="s">
        <v>1353</v>
      </c>
      <c r="C52" s="3543"/>
      <c r="D52" s="1086">
        <f ca="1">ROUND(D45*'数据-取费表'!B41/(1+'数据-取费表'!C42),0)</f>
        <v>9</v>
      </c>
      <c r="E52" s="2333" t="s">
        <v>1354</v>
      </c>
      <c r="F52" s="2553">
        <f>'数据-取费表'!B41</f>
        <v>5.5000000000000007E-2</v>
      </c>
      <c r="G52" s="2554"/>
      <c r="H52" s="2543"/>
      <c r="I52" s="1806"/>
      <c r="J52" s="2522">
        <v>1</v>
      </c>
      <c r="K52" s="3608" t="s">
        <v>1355</v>
      </c>
      <c r="L52" s="3608"/>
      <c r="M52" s="2524" t="b">
        <f>D48</f>
        <v>0</v>
      </c>
      <c r="N52" s="2522" t="str">
        <f>E48</f>
        <v>销售额×税（费）率</v>
      </c>
      <c r="O52" s="2525">
        <f>F48</f>
        <v>5.5000000000000007E-2</v>
      </c>
    </row>
    <row r="53" spans="1:35" ht="12" customHeight="1">
      <c r="A53" s="2334" t="s">
        <v>1356</v>
      </c>
      <c r="B53" s="3569" t="s">
        <v>2290</v>
      </c>
      <c r="C53" s="3570"/>
      <c r="D53" s="1086">
        <f ca="1">ROUND(D45*'数据-取费表'!B41/(1+'数据-取费表'!C42),0)</f>
        <v>9</v>
      </c>
      <c r="E53" s="2333" t="s">
        <v>1354</v>
      </c>
      <c r="F53" s="2553">
        <f>'数据-取费表'!B41</f>
        <v>5.5000000000000007E-2</v>
      </c>
      <c r="G53" s="2554"/>
      <c r="H53" s="2543"/>
      <c r="I53" s="1806"/>
      <c r="J53" s="2522">
        <v>2</v>
      </c>
      <c r="K53" s="3608" t="s">
        <v>1357</v>
      </c>
      <c r="L53" s="3608"/>
      <c r="M53" s="2524">
        <f t="shared" ref="M53:O54" ca="1" si="0">D55</f>
        <v>0</v>
      </c>
      <c r="N53" s="2522" t="str">
        <f t="shared" si="0"/>
        <v>销售额×税（费）率</v>
      </c>
      <c r="O53" s="2525" t="str">
        <f t="shared" si="0"/>
        <v>免征</v>
      </c>
    </row>
    <row r="54" spans="1:35" ht="12" customHeight="1">
      <c r="A54" s="2334" t="s">
        <v>1358</v>
      </c>
      <c r="B54" s="3569" t="s">
        <v>2291</v>
      </c>
      <c r="C54" s="3570"/>
      <c r="D54" s="1086">
        <f ca="1">C68</f>
        <v>9</v>
      </c>
      <c r="E54" s="327" t="s">
        <v>1359</v>
      </c>
      <c r="F54" s="2553">
        <f>'数据-取费表'!B41</f>
        <v>5.5000000000000007E-2</v>
      </c>
      <c r="G54" s="2554"/>
      <c r="H54" s="2555"/>
      <c r="I54" s="1806"/>
      <c r="J54" s="2522">
        <v>3</v>
      </c>
      <c r="K54" s="3608" t="s">
        <v>1360</v>
      </c>
      <c r="L54" s="3608"/>
      <c r="M54" s="2524">
        <f t="shared" ca="1" si="0"/>
        <v>92</v>
      </c>
      <c r="N54" s="2522" t="str">
        <f t="shared" si="0"/>
        <v>增值额×税（费）率</v>
      </c>
      <c r="O54" s="2526" t="str">
        <f t="shared" si="0"/>
        <v>免征</v>
      </c>
    </row>
    <row r="55" spans="1:35" ht="24" customHeight="1">
      <c r="A55" s="3558" t="s">
        <v>1361</v>
      </c>
      <c r="B55" s="3559"/>
      <c r="C55" s="3559"/>
      <c r="D55" s="2323">
        <f ca="1">IF(H55="个人住宅",0,ROUND(D45*I55,0))</f>
        <v>0</v>
      </c>
      <c r="E55" s="2333" t="s">
        <v>1362</v>
      </c>
      <c r="F55" s="2553" t="str">
        <f>IF(H55="正常",I55,"免征")</f>
        <v>免征</v>
      </c>
      <c r="G55" s="2554"/>
      <c r="H55" s="2549"/>
      <c r="I55" s="165">
        <f>'数据-取费表'!B49</f>
        <v>5.0000000000000001E-4</v>
      </c>
      <c r="J55" s="2522">
        <f>IF(H59="非个人房产","",4)</f>
        <v>4</v>
      </c>
      <c r="K55" s="3608" t="str">
        <f>IF(H59="非个人房产","——","个人所得税")</f>
        <v>个人所得税</v>
      </c>
      <c r="L55" s="3608"/>
      <c r="M55" s="2527">
        <f ca="1">D59</f>
        <v>2</v>
      </c>
      <c r="N55" s="2039" t="str">
        <f>E59</f>
        <v>差额计税</v>
      </c>
      <c r="O55" s="2528">
        <f>F59</f>
        <v>0.01</v>
      </c>
    </row>
    <row r="56" spans="1:35" ht="24.75">
      <c r="A56" s="3558" t="s">
        <v>1363</v>
      </c>
      <c r="B56" s="3559"/>
      <c r="C56" s="3559"/>
      <c r="D56" s="2323">
        <f ca="1">IF(H56="个人住宅",D57,D58)</f>
        <v>92</v>
      </c>
      <c r="E56" s="2333" t="s">
        <v>1364</v>
      </c>
      <c r="F56" s="2553" t="str">
        <f>IF(H56="正常",F58,"免征")</f>
        <v>免征</v>
      </c>
      <c r="G56" s="2556" t="s">
        <v>1365</v>
      </c>
      <c r="H56" s="2557"/>
      <c r="I56" s="1807"/>
      <c r="J56" s="2522" t="str">
        <f>IF(项目基本情况!K6="上海银行",IF(J55="",4,J55+1),"")</f>
        <v/>
      </c>
      <c r="K56" s="3631" t="str">
        <f>IF(项目基本情况!K6="上海银行","其他处置费用","")</f>
        <v/>
      </c>
      <c r="L56" s="3632"/>
      <c r="M56" s="2524" t="str">
        <f>IF(项目基本情况!K6="上海银行",M69,"")</f>
        <v/>
      </c>
      <c r="N56" s="3631" t="str">
        <f>IF(项目基本情况!K6="上海银行","包含处置中涉及的律师、诉讼、拍卖、评估等费用","")</f>
        <v/>
      </c>
      <c r="O56" s="3634"/>
    </row>
    <row r="57" spans="1:35" ht="12.75">
      <c r="A57" s="2334" t="s">
        <v>1341</v>
      </c>
      <c r="B57" s="3569" t="s">
        <v>1366</v>
      </c>
      <c r="C57" s="3570"/>
      <c r="D57" s="1589">
        <v>0</v>
      </c>
      <c r="E57" s="324" t="s">
        <v>1343</v>
      </c>
      <c r="F57" s="302"/>
      <c r="G57" s="2554"/>
      <c r="H57" s="2558"/>
      <c r="I57" s="1807"/>
      <c r="J57" s="3608">
        <f>IF(AND(J55="",J56=""),4,IF(项目基本情况!K6="上海银行",结果表!J56+1,结果表!J55+1))</f>
        <v>5</v>
      </c>
      <c r="K57" s="3608" t="s">
        <v>1367</v>
      </c>
      <c r="L57" s="2529" t="s">
        <v>1368</v>
      </c>
      <c r="M57" s="2530"/>
      <c r="N57" s="2531">
        <f ca="1">SUMIF(M52:M56,"&lt;9e307")</f>
        <v>94</v>
      </c>
      <c r="O57" s="2532"/>
      <c r="P57" s="2689" t="e">
        <f ca="1">N57/M49</f>
        <v>#VALUE!</v>
      </c>
    </row>
    <row r="58" spans="1:35" ht="24.75">
      <c r="A58" s="2334" t="s">
        <v>1352</v>
      </c>
      <c r="B58" s="3569" t="s">
        <v>1369</v>
      </c>
      <c r="C58" s="3543"/>
      <c r="D58" s="2323">
        <f ca="1">IF(H58="转让取得",C81,C97)</f>
        <v>92</v>
      </c>
      <c r="E58" s="2333" t="s">
        <v>1364</v>
      </c>
      <c r="F58" s="302" t="s">
        <v>28</v>
      </c>
      <c r="G58" s="2554"/>
      <c r="H58" s="2557"/>
      <c r="I58" s="1807"/>
      <c r="J58" s="3608"/>
      <c r="K58" s="3608"/>
      <c r="L58" s="2529" t="s">
        <v>1370</v>
      </c>
      <c r="M58" s="2533"/>
      <c r="N58" s="2534" t="str">
        <f ca="1">NUMBERSTRING(INT(N57*10000),2)&amp;"元整"</f>
        <v>玖拾肆万元整</v>
      </c>
      <c r="O58" s="2535"/>
    </row>
    <row r="59" spans="1:35" ht="24.75" thickBot="1">
      <c r="A59" s="3611" t="s">
        <v>1371</v>
      </c>
      <c r="B59" s="3612"/>
      <c r="C59" s="3612"/>
      <c r="D59" s="2559">
        <f ca="1">IF(H59="非个人房产","——",IF(H59="个人住宅（满五唯一有凭证）",0,IF(H59="个人其他（无凭证）",ROUND(D45*F59,0),ROUND(C67*F59,0))))</f>
        <v>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09">
        <f>J57+1</f>
        <v>6</v>
      </c>
      <c r="K59" s="3608" t="s">
        <v>1372</v>
      </c>
      <c r="L59" s="2522" t="s">
        <v>1368</v>
      </c>
      <c r="M59" s="2536"/>
      <c r="N59" s="2537" t="e">
        <f ca="1">M49-N57</f>
        <v>#VALUE!</v>
      </c>
      <c r="O59" s="2538"/>
    </row>
    <row r="60" spans="1:35" ht="12" customHeight="1">
      <c r="A60" s="1808"/>
      <c r="B60" s="1746"/>
      <c r="C60" s="1746"/>
      <c r="D60" s="1746"/>
      <c r="E60" s="1577"/>
      <c r="F60" s="1807"/>
      <c r="G60" s="1807"/>
      <c r="H60" s="1809"/>
      <c r="I60" s="129"/>
      <c r="J60" s="3610"/>
      <c r="K60" s="3608"/>
      <c r="L60" s="2529" t="s">
        <v>1370</v>
      </c>
      <c r="M60" s="2533"/>
      <c r="N60" s="2534" t="e">
        <f ca="1">NUMBERSTRING(INT(N59*10000),2)&amp;"元整"</f>
        <v>#VALUE!</v>
      </c>
      <c r="O60" s="2535"/>
    </row>
    <row r="61" spans="1:35" ht="13.5" thickBot="1">
      <c r="A61" s="3556" t="s">
        <v>1373</v>
      </c>
      <c r="B61" s="3556"/>
      <c r="C61" s="3556"/>
      <c r="D61" s="3556"/>
      <c r="E61" s="3556"/>
      <c r="F61" s="1807"/>
      <c r="G61" s="1807"/>
      <c r="H61" s="1809"/>
      <c r="I61" s="129"/>
      <c r="J61" s="2522">
        <f>J59+1</f>
        <v>7</v>
      </c>
      <c r="K61" s="3608" t="s">
        <v>1374</v>
      </c>
      <c r="L61" s="3608"/>
      <c r="M61" s="2539"/>
      <c r="N61" s="2540" t="e">
        <f ca="1">ROUND(N59*10000/'数据-汇总表'!E3,0)</f>
        <v>#VALUE!</v>
      </c>
      <c r="O61" s="2541"/>
    </row>
    <row r="62" spans="1:35" ht="12.75">
      <c r="A62" s="3574" t="s">
        <v>1375</v>
      </c>
      <c r="B62" s="3575"/>
      <c r="C62" s="2020"/>
      <c r="D62" s="2020" t="s">
        <v>1376</v>
      </c>
      <c r="E62" s="166" t="s">
        <v>1377</v>
      </c>
      <c r="F62" s="1807"/>
      <c r="G62" s="1807"/>
      <c r="H62" s="1809"/>
      <c r="I62" s="129"/>
    </row>
    <row r="63" spans="1:35" ht="12.75">
      <c r="A63" s="173" t="s">
        <v>330</v>
      </c>
      <c r="B63" s="167" t="s">
        <v>1378</v>
      </c>
      <c r="C63" s="2563">
        <f ca="1">ROUND((C64+C65)/(1+'数据-取费表'!C42),0)</f>
        <v>155</v>
      </c>
      <c r="D63" s="167"/>
      <c r="E63" s="168"/>
      <c r="F63" s="1807"/>
      <c r="G63" s="1807"/>
      <c r="H63" s="1809"/>
      <c r="I63" s="129"/>
      <c r="J63" s="3633"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f ca="1">D45</f>
        <v>163</v>
      </c>
      <c r="D64" s="170" t="s">
        <v>26</v>
      </c>
      <c r="E64" s="172"/>
      <c r="F64" s="1807"/>
      <c r="G64" s="1807"/>
      <c r="H64" s="1809"/>
      <c r="I64" s="129"/>
      <c r="J64" s="3633"/>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633"/>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633"/>
      <c r="K66" s="1331" t="s">
        <v>1387</v>
      </c>
      <c r="L66" s="1331" t="e">
        <f>M49*0.5%</f>
        <v>#VALUE!</v>
      </c>
      <c r="M66" s="302" t="e">
        <f>IF(L66&gt;0.5,0.5,ROUND(L66,0))</f>
        <v>#VALUE!</v>
      </c>
      <c r="N66" s="2543" t="s">
        <v>1388</v>
      </c>
      <c r="Z66" s="1751"/>
      <c r="AI66" s="1752"/>
    </row>
    <row r="67" spans="1:35" ht="14.25" customHeight="1">
      <c r="A67" s="173" t="s">
        <v>328</v>
      </c>
      <c r="B67" s="174" t="s">
        <v>1389</v>
      </c>
      <c r="C67" s="2567">
        <f ca="1">C63-C66</f>
        <v>155</v>
      </c>
      <c r="D67" s="170" t="s">
        <v>26</v>
      </c>
      <c r="E67" s="172"/>
      <c r="F67" s="1807"/>
      <c r="G67" s="1807"/>
      <c r="H67" s="1809"/>
      <c r="I67" s="129"/>
      <c r="J67" s="3633"/>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f ca="1">IF(C67&lt;=0,0,ROUND(C67*D68,0))</f>
        <v>9</v>
      </c>
      <c r="D68" s="2569">
        <f>'数据-取费表'!B41</f>
        <v>5.5000000000000007E-2</v>
      </c>
      <c r="E68" s="178"/>
      <c r="F68" s="1807"/>
      <c r="G68" s="1807"/>
      <c r="H68" s="1809"/>
      <c r="I68" s="129"/>
      <c r="J68" s="3633"/>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633"/>
      <c r="K69" s="1331" t="s">
        <v>1393</v>
      </c>
      <c r="L69" s="1331"/>
      <c r="M69" s="302" t="e">
        <f>ROUND(SUM(M63:M68),0)</f>
        <v>#VALUE!</v>
      </c>
      <c r="N69" s="254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595" t="s">
        <v>1394</v>
      </c>
      <c r="B70" s="3596"/>
      <c r="C70" s="3596"/>
      <c r="D70" s="3596"/>
      <c r="E70" s="3596"/>
      <c r="F70" s="3596"/>
      <c r="G70" s="3596"/>
      <c r="H70" s="359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4" t="s">
        <v>1375</v>
      </c>
      <c r="B71" s="3575"/>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155</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69" t="s">
        <v>1402</v>
      </c>
      <c r="F76" s="3543"/>
      <c r="G76" s="3543"/>
      <c r="H76" s="359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553" t="s">
        <v>1406</v>
      </c>
      <c r="F78" s="3554"/>
      <c r="G78" s="3554"/>
      <c r="H78" s="356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154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154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92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5" t="s">
        <v>1410</v>
      </c>
      <c r="B83" s="3596"/>
      <c r="C83" s="3596"/>
      <c r="D83" s="3596"/>
      <c r="E83" s="3596"/>
      <c r="F83" s="3596"/>
      <c r="G83" s="3596"/>
      <c r="H83" s="359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4" t="s">
        <v>1375</v>
      </c>
      <c r="B84" s="3575"/>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155</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35" t="s">
        <v>2128</v>
      </c>
      <c r="H90" s="3636"/>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53" t="s">
        <v>1419</v>
      </c>
      <c r="F91" s="3554"/>
      <c r="G91" s="355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53" t="s">
        <v>1422</v>
      </c>
      <c r="F92" s="3554"/>
      <c r="G92" s="3554"/>
      <c r="H92" s="3563"/>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553" t="s">
        <v>1406</v>
      </c>
      <c r="F93" s="3554"/>
      <c r="G93" s="3554"/>
      <c r="H93" s="356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64" t="s">
        <v>1426</v>
      </c>
      <c r="F94" s="3565"/>
      <c r="G94" s="3565"/>
      <c r="H94" s="356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154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154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92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7" t="s">
        <v>1428</v>
      </c>
      <c r="B100" s="3538"/>
      <c r="C100" s="3538"/>
      <c r="D100" s="3555"/>
      <c r="E100" s="3538" t="s">
        <v>1429</v>
      </c>
      <c r="F100" s="3538"/>
      <c r="G100" s="3538"/>
      <c r="H100" s="3555"/>
      <c r="I100" s="129"/>
    </row>
    <row r="101" spans="1:35" ht="18.75" customHeight="1">
      <c r="A101" s="3616" t="s">
        <v>1430</v>
      </c>
      <c r="B101" s="3617"/>
      <c r="C101" s="2584" t="str">
        <f>C4</f>
        <v>成本法 (元)</v>
      </c>
      <c r="D101" s="2585" t="str">
        <f>D4</f>
        <v>收益法 (元)</v>
      </c>
      <c r="E101" s="3630" t="s">
        <v>1431</v>
      </c>
      <c r="F101" s="3587"/>
      <c r="G101" s="1826" t="s">
        <v>1432</v>
      </c>
      <c r="H101" s="2594">
        <f ca="1">H118</f>
        <v>163</v>
      </c>
      <c r="I101" s="129"/>
    </row>
    <row r="102" spans="1:35" ht="18.75" customHeight="1">
      <c r="A102" s="3589" t="s">
        <v>1433</v>
      </c>
      <c r="B102" s="2583" t="s">
        <v>1432</v>
      </c>
      <c r="C102" s="2584">
        <f ca="1">IF(D32="楼面单价",ROUND(C19,0),C19)</f>
        <v>158</v>
      </c>
      <c r="D102" s="2585">
        <f ca="1">IF(D32="楼面单价",ROUND(D19,0),D19)</f>
        <v>168</v>
      </c>
      <c r="E102" s="3630"/>
      <c r="F102" s="3587"/>
      <c r="G102" s="1826" t="s">
        <v>1434</v>
      </c>
      <c r="H102" s="2554">
        <f ca="1">I118</f>
        <v>15621</v>
      </c>
      <c r="I102" s="129"/>
    </row>
    <row r="103" spans="1:35" ht="42.75" customHeight="1">
      <c r="A103" s="3589"/>
      <c r="B103" s="2583" t="s">
        <v>1434</v>
      </c>
      <c r="C103" s="2586">
        <f ca="1">C20</f>
        <v>15121</v>
      </c>
      <c r="D103" s="2587">
        <f ca="1">D20</f>
        <v>16120</v>
      </c>
      <c r="E103" s="3624" t="s">
        <v>1435</v>
      </c>
      <c r="F103" s="3625"/>
      <c r="G103" s="1827" t="s">
        <v>1436</v>
      </c>
      <c r="H103" s="2594">
        <f>IF(D36="正常操作",H104+H105+H106,H105+H106)</f>
        <v>0</v>
      </c>
      <c r="I103" s="129"/>
    </row>
    <row r="104" spans="1:35" ht="18.75" customHeight="1">
      <c r="A104" s="3589" t="s">
        <v>1437</v>
      </c>
      <c r="B104" s="2588" t="s">
        <v>1432</v>
      </c>
      <c r="C104" s="2589">
        <f ca="1">H118</f>
        <v>163</v>
      </c>
      <c r="D104" s="2590"/>
      <c r="E104" s="1673" t="s">
        <v>1438</v>
      </c>
      <c r="F104" s="1665"/>
      <c r="G104" s="1827" t="s">
        <v>1436</v>
      </c>
      <c r="H104" s="2595">
        <f>IF(D36="同一抵押权人同一抵押物续贷",C36&amp;"（续贷，未扣减，详见特别提示）",C36)</f>
        <v>0</v>
      </c>
      <c r="I104" s="129"/>
    </row>
    <row r="105" spans="1:35" ht="18.75" customHeight="1" thickBot="1">
      <c r="A105" s="3590"/>
      <c r="B105" s="2591" t="s">
        <v>1434</v>
      </c>
      <c r="C105" s="2592">
        <f ca="1">I118</f>
        <v>15621</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6" t="str">
        <f>IF(项目基本情况!E8="已注销","——","3.房地产抵押价值")</f>
        <v>3.房地产抵押价值</v>
      </c>
      <c r="F107" s="3587"/>
      <c r="G107" s="1826" t="s">
        <v>1432</v>
      </c>
      <c r="H107" s="2594">
        <f ca="1">IF(E107="——","——",H101-H103)</f>
        <v>163</v>
      </c>
      <c r="I107" s="129"/>
    </row>
    <row r="108" spans="1:35" ht="18.75" customHeight="1">
      <c r="A108" s="129"/>
      <c r="B108" s="129"/>
      <c r="C108" s="129"/>
      <c r="D108" s="129"/>
      <c r="E108" s="3586"/>
      <c r="F108" s="3587"/>
      <c r="G108" s="1826" t="s">
        <v>1434</v>
      </c>
      <c r="H108" s="2554">
        <f ca="1">IF(H107=H101,H102,ROUND(H107*10000/'数据-汇总表'!E3,0))</f>
        <v>15621</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6" t="s">
        <v>1432</v>
      </c>
      <c r="H109" s="2597" t="str">
        <f>IF(E109="——","——",H101-H105-H106)</f>
        <v>——</v>
      </c>
      <c r="I109" s="129"/>
    </row>
    <row r="110" spans="1:35" ht="18.75" customHeight="1">
      <c r="A110" s="129"/>
      <c r="B110" s="129"/>
      <c r="C110" s="129"/>
      <c r="D110" s="129"/>
      <c r="E110" s="3586"/>
      <c r="F110" s="3587"/>
      <c r="G110" s="1826" t="s">
        <v>1434</v>
      </c>
      <c r="H110" s="2554"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6" t="s">
        <v>1432</v>
      </c>
      <c r="H111" s="2594" t="str">
        <f>IF(E111="——","——",N59)</f>
        <v>——</v>
      </c>
      <c r="I111" s="129"/>
    </row>
    <row r="112" spans="1:35" ht="18.75" customHeight="1" thickBot="1">
      <c r="A112" s="129"/>
      <c r="B112" s="129"/>
      <c r="C112" s="129"/>
      <c r="D112" s="129"/>
      <c r="E112" s="3619"/>
      <c r="F112" s="3620"/>
      <c r="G112" s="1829" t="s">
        <v>1434</v>
      </c>
      <c r="H112" s="2598" t="str">
        <f>IF(E111="——","——",N61)</f>
        <v>——</v>
      </c>
      <c r="I112" s="129"/>
    </row>
    <row r="113" spans="1:27" ht="18.75" customHeight="1">
      <c r="A113" s="129"/>
      <c r="B113" s="129"/>
      <c r="C113" s="129"/>
      <c r="D113" s="129"/>
      <c r="E113" s="3591" t="s">
        <v>1440</v>
      </c>
      <c r="F113" s="3591"/>
      <c r="G113" s="3591"/>
      <c r="H113" s="3591"/>
      <c r="I113" s="129"/>
    </row>
    <row r="114" spans="1:27" ht="3.75" customHeight="1">
      <c r="A114" s="1746"/>
      <c r="B114" s="1746"/>
      <c r="C114" s="1746"/>
      <c r="D114" s="1746"/>
      <c r="E114" s="1808"/>
      <c r="F114" s="1808"/>
      <c r="G114" s="1808"/>
      <c r="H114" s="1808"/>
      <c r="I114" s="1746"/>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104.4</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163</v>
      </c>
      <c r="I118" s="2328">
        <f ca="1">ROUND(IF(D32="楼面单价",C32,H118*10000/B118),0)</f>
        <v>15621</v>
      </c>
    </row>
    <row r="119" spans="1:27" ht="18.75" customHeight="1">
      <c r="A119" s="3557" t="s">
        <v>1452</v>
      </c>
      <c r="B119" s="3557"/>
      <c r="C119" s="3557"/>
      <c r="D119" s="3597" t="str">
        <f>NUMBERSTRING(INT(D118*10000),2)&amp;"元整"</f>
        <v>零元整</v>
      </c>
      <c r="E119" s="3599"/>
      <c r="F119" s="3597" t="str">
        <f>NUMBERSTRING(INT(F118*10000),2)&amp;"元整"</f>
        <v>零元整</v>
      </c>
      <c r="G119" s="3599"/>
      <c r="H119" s="3597" t="str">
        <f ca="1">NUMBERSTRING(INT(H118*10000),2)&amp;"元整"</f>
        <v>壹佰陆拾叁万元整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7" t="s">
        <v>1452</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房地产抵押价值</v>
      </c>
      <c r="B122" s="3588"/>
      <c r="C122" s="3588"/>
      <c r="D122" s="3621">
        <f ca="1">H107</f>
        <v>163</v>
      </c>
      <c r="E122" s="3622"/>
      <c r="F122" s="3622"/>
      <c r="G122" s="3622"/>
      <c r="H122" s="3622"/>
      <c r="I122" s="3623"/>
      <c r="AA122" s="725"/>
    </row>
    <row r="123" spans="1:27" ht="18.75" customHeight="1">
      <c r="A123" s="3557" t="s">
        <v>1452</v>
      </c>
      <c r="B123" s="3557"/>
      <c r="C123" s="3557"/>
      <c r="D123" s="3597" t="str">
        <f ca="1">NUMBERSTRING(INT(D122*10000),2)&amp;"元整"</f>
        <v>壹佰陆拾叁万元整</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1452</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
      </c>
      <c r="B126" s="3588"/>
      <c r="C126" s="3588"/>
      <c r="D126" s="3621" t="str">
        <f>H111</f>
        <v>——</v>
      </c>
      <c r="E126" s="3622"/>
      <c r="F126" s="3622"/>
      <c r="G126" s="3622"/>
      <c r="H126" s="3622"/>
      <c r="I126" s="3623"/>
      <c r="AA126" s="725"/>
    </row>
    <row r="127" spans="1:27" ht="18.75" customHeight="1">
      <c r="A127" s="3557" t="s">
        <v>1452</v>
      </c>
      <c r="B127" s="3557"/>
      <c r="C127" s="3557"/>
      <c r="D127" s="3597" t="e">
        <f>NUMBERSTRING(INT(D126*10000),2)&amp;"元整"</f>
        <v>#VALUE!</v>
      </c>
      <c r="E127" s="3598"/>
      <c r="F127" s="3598"/>
      <c r="G127" s="3598"/>
      <c r="H127" s="3598"/>
      <c r="I127" s="3599"/>
      <c r="AA127" s="725"/>
    </row>
    <row r="128" spans="1:27" ht="21.75" customHeight="1">
      <c r="A128" s="3604" t="s">
        <v>1453</v>
      </c>
      <c r="B128" s="3604"/>
      <c r="C128" s="3604"/>
      <c r="D128" s="3604"/>
      <c r="E128" s="3604"/>
      <c r="F128" s="3604"/>
      <c r="G128" s="3604"/>
      <c r="H128" s="3604"/>
      <c r="I128" s="3604"/>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28590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2738506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20880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20880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c r="H9" s="1136"/>
      <c r="I9" s="1857"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104.4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104.4</v>
      </c>
      <c r="E19" s="211">
        <f>'数据-取费表'!B31</f>
        <v>200</v>
      </c>
      <c r="F19" s="231"/>
      <c r="G19" s="1855"/>
    </row>
    <row r="20" spans="1:7" s="214" customFormat="1" ht="13.5" customHeight="1">
      <c r="A20" s="255" t="s">
        <v>1493</v>
      </c>
      <c r="B20" s="210" t="s">
        <v>1494</v>
      </c>
      <c r="C20" s="232">
        <f ca="1">ROUND((C5+C19)*F20,0)</f>
        <v>418</v>
      </c>
      <c r="D20" s="232"/>
      <c r="E20" s="232"/>
      <c r="F20" s="233">
        <f>'数据-取费表'!B37</f>
        <v>0.02</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3">
        <f ca="1">ROUND(SUM(C23:C25),0)</f>
        <v>1524</v>
      </c>
      <c r="D22" s="235">
        <f ca="1">C26</f>
        <v>1.1000000000000001E-3</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1509</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15</v>
      </c>
      <c r="D25" s="238"/>
      <c r="E25" s="241"/>
      <c r="F25" s="239"/>
      <c r="G25" s="242" t="s">
        <v>1510</v>
      </c>
    </row>
    <row r="26" spans="1:7" s="214" customFormat="1">
      <c r="A26" s="780"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3195</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3195</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28530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47</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2</v>
      </c>
      <c r="D37" s="217">
        <f ca="1">D19</f>
        <v>104.4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2</v>
      </c>
      <c r="D41" s="235">
        <f ca="1">C44</f>
        <v>1.1000000000000001E-3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7" t="s">
        <v>1544</v>
      </c>
    </row>
    <row r="43" spans="1:7" ht="13.5" customHeight="1">
      <c r="A43" s="780" t="s">
        <v>347</v>
      </c>
      <c r="B43" s="215" t="s">
        <v>1545</v>
      </c>
      <c r="C43" s="238">
        <f ca="1">ROUND(IF('数据-取费表'!B22&lt;=1,C39*F22*'数据-取费表'!B21/2,C39*(POWER((1+F22),'数据-取费表'!B21/2)-1)),0)</f>
        <v>0</v>
      </c>
      <c r="D43" s="238"/>
      <c r="E43" s="238"/>
      <c r="F43" s="239"/>
      <c r="G43" s="3638"/>
    </row>
    <row r="44" spans="1:7" ht="13.5" customHeight="1">
      <c r="A44" s="780" t="s">
        <v>348</v>
      </c>
      <c r="B44" s="215" t="s">
        <v>1546</v>
      </c>
      <c r="C44" s="238">
        <f ca="1">ROUND(IF('数据-取费表'!B22&lt;=1,C40*F22*'数据-取费表'!B21/2,C40*(POWER((1+F22),'数据-取费表'!B21/2)-1)),4)</f>
        <v>1.1000000000000001E-3</v>
      </c>
      <c r="D44" s="238"/>
      <c r="E44" s="238"/>
      <c r="F44" s="239"/>
      <c r="G44" s="3639"/>
    </row>
    <row r="45" spans="1:7" s="214" customFormat="1" ht="13.5" customHeight="1">
      <c r="A45" s="255" t="s">
        <v>1547</v>
      </c>
      <c r="B45" s="244" t="s">
        <v>1513</v>
      </c>
      <c r="C45" s="245">
        <f ca="1">C46</f>
        <v>8</v>
      </c>
      <c r="D45" s="235">
        <f ca="1">C47</f>
        <v>4.4999999999999997E-3</v>
      </c>
      <c r="E45" s="236" t="s">
        <v>1539</v>
      </c>
      <c r="F45" s="246">
        <f ca="1">F27</f>
        <v>0.15</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69</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60</v>
      </c>
      <c r="D51" s="232"/>
      <c r="E51" s="232"/>
      <c r="F51" s="264"/>
      <c r="G51" s="234" t="s">
        <v>1560</v>
      </c>
    </row>
    <row r="52" spans="1:7" s="208" customFormat="1" ht="16.5" thickBot="1">
      <c r="A52" s="265" t="s">
        <v>1561</v>
      </c>
      <c r="B52" s="266"/>
      <c r="C52" s="267">
        <f ca="1">C31+C51</f>
        <v>28590</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9" s="200" customFormat="1" ht="20.25">
      <c r="A1" s="196" t="s">
        <v>1461</v>
      </c>
      <c r="B1" s="1469"/>
      <c r="C1" s="1858" t="s">
        <v>1563</v>
      </c>
      <c r="D1" s="198"/>
      <c r="E1" s="198"/>
      <c r="F1" s="198"/>
      <c r="G1" s="1125">
        <f>MATCH(B1,'数据-取费表'!A6:A16,0)+5</f>
        <v>7</v>
      </c>
      <c r="H1" s="1060" t="str">
        <f>IF(ISERROR(FIND("住宅",B1)),"非住宅","住宅")</f>
        <v>非住宅</v>
      </c>
    </row>
    <row r="2" spans="1:9" s="200" customFormat="1" ht="18" customHeight="1">
      <c r="A2" s="201" t="s">
        <v>1462</v>
      </c>
      <c r="B2" s="3423">
        <f ca="1">ROUND(IF(D2="——",C52/10000,C52/10000-E2),4)</f>
        <v>157.86699999999999</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15121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715443</v>
      </c>
      <c r="D5" s="211" t="s">
        <v>1469</v>
      </c>
      <c r="E5" s="212" t="s">
        <v>1470</v>
      </c>
      <c r="F5" s="212" t="s">
        <v>1471</v>
      </c>
      <c r="G5" s="213"/>
    </row>
    <row r="6" spans="1:9" s="214" customFormat="1" ht="13.5" customHeight="1">
      <c r="A6" s="778" t="s">
        <v>1472</v>
      </c>
      <c r="B6" s="215" t="s">
        <v>1473</v>
      </c>
      <c r="C6" s="216">
        <f ca="1">ROUND(D10*I6,0)</f>
        <v>674006</v>
      </c>
      <c r="D6" s="217"/>
      <c r="E6" s="218"/>
      <c r="F6" s="218"/>
      <c r="G6" s="219"/>
      <c r="I6" s="214">
        <f>基准地价修正!C33</f>
        <v>6456</v>
      </c>
    </row>
    <row r="7" spans="1:9" s="214" customFormat="1" ht="13.5" customHeight="1">
      <c r="A7" s="778" t="s">
        <v>1474</v>
      </c>
      <c r="B7" s="215" t="s">
        <v>1475</v>
      </c>
      <c r="C7" s="220">
        <f ca="1">ROUND(C6*F7,0)</f>
        <v>20557</v>
      </c>
      <c r="D7" s="220"/>
      <c r="E7" s="218"/>
      <c r="F7" s="221">
        <f>IF(项目基本情况!B8="出让",0,'数据-取费表'!B48+'数据-取费表'!B49)</f>
        <v>3.0499999999999999E-2</v>
      </c>
      <c r="G7" s="219"/>
    </row>
    <row r="8" spans="1:9" s="223" customFormat="1">
      <c r="A8" s="778" t="s">
        <v>1476</v>
      </c>
      <c r="B8" s="215" t="s">
        <v>1477</v>
      </c>
      <c r="C8" s="220">
        <f ca="1">IF(G8="已包含在土地购买价格中",0,C9+C10)</f>
        <v>20880</v>
      </c>
      <c r="D8" s="222"/>
      <c r="E8" s="220"/>
      <c r="F8" s="221"/>
      <c r="G8" s="1855" t="s">
        <v>3394</v>
      </c>
    </row>
    <row r="9" spans="1:9"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9" s="214" customFormat="1" ht="13.5" customHeight="1">
      <c r="A10" s="779" t="s">
        <v>356</v>
      </c>
      <c r="B10" s="224" t="s">
        <v>1480</v>
      </c>
      <c r="C10" s="225">
        <f ca="1">ROUND(D10*E10,0)</f>
        <v>20880</v>
      </c>
      <c r="D10" s="845">
        <f ca="1">IF(B1="",'数据-汇总表'!E6,IF(INDIRECT("'数据-取费表'!c"&amp;$G$1)="住宅",INDIRECT("'数据-取费表'!s"&amp;$G$1),INDIRECT("'数据-取费表'!k"&amp;$G$1)+INDIRECT("'数据-取费表'!s"&amp;$G$1)))</f>
        <v>104.4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1564</v>
      </c>
      <c r="C12" s="211">
        <v>0</v>
      </c>
      <c r="D12" s="847"/>
      <c r="E12" s="228"/>
      <c r="F12" s="221">
        <v>3.0499999999999999E-2</v>
      </c>
      <c r="G12" s="219"/>
    </row>
    <row r="13" spans="1:9" s="214" customFormat="1" ht="13.5" hidden="1" customHeight="1">
      <c r="A13" s="227" t="s">
        <v>6</v>
      </c>
      <c r="B13" s="215" t="s">
        <v>1565</v>
      </c>
      <c r="C13" s="211"/>
      <c r="D13" s="847"/>
      <c r="E13" s="218"/>
      <c r="F13" s="218"/>
      <c r="G13" s="219"/>
    </row>
    <row r="14" spans="1:9" s="214" customFormat="1" ht="13.5" hidden="1" customHeight="1">
      <c r="A14" s="227" t="s">
        <v>7</v>
      </c>
      <c r="B14" s="215" t="s">
        <v>1477</v>
      </c>
      <c r="C14" s="211"/>
      <c r="D14" s="847"/>
      <c r="E14" s="218"/>
      <c r="F14" s="218"/>
      <c r="G14" s="219" t="s">
        <v>1566</v>
      </c>
    </row>
    <row r="15" spans="1:9" s="214" customFormat="1" ht="13.5" hidden="1" customHeight="1">
      <c r="A15" s="227" t="s">
        <v>8</v>
      </c>
      <c r="B15" s="215" t="s">
        <v>1567</v>
      </c>
      <c r="C15" s="220"/>
      <c r="D15" s="847"/>
      <c r="E15" s="218"/>
      <c r="F15" s="218"/>
      <c r="G15" s="219" t="s">
        <v>1568</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104.4</v>
      </c>
      <c r="E19" s="211">
        <f>'数据-取费表'!B31</f>
        <v>200</v>
      </c>
      <c r="F19" s="231"/>
      <c r="G19" s="1855" t="s">
        <v>3395</v>
      </c>
    </row>
    <row r="20" spans="1:7" s="214" customFormat="1" ht="13.5" customHeight="1">
      <c r="A20" s="255" t="s">
        <v>1574</v>
      </c>
      <c r="B20" s="210" t="s">
        <v>1575</v>
      </c>
      <c r="C20" s="232">
        <f ca="1">ROUND((C5+C19)*F20,0)</f>
        <v>14309</v>
      </c>
      <c r="D20" s="232"/>
      <c r="E20" s="232"/>
      <c r="F20" s="233">
        <f>'数据-取费表'!B37</f>
        <v>0.02</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6">
        <f ca="1">ROUND(SUM(C23:C25),0)</f>
        <v>52206</v>
      </c>
      <c r="D22" s="235">
        <f ca="1">C26</f>
        <v>1.1000000000000001E-3</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51698</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7">
        <f ca="1">ROUND(IF('数据-取费表'!B22&lt;=1,C20*F22*'数据-取费表'!B22/2,C20*(POWER((1+F22),'数据-取费表'!B22/2)-1)),0)</f>
        <v>508</v>
      </c>
      <c r="D25" s="238"/>
      <c r="E25" s="241"/>
      <c r="F25" s="239"/>
      <c r="G25" s="242" t="s">
        <v>1588</v>
      </c>
    </row>
    <row r="26" spans="1:7" s="214" customFormat="1">
      <c r="A26" s="780"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109463</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109463</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977435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521217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469800</v>
      </c>
      <c r="D34" s="217"/>
      <c r="E34" s="220"/>
      <c r="F34" s="257"/>
      <c r="G34" s="219"/>
    </row>
    <row r="35" spans="1:7" ht="13.5" customHeight="1">
      <c r="A35" s="780" t="s">
        <v>351</v>
      </c>
      <c r="B35" s="215" t="s">
        <v>1527</v>
      </c>
      <c r="C35" s="220">
        <f ca="1">ROUND(C34*F35,0)</f>
        <v>23490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20880</v>
      </c>
      <c r="D37" s="217">
        <f ca="1">D19</f>
        <v>104.4</v>
      </c>
      <c r="E37" s="249">
        <f>'数据-取费表'!B35</f>
        <v>200</v>
      </c>
      <c r="F37" s="259"/>
      <c r="G37" s="261"/>
    </row>
    <row r="38" spans="1:7" ht="13.5" customHeight="1">
      <c r="A38" s="780" t="s">
        <v>354</v>
      </c>
      <c r="B38" s="215" t="s">
        <v>1533</v>
      </c>
      <c r="C38" s="220">
        <f ca="1">ROUND(C34*F38,0)</f>
        <v>7047</v>
      </c>
      <c r="D38" s="220"/>
      <c r="E38" s="220"/>
      <c r="F38" s="259">
        <f>'数据-取费表'!B36</f>
        <v>1.4999999999999999E-2</v>
      </c>
      <c r="G38" s="219" t="s">
        <v>1528</v>
      </c>
    </row>
    <row r="39" spans="1:7" s="214" customFormat="1" ht="13.5" customHeight="1">
      <c r="A39" s="255" t="s">
        <v>1534</v>
      </c>
      <c r="B39" s="210" t="s">
        <v>1535</v>
      </c>
      <c r="C39" s="232">
        <f ca="1">ROUND(C33*F20,0)</f>
        <v>10424</v>
      </c>
      <c r="D39" s="232"/>
      <c r="E39" s="232"/>
      <c r="F39" s="233">
        <f>F20</f>
        <v>0.02</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18873</v>
      </c>
      <c r="D41" s="235">
        <f ca="1">C44</f>
        <v>1.1000000000000001E-3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18503</v>
      </c>
      <c r="D42" s="238"/>
      <c r="E42" s="238"/>
      <c r="F42" s="239"/>
      <c r="G42" s="3637" t="s">
        <v>1591</v>
      </c>
    </row>
    <row r="43" spans="1:7" ht="13.5" customHeight="1">
      <c r="A43" s="780" t="s">
        <v>347</v>
      </c>
      <c r="B43" s="215" t="s">
        <v>1545</v>
      </c>
      <c r="C43" s="238">
        <f ca="1">ROUND(IF('数据-取费表'!B22&lt;=1,C39*F22*'数据-取费表'!B20/2,C39*(POWER((1+F22),'数据-取费表'!B20/2)-1)),0)</f>
        <v>370</v>
      </c>
      <c r="D43" s="238"/>
      <c r="E43" s="238"/>
      <c r="F43" s="239"/>
      <c r="G43" s="3638"/>
    </row>
    <row r="44" spans="1:7" ht="13.5" customHeight="1">
      <c r="A44" s="780" t="s">
        <v>348</v>
      </c>
      <c r="B44" s="215" t="s">
        <v>1546</v>
      </c>
      <c r="C44" s="238">
        <f ca="1">ROUND(IF('数据-取费表'!B22&lt;=1,C40*F22*'数据-取费表'!B20/2,C40*(POWER((1+F22),'数据-取费表'!B20/2)-1)),4)</f>
        <v>1.1000000000000001E-3</v>
      </c>
      <c r="D44" s="238"/>
      <c r="E44" s="238"/>
      <c r="F44" s="239"/>
      <c r="G44" s="3639"/>
    </row>
    <row r="45" spans="1:7" s="214" customFormat="1" ht="13.5" customHeight="1">
      <c r="A45" s="255" t="s">
        <v>1547</v>
      </c>
      <c r="B45" s="244" t="s">
        <v>1513</v>
      </c>
      <c r="C45" s="245">
        <f ca="1">C46</f>
        <v>79746</v>
      </c>
      <c r="D45" s="235">
        <f ca="1">C47</f>
        <v>4.4999999999999997E-3</v>
      </c>
      <c r="E45" s="236" t="s">
        <v>1539</v>
      </c>
      <c r="F45" s="246">
        <f ca="1">F27</f>
        <v>0.15</v>
      </c>
      <c r="G45" s="247" t="s">
        <v>1548</v>
      </c>
    </row>
    <row r="46" spans="1:7" s="214" customFormat="1" ht="13.5" customHeight="1">
      <c r="A46" s="780" t="s">
        <v>346</v>
      </c>
      <c r="B46" s="248" t="s">
        <v>1549</v>
      </c>
      <c r="C46" s="249">
        <f ca="1">ROUND((C33+C39)*F27,0)</f>
        <v>79746</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691075</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601235</v>
      </c>
      <c r="D51" s="232"/>
      <c r="E51" s="232"/>
      <c r="F51" s="264"/>
      <c r="G51" s="234" t="s">
        <v>1560</v>
      </c>
    </row>
    <row r="52" spans="1:7" s="208" customFormat="1" ht="16.5" thickBot="1">
      <c r="A52" s="265" t="s">
        <v>1561</v>
      </c>
      <c r="B52" s="266"/>
      <c r="C52" s="267">
        <f ca="1">C31+C51</f>
        <v>1578670</v>
      </c>
      <c r="D52" s="266"/>
      <c r="E52" s="266"/>
      <c r="F52" s="266"/>
      <c r="G52" s="268"/>
    </row>
    <row r="55" spans="1:7" ht="15">
      <c r="B55" s="270" t="s">
        <v>1562</v>
      </c>
      <c r="C55" s="271"/>
    </row>
    <row r="56" spans="1:7">
      <c r="B56" s="273" t="s">
        <v>802</v>
      </c>
      <c r="C56" s="275">
        <f ca="1">1-C57</f>
        <v>0.61899999999999999</v>
      </c>
    </row>
    <row r="57" spans="1:7">
      <c r="B57" s="273" t="s">
        <v>803</v>
      </c>
      <c r="C57" s="274">
        <f ca="1">ROUND(C51/C52,3)</f>
        <v>0.38100000000000001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23800</v>
      </c>
      <c r="C2" s="276" t="s">
        <v>1595</v>
      </c>
      <c r="D2" s="276"/>
      <c r="E2" s="2805"/>
      <c r="F2" s="2805"/>
      <c r="G2" s="2805"/>
      <c r="H2" s="2805"/>
      <c r="I2" s="2805"/>
      <c r="J2" s="2805"/>
      <c r="K2" s="2805"/>
    </row>
    <row r="3" spans="1:33" ht="18" customHeight="1" thickBot="1">
      <c r="A3" s="203" t="s">
        <v>1464</v>
      </c>
      <c r="B3" s="204">
        <f ca="1">ROUND(B2*10000/IF(C1="",'数据-汇总表'!E3,INDIRECT("'数据-取费表'!K"&amp;$K$1)),0)</f>
        <v>2279693</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104.4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104.4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-20878</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104.4</v>
      </c>
      <c r="E20" s="21">
        <f>'数据-取费表'!B28</f>
        <v>200</v>
      </c>
      <c r="F20" s="804"/>
      <c r="G20" s="12"/>
      <c r="H20" s="809"/>
      <c r="I20" s="809"/>
      <c r="J20" s="809"/>
      <c r="K20" s="810"/>
    </row>
    <row r="21" spans="1:33" s="803" customFormat="1" ht="13.5" customHeight="1">
      <c r="A21" s="790" t="s">
        <v>357</v>
      </c>
      <c r="B21" s="813" t="s">
        <v>1628</v>
      </c>
      <c r="C21" s="814">
        <f ca="1">C16+C17+C18</f>
        <v>-20878</v>
      </c>
      <c r="D21" s="815"/>
      <c r="E21" s="281"/>
      <c r="F21" s="281"/>
      <c r="G21" s="131" t="s">
        <v>1629</v>
      </c>
      <c r="H21" s="807"/>
      <c r="I21" s="807"/>
      <c r="J21" s="807"/>
      <c r="K21" s="808"/>
    </row>
    <row r="22" spans="1:33" s="803" customFormat="1" ht="13.5" customHeight="1">
      <c r="A22" s="790" t="s">
        <v>1601</v>
      </c>
      <c r="B22" s="813" t="s">
        <v>1630</v>
      </c>
      <c r="C22" s="814">
        <f ca="1">ROUND(C21*F22,0)</f>
        <v>-418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-3194</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-3194</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23800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2" t="s">
        <v>694</v>
      </c>
      <c r="C6" s="1073">
        <f ca="1">ROUND(F6*F8*F7*(1-F9)/10000,0)</f>
        <v>0</v>
      </c>
      <c r="D6" s="155" t="s">
        <v>2108</v>
      </c>
      <c r="E6" s="302" t="s">
        <v>696</v>
      </c>
      <c r="F6" s="303">
        <f ca="1">INDIRECT("'数据-取费表'!u"&amp;$G$1)</f>
        <v>0</v>
      </c>
      <c r="G6" s="1383"/>
      <c r="H6" s="1068" t="s">
        <v>398</v>
      </c>
      <c r="I6" s="3642" t="s">
        <v>694</v>
      </c>
      <c r="J6" s="301">
        <f ca="1">ROUND(M6*M8*M7*(1-M9)/10000,0)</f>
        <v>0</v>
      </c>
      <c r="K6" s="155" t="s">
        <v>2107</v>
      </c>
      <c r="L6" s="302" t="s">
        <v>696</v>
      </c>
      <c r="M6" s="303">
        <f ca="1">INDIRECT("'数据-取费表'!z"&amp;$G$1)</f>
        <v>0</v>
      </c>
    </row>
    <row r="7" spans="1:37" ht="18" customHeight="1">
      <c r="A7" s="1072"/>
      <c r="B7" s="3643"/>
      <c r="C7" s="1074"/>
      <c r="D7" s="307"/>
      <c r="E7" s="1075" t="s">
        <v>697</v>
      </c>
      <c r="F7" s="303">
        <f ca="1">IF(INDIRECT("'数据-取费表'!ah"&amp;$G$1)="",INDIRECT("'数据-取费表'!k"&amp;$G$1),INDIRECT("'数据-取费表'!ah"&amp;$G$1))</f>
        <v>0</v>
      </c>
      <c r="G7" s="1383"/>
      <c r="H7" s="304"/>
      <c r="I7" s="3643"/>
      <c r="J7" s="306"/>
      <c r="K7" s="307"/>
      <c r="L7" s="302" t="s">
        <v>697</v>
      </c>
      <c r="M7" s="303">
        <f ca="1">F7</f>
        <v>0</v>
      </c>
    </row>
    <row r="8" spans="1:37" ht="18" customHeight="1">
      <c r="A8" s="304"/>
      <c r="B8" s="3643"/>
      <c r="C8" s="306"/>
      <c r="D8" s="307"/>
      <c r="E8" s="302" t="s">
        <v>698</v>
      </c>
      <c r="F8" s="303">
        <f ca="1">INDIRECT("'数据-取费表'!ai"&amp;$G$1)</f>
        <v>0</v>
      </c>
      <c r="G8" s="1383"/>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3"/>
      <c r="H9" s="304"/>
      <c r="I9" s="3644"/>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2109</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40" t="s">
        <v>837</v>
      </c>
      <c r="L53" s="3641"/>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1">
        <f ca="1">J53</f>
        <v>31.95</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168.29249999999999</v>
      </c>
      <c r="C2" s="1386" t="s">
        <v>879</v>
      </c>
      <c r="D2" s="1470">
        <f ca="1">C40+J29+L46</f>
        <v>1682925</v>
      </c>
      <c r="E2" s="1387" t="s">
        <v>880</v>
      </c>
      <c r="F2" s="1388"/>
      <c r="G2" s="2705"/>
      <c r="H2" s="2694"/>
      <c r="I2" s="2694"/>
      <c r="J2" s="2694"/>
      <c r="K2" s="2695"/>
      <c r="L2" s="2694"/>
      <c r="M2" s="2694"/>
    </row>
    <row r="3" spans="1:37" ht="18" customHeight="1" thickBot="1">
      <c r="A3" s="1389" t="s">
        <v>881</v>
      </c>
      <c r="B3" s="1390">
        <f ca="1">IF(ISERROR(D2/F43),0,ROUND(D2/F43,0))</f>
        <v>16120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103015</v>
      </c>
      <c r="D5" s="1363" t="s">
        <v>889</v>
      </c>
      <c r="E5" s="1070"/>
      <c r="F5" s="1071"/>
      <c r="G5" s="1383"/>
      <c r="H5" s="299">
        <v>1</v>
      </c>
      <c r="I5" s="300" t="s">
        <v>888</v>
      </c>
      <c r="J5" s="1069">
        <f ca="1">J6+J10+J12</f>
        <v>0</v>
      </c>
      <c r="K5" s="1363" t="s">
        <v>889</v>
      </c>
      <c r="L5" s="1070"/>
      <c r="M5" s="1071"/>
    </row>
    <row r="6" spans="1:37" ht="18" customHeight="1">
      <c r="A6" s="1068" t="s">
        <v>398</v>
      </c>
      <c r="B6" s="3642" t="s">
        <v>694</v>
      </c>
      <c r="C6" s="1073">
        <f ca="1">ROUND(F6*F8*F7*(1-F9),0)</f>
        <v>102886</v>
      </c>
      <c r="D6" s="155" t="s">
        <v>2105</v>
      </c>
      <c r="E6" s="302" t="s">
        <v>696</v>
      </c>
      <c r="F6" s="303">
        <f ca="1">INDIRECT("'数据-取费表'!u"&amp;$G$1)</f>
        <v>3</v>
      </c>
      <c r="G6" s="1383"/>
      <c r="H6" s="1068" t="s">
        <v>398</v>
      </c>
      <c r="I6" s="3642" t="s">
        <v>694</v>
      </c>
      <c r="J6" s="301">
        <f ca="1">ROUND(M6*M8*M7*(1-M9),0)</f>
        <v>0</v>
      </c>
      <c r="K6" s="1375" t="s">
        <v>2106</v>
      </c>
      <c r="L6" s="302" t="s">
        <v>696</v>
      </c>
      <c r="M6" s="303">
        <f ca="1">INDIRECT("'数据-取费表'!z"&amp;$G$1)</f>
        <v>0</v>
      </c>
    </row>
    <row r="7" spans="1:37" ht="18" customHeight="1">
      <c r="A7" s="1072"/>
      <c r="B7" s="3643"/>
      <c r="C7" s="1074"/>
      <c r="D7" s="307"/>
      <c r="E7" s="1075" t="s">
        <v>697</v>
      </c>
      <c r="F7" s="303">
        <f ca="1">IF(INDIRECT("'数据-取费表'!ah"&amp;$G$1)="",INDIRECT("'数据-取费表'!k"&amp;$G$1),INDIRECT("'数据-取费表'!ah"&amp;$G$1))</f>
        <v>104.4</v>
      </c>
      <c r="G7" s="1383"/>
      <c r="H7" s="304"/>
      <c r="I7" s="3643"/>
      <c r="J7" s="306"/>
      <c r="K7" s="307"/>
      <c r="L7" s="302" t="s">
        <v>697</v>
      </c>
      <c r="M7" s="303">
        <f ca="1">F7</f>
        <v>104.4</v>
      </c>
    </row>
    <row r="8" spans="1:37" ht="18" customHeight="1">
      <c r="A8" s="304"/>
      <c r="B8" s="3643"/>
      <c r="C8" s="306"/>
      <c r="D8" s="307"/>
      <c r="E8" s="302" t="s">
        <v>698</v>
      </c>
      <c r="F8" s="303">
        <f ca="1">INDIRECT("'数据-取费表'!ai"&amp;$G$1)</f>
        <v>365</v>
      </c>
      <c r="G8" s="1383"/>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3"/>
      <c r="H9" s="304"/>
      <c r="I9" s="3644"/>
      <c r="J9" s="306"/>
      <c r="K9" s="307"/>
      <c r="L9" s="313" t="s">
        <v>699</v>
      </c>
      <c r="M9" s="314">
        <f ca="1">INDIRECT("'数据-取费表'!ab"&amp;$G$1)</f>
        <v>0</v>
      </c>
    </row>
    <row r="10" spans="1:37" ht="18" customHeight="1">
      <c r="A10" s="1068" t="s">
        <v>402</v>
      </c>
      <c r="B10" s="1364" t="s">
        <v>700</v>
      </c>
      <c r="C10" s="316">
        <f ca="1">ROUND(IF(F10="押一",C6/12*F11,IF(F10="押二",C6/12*2*F11,IF(F10="押三",C6/12*3*F11,C11*F11))),0)</f>
        <v>129</v>
      </c>
      <c r="D10" s="1365" t="s">
        <v>2115</v>
      </c>
      <c r="E10" s="313" t="s">
        <v>701</v>
      </c>
      <c r="F10" s="1115" t="s">
        <v>3396</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601235</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469800</v>
      </c>
      <c r="D14" s="1344" t="s">
        <v>708</v>
      </c>
      <c r="E14" s="1341"/>
      <c r="F14" s="319"/>
      <c r="G14" s="1383"/>
      <c r="H14" s="982" t="s">
        <v>398</v>
      </c>
      <c r="I14" s="302" t="s">
        <v>709</v>
      </c>
      <c r="J14" s="21">
        <f ca="1">C29</f>
        <v>691075</v>
      </c>
      <c r="K14" s="12"/>
      <c r="L14" s="807"/>
      <c r="M14" s="808"/>
    </row>
    <row r="15" spans="1:37" s="1396" customFormat="1" ht="18" customHeight="1" thickBot="1">
      <c r="A15" s="982" t="s">
        <v>399</v>
      </c>
      <c r="B15" s="302" t="s">
        <v>710</v>
      </c>
      <c r="C15" s="21">
        <f ca="1">ROUND(C14*F15,0)</f>
        <v>23490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6911</v>
      </c>
      <c r="K16" s="1086" t="s">
        <v>715</v>
      </c>
      <c r="L16" s="1087"/>
      <c r="M16" s="1071"/>
    </row>
    <row r="17" spans="1:37" s="1396" customFormat="1" ht="18" customHeight="1">
      <c r="A17" s="982" t="s">
        <v>681</v>
      </c>
      <c r="B17" s="302" t="s">
        <v>716</v>
      </c>
      <c r="C17" s="21">
        <f ca="1">ROUND(F17*(F43+INDIRECT("'数据-取费表'!S"&amp;$G$1)),0)</f>
        <v>20880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7047</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521217</v>
      </c>
      <c r="D19" s="131" t="s">
        <v>726</v>
      </c>
      <c r="E19" s="1359"/>
      <c r="F19" s="23"/>
      <c r="G19" s="1383"/>
      <c r="H19" s="982"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2" t="s">
        <v>402</v>
      </c>
      <c r="B20" s="302" t="s">
        <v>728</v>
      </c>
      <c r="C20" s="21">
        <f ca="1">ROUND(C19*F20,0)</f>
        <v>10424</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6911</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18873</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-6911</v>
      </c>
      <c r="K25" s="1094" t="s">
        <v>753</v>
      </c>
      <c r="L25" s="1095"/>
      <c r="M25" s="1096"/>
    </row>
    <row r="26" spans="1:37" ht="18" customHeight="1">
      <c r="A26" s="982" t="s">
        <v>397</v>
      </c>
      <c r="B26" s="302" t="s">
        <v>754</v>
      </c>
      <c r="C26" s="21">
        <f ca="1">ROUND((C19+C20)*F26,0)</f>
        <v>79746</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691075</v>
      </c>
      <c r="D29" s="1091"/>
      <c r="E29" s="1089"/>
      <c r="F29" s="1092"/>
      <c r="G29" s="1395"/>
      <c r="H29" s="334" t="s">
        <v>396</v>
      </c>
      <c r="I29" s="335" t="s">
        <v>768</v>
      </c>
      <c r="J29" s="336">
        <f ca="1">ROUND(J26/(1+F40)^F41,0)</f>
        <v>0</v>
      </c>
      <c r="K29" s="337" t="s">
        <v>769</v>
      </c>
      <c r="L29" s="338"/>
      <c r="M29" s="339">
        <f ca="1">INDIRECT("'数据-取费表'!k"&amp;$G$1)</f>
        <v>104.4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25689</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17147</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IF(项目基本情况!B11="自然人","——",ROUND(C6*F32/(1+'数据-取费表'!C42),0))</f>
        <v>5389</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11758</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6911</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ROUND(C13*F37,0)</f>
        <v>601</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1030</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77326</v>
      </c>
      <c r="D39" s="1094" t="s">
        <v>773</v>
      </c>
      <c r="E39" s="1095"/>
      <c r="F39" s="1096"/>
      <c r="G39" s="1383"/>
      <c r="H39" s="2699"/>
      <c r="I39" s="1397"/>
      <c r="J39" s="1398"/>
      <c r="K39" s="2703"/>
      <c r="L39" s="2699"/>
      <c r="M39" s="2699"/>
    </row>
    <row r="40" spans="1:18" ht="18" customHeight="1">
      <c r="A40" s="299" t="s">
        <v>395</v>
      </c>
      <c r="B40" s="300" t="s">
        <v>774</v>
      </c>
      <c r="C40" s="301">
        <f ca="1">ROUND(C39*(1-((1+F42)/(1+F40))^F41)/(F40-F42),0)</f>
        <v>1655504</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31.95</v>
      </c>
      <c r="G41" s="1383"/>
      <c r="H41" s="1190"/>
      <c r="I41" s="1397"/>
      <c r="J41" s="1398"/>
      <c r="K41" s="2543"/>
      <c r="L41" s="1190"/>
      <c r="M41" s="1190"/>
    </row>
    <row r="42" spans="1:18" ht="18" customHeight="1">
      <c r="A42" s="308"/>
      <c r="B42" s="309"/>
      <c r="C42" s="310"/>
      <c r="D42" s="327"/>
      <c r="E42" s="302" t="s">
        <v>766</v>
      </c>
      <c r="F42" s="312">
        <f ca="1">INDIRECT("'数据-取费表'!v"&amp;$G$1)</f>
        <v>0.03</v>
      </c>
      <c r="G42" s="1383"/>
      <c r="H42" s="1190"/>
      <c r="I42" s="1397"/>
      <c r="J42" s="1398"/>
      <c r="K42" s="2543"/>
      <c r="L42" s="1190"/>
      <c r="M42" s="1190"/>
    </row>
    <row r="43" spans="1:18" ht="18" customHeight="1" thickBot="1">
      <c r="A43" s="334" t="s">
        <v>396</v>
      </c>
      <c r="B43" s="335" t="s">
        <v>776</v>
      </c>
      <c r="C43" s="336">
        <f ca="1">ROUND(C40/F43,0)</f>
        <v>15857</v>
      </c>
      <c r="D43" s="337" t="s">
        <v>777</v>
      </c>
      <c r="E43" s="338" t="s">
        <v>778</v>
      </c>
      <c r="F43" s="339">
        <f ca="1">INDIRECT("'数据-取费表'!k"&amp;$G$1)</f>
        <v>104.4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f ca="1">ROUND((C68-C40)/10000,4)</f>
        <v>-176.7398</v>
      </c>
      <c r="D45" s="3431" t="s">
        <v>3357</v>
      </c>
      <c r="E45" s="1399"/>
      <c r="F45" s="1399"/>
      <c r="O45" s="1402" t="s">
        <v>808</v>
      </c>
      <c r="P45" s="1460"/>
      <c r="Q45" s="1460"/>
      <c r="R45" s="1460"/>
    </row>
    <row r="46" spans="1:18" s="1383" customFormat="1" ht="13.5" thickBot="1">
      <c r="A46" s="1403" t="s">
        <v>809</v>
      </c>
      <c r="C46" s="1404">
        <f ca="1">ROUND(C45,0)</f>
        <v>-177</v>
      </c>
      <c r="D46" s="1405" t="str">
        <f>C2</f>
        <v>万元</v>
      </c>
      <c r="I46" s="1406" t="s">
        <v>810</v>
      </c>
      <c r="J46" s="1407"/>
      <c r="K46" s="1408"/>
      <c r="L46" s="1409">
        <f ca="1">IF(M47="住宅",0,IF(L48&gt;J51,L60,J60))</f>
        <v>27421</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t="s">
        <v>3397</v>
      </c>
      <c r="K47" s="1415" t="s">
        <v>816</v>
      </c>
      <c r="L47" s="1416">
        <f ca="1">INDIRECT("'数据-取费表'!d"&amp;$G$1)</f>
        <v>50</v>
      </c>
      <c r="M47" s="1379" t="str">
        <f>IF(ISNUMBER(FIND("住宅",C1)),"住宅","非住宅")</f>
        <v>非住宅</v>
      </c>
      <c r="O47" s="1417" t="s">
        <v>403</v>
      </c>
      <c r="P47" s="1418" t="s">
        <v>817</v>
      </c>
      <c r="Q47" s="1419">
        <f ca="1">C40+J29</f>
        <v>1655504</v>
      </c>
      <c r="R47" s="1419" t="s">
        <v>818</v>
      </c>
    </row>
    <row r="48" spans="1:18" s="1383" customFormat="1" ht="28.5" thickBot="1">
      <c r="A48" s="1109" t="s">
        <v>438</v>
      </c>
      <c r="B48" s="300" t="s">
        <v>692</v>
      </c>
      <c r="C48" s="1358">
        <f ca="1">C49+C53+C55</f>
        <v>0</v>
      </c>
      <c r="D48" s="1111"/>
      <c r="E48" s="1112"/>
      <c r="F48" s="962"/>
      <c r="G48" s="722"/>
      <c r="H48" s="723"/>
      <c r="I48" s="1420" t="s">
        <v>819</v>
      </c>
      <c r="J48" s="1421" t="s">
        <v>3398</v>
      </c>
      <c r="K48" s="1422" t="s">
        <v>820</v>
      </c>
      <c r="L48" s="1423">
        <f ca="1">INDIRECT("'数据-取费表'!f"&amp;$G$1)</f>
        <v>31.95</v>
      </c>
      <c r="O48" s="1417" t="s">
        <v>404</v>
      </c>
      <c r="P48" s="1418" t="s">
        <v>821</v>
      </c>
      <c r="Q48" s="1419">
        <f ca="1">J60</f>
        <v>27421</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v>2016</v>
      </c>
      <c r="K49" s="1422" t="s">
        <v>824</v>
      </c>
      <c r="L49" s="1426"/>
      <c r="O49" s="1427" t="s">
        <v>405</v>
      </c>
      <c r="P49" s="1418" t="s">
        <v>825</v>
      </c>
      <c r="Q49" s="1419">
        <f ca="1">C29</f>
        <v>691075</v>
      </c>
      <c r="R49" s="1419" t="s">
        <v>818</v>
      </c>
    </row>
    <row r="50" spans="1:18" s="1383" customFormat="1" ht="13.5" thickBot="1">
      <c r="A50" s="976"/>
      <c r="B50" s="979"/>
      <c r="C50" s="980"/>
      <c r="D50" s="953"/>
      <c r="E50" s="1055" t="s">
        <v>697</v>
      </c>
      <c r="F50" s="1056">
        <f ca="1">F7</f>
        <v>104.4</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53</v>
      </c>
      <c r="K51" s="1433" t="s">
        <v>830</v>
      </c>
      <c r="L51" s="1434">
        <f ca="1">ROUND(-PV(INDIRECT("'数据-取费表'!h"&amp;$G$1),J51,(C39-C13*C76),0),0)</f>
        <v>651699</v>
      </c>
      <c r="M51" s="1435"/>
      <c r="O51" s="1427" t="s">
        <v>407</v>
      </c>
      <c r="P51" s="1418" t="s">
        <v>831</v>
      </c>
      <c r="Q51" s="1430">
        <f>J52</f>
        <v>7.4999999999999997E-2</v>
      </c>
      <c r="R51" s="1419"/>
    </row>
    <row r="52" spans="1:18" s="1383" customFormat="1" ht="13.5" thickBot="1">
      <c r="A52" s="977"/>
      <c r="B52" s="979"/>
      <c r="C52" s="980"/>
      <c r="D52" s="953"/>
      <c r="E52" s="981" t="s">
        <v>699</v>
      </c>
      <c r="F52" s="1053"/>
      <c r="I52" s="1436" t="s">
        <v>832</v>
      </c>
      <c r="J52" s="1437">
        <v>7.4999999999999997E-2</v>
      </c>
      <c r="K52" s="1436" t="s">
        <v>833</v>
      </c>
      <c r="L52" s="1437"/>
      <c r="O52" s="1427" t="s">
        <v>408</v>
      </c>
      <c r="P52" s="1418" t="s">
        <v>834</v>
      </c>
      <c r="Q52" s="1419">
        <f ca="1">J53</f>
        <v>31.95</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31.95</v>
      </c>
      <c r="K53" s="3640" t="s">
        <v>837</v>
      </c>
      <c r="L53" s="3641"/>
      <c r="O53" s="1417" t="s">
        <v>409</v>
      </c>
      <c r="P53" s="1418" t="s">
        <v>838</v>
      </c>
      <c r="Q53" s="1419">
        <f ca="1">Q47+Q48</f>
        <v>1682925</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0.35099999999999998</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601235</v>
      </c>
      <c r="D56" s="1446"/>
      <c r="E56" s="1447"/>
      <c r="F56" s="1439"/>
      <c r="I56" s="1448" t="s">
        <v>842</v>
      </c>
      <c r="J56" s="1449" t="s">
        <v>3399</v>
      </c>
      <c r="K56" s="1420" t="s">
        <v>843</v>
      </c>
      <c r="L56" s="1423" t="str">
        <f ca="1">IF(L48&lt;J51,"——",L48-J51)</f>
        <v>——</v>
      </c>
      <c r="O56" s="1417" t="s">
        <v>403</v>
      </c>
      <c r="P56" s="1418" t="s">
        <v>817</v>
      </c>
      <c r="Q56" s="1419">
        <f ca="1">C40+J29</f>
        <v>1655504</v>
      </c>
      <c r="R56" s="1419" t="s">
        <v>818</v>
      </c>
    </row>
    <row r="57" spans="1:18" s="1383" customFormat="1" ht="24.75" thickBot="1">
      <c r="A57" s="1450"/>
      <c r="B57" s="950" t="s">
        <v>767</v>
      </c>
      <c r="C57" s="238">
        <f ca="1">C29</f>
        <v>691075</v>
      </c>
      <c r="D57" s="1451"/>
      <c r="E57" s="1452"/>
      <c r="F57" s="1453"/>
      <c r="I57" s="1454" t="s">
        <v>844</v>
      </c>
      <c r="J57" s="1455">
        <f ca="1">IF(OR(M47="住宅",J51&lt;L48,J56="是"),"——",J51-L48)</f>
        <v>21.05</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7512</v>
      </c>
      <c r="D58" s="960" t="s">
        <v>715</v>
      </c>
      <c r="E58" s="961"/>
      <c r="F58" s="962"/>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276430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f ca="1">IF(OR(M47="住宅",J51&lt;L48,J56="是"),"0",ROUND(J59/(1+J52)^J53,0))</f>
        <v>27421</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1655504</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6911</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601</v>
      </c>
      <c r="D65" s="964" t="s">
        <v>743</v>
      </c>
      <c r="E65" s="950" t="s">
        <v>744</v>
      </c>
      <c r="F65" s="330">
        <f t="shared" ca="1" si="0"/>
        <v>1E-3</v>
      </c>
      <c r="I65" s="1461" t="s">
        <v>867</v>
      </c>
      <c r="J65" s="1462">
        <v>40</v>
      </c>
      <c r="K65" s="1462">
        <v>30</v>
      </c>
      <c r="L65" s="1462">
        <v>50</v>
      </c>
      <c r="M65" s="1464">
        <v>0.02</v>
      </c>
      <c r="O65" s="1417" t="s">
        <v>403</v>
      </c>
      <c r="P65" s="1418" t="s">
        <v>868</v>
      </c>
      <c r="Q65" s="1419">
        <f ca="1">C40+J29</f>
        <v>1655504</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-7512</v>
      </c>
      <c r="D67" s="963" t="s">
        <v>753</v>
      </c>
      <c r="E67" s="968"/>
      <c r="F67" s="969"/>
      <c r="O67" s="1427" t="s">
        <v>405</v>
      </c>
      <c r="P67" s="1418" t="s">
        <v>850</v>
      </c>
      <c r="Q67" s="1465">
        <f ca="1">L51</f>
        <v>651699</v>
      </c>
      <c r="R67" s="1419" t="s">
        <v>870</v>
      </c>
    </row>
    <row r="68" spans="1:18" s="1383" customFormat="1" ht="16.5" thickBot="1">
      <c r="A68" s="947" t="s">
        <v>395</v>
      </c>
      <c r="B68" s="948" t="s">
        <v>774</v>
      </c>
      <c r="C68" s="301">
        <f ca="1">ROUND(C67*(1-((1+F70)/(1+F68))^F69)/(F68-F70),0)</f>
        <v>-111894</v>
      </c>
      <c r="D68" s="965" t="s">
        <v>758</v>
      </c>
      <c r="E68" s="950" t="s">
        <v>759</v>
      </c>
      <c r="F68" s="312">
        <f ca="1">F40</f>
        <v>5.5E-2</v>
      </c>
      <c r="O68" s="1427" t="s">
        <v>406</v>
      </c>
      <c r="P68" s="1466" t="s">
        <v>871</v>
      </c>
      <c r="Q68" s="1419">
        <f ca="1">ROUND(Q69-Q70*Q71,0)</f>
        <v>35240</v>
      </c>
      <c r="R68" s="1419" t="s">
        <v>414</v>
      </c>
    </row>
    <row r="69" spans="1:18" s="1383" customFormat="1" ht="13.5" thickBot="1">
      <c r="A69" s="951"/>
      <c r="B69" s="952"/>
      <c r="C69" s="306"/>
      <c r="D69" s="970" t="s">
        <v>762</v>
      </c>
      <c r="E69" s="950" t="s">
        <v>763</v>
      </c>
      <c r="F69" s="333">
        <f ca="1">F41</f>
        <v>31.95</v>
      </c>
      <c r="O69" s="1427" t="s">
        <v>411</v>
      </c>
      <c r="P69" s="1466" t="s">
        <v>872</v>
      </c>
      <c r="Q69" s="1419">
        <f ca="1">C39</f>
        <v>77326</v>
      </c>
      <c r="R69" s="1419" t="s">
        <v>818</v>
      </c>
    </row>
    <row r="70" spans="1:18" s="1383" customFormat="1" ht="13.5" thickBot="1">
      <c r="A70" s="954"/>
      <c r="B70" s="955"/>
      <c r="C70" s="310"/>
      <c r="D70" s="966"/>
      <c r="E70" s="950" t="s">
        <v>766</v>
      </c>
      <c r="F70" s="1053"/>
      <c r="O70" s="1427" t="s">
        <v>412</v>
      </c>
      <c r="P70" s="1466" t="s">
        <v>873</v>
      </c>
      <c r="Q70" s="1419">
        <f ca="1">C13</f>
        <v>601235</v>
      </c>
      <c r="R70" s="1419" t="s">
        <v>818</v>
      </c>
    </row>
    <row r="71" spans="1:18" s="1383" customFormat="1" ht="13.5" thickBot="1">
      <c r="A71" s="971" t="s">
        <v>396</v>
      </c>
      <c r="B71" s="972" t="s">
        <v>776</v>
      </c>
      <c r="C71" s="336">
        <f ca="1">ROUND(C68/F71,0)</f>
        <v>-1072</v>
      </c>
      <c r="D71" s="973" t="s">
        <v>777</v>
      </c>
      <c r="E71" s="974" t="s">
        <v>778</v>
      </c>
      <c r="F71" s="339">
        <f ca="1">F43</f>
        <v>104.4</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42086</v>
      </c>
      <c r="D75" s="1383"/>
      <c r="E75" s="1383"/>
      <c r="F75" s="1383"/>
      <c r="K75" s="1401"/>
      <c r="L75" s="1383"/>
      <c r="O75" s="1417" t="s">
        <v>409</v>
      </c>
      <c r="P75" s="1418" t="s">
        <v>838</v>
      </c>
      <c r="Q75" s="1419">
        <f ca="1">Q65+Q66</f>
        <v>1655504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0.45599999999999996</v>
      </c>
    </row>
    <row r="80" spans="1:18">
      <c r="B80" s="340" t="s">
        <v>800</v>
      </c>
      <c r="C80" s="274">
        <f ca="1">ROUND(C75/C39,3)</f>
        <v>0.54400000000000004</v>
      </c>
    </row>
    <row r="81" spans="2:3">
      <c r="B81" s="270" t="s">
        <v>801</v>
      </c>
      <c r="C81" s="238"/>
    </row>
    <row r="82" spans="2:3">
      <c r="B82" s="273" t="s">
        <v>802</v>
      </c>
      <c r="C82" s="275">
        <f ca="1">1-C83</f>
        <v>0.63700000000000001</v>
      </c>
    </row>
    <row r="83" spans="2:3">
      <c r="B83" s="273" t="s">
        <v>803</v>
      </c>
      <c r="C83" s="274">
        <f ca="1">ROUND(C13/C40,3)</f>
        <v>0.36299999999999999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3363</v>
      </c>
      <c r="E2" s="3443"/>
      <c r="F2" s="2845"/>
      <c r="G2" s="2846"/>
      <c r="H2" s="2847"/>
      <c r="I2" s="2848"/>
      <c r="J2" s="3651" t="s">
        <v>2320</v>
      </c>
      <c r="K2" s="3652"/>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53" t="s">
        <v>2330</v>
      </c>
      <c r="K3" s="3654"/>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53" t="s">
        <v>2332</v>
      </c>
      <c r="K4" s="3654"/>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59" t="s">
        <v>2336</v>
      </c>
      <c r="B6" s="3660"/>
      <c r="C6" s="3661"/>
      <c r="D6" s="2869"/>
      <c r="E6" s="2870"/>
      <c r="F6" s="2871"/>
      <c r="G6" s="2872"/>
      <c r="H6" s="2847"/>
      <c r="I6" s="2848"/>
      <c r="J6" s="3645">
        <v>1</v>
      </c>
      <c r="K6" s="3646"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45"/>
      <c r="K7" s="3647"/>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62" t="s">
        <v>2350</v>
      </c>
      <c r="C8" s="3663"/>
      <c r="D8" s="2888" t="s">
        <v>2351</v>
      </c>
      <c r="E8" s="2889" t="s">
        <v>2352</v>
      </c>
      <c r="F8" s="2890" t="s">
        <v>2353</v>
      </c>
      <c r="G8" s="2891"/>
      <c r="H8" s="2847"/>
      <c r="I8" s="2848"/>
      <c r="J8" s="3645"/>
      <c r="K8" s="3647"/>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62" t="s">
        <v>2356</v>
      </c>
      <c r="C9" s="3663"/>
      <c r="D9" s="2888">
        <f>ROUND(D6*E9,0)</f>
        <v>0</v>
      </c>
      <c r="E9" s="2892"/>
      <c r="F9" s="2893" t="s">
        <v>2357</v>
      </c>
      <c r="G9" s="2872"/>
      <c r="H9" s="2847"/>
      <c r="I9" s="2848"/>
      <c r="J9" s="3645"/>
      <c r="K9" s="3647"/>
      <c r="L9" s="2882" t="s">
        <v>2358</v>
      </c>
      <c r="M9" s="2883"/>
      <c r="N9" s="2859"/>
      <c r="O9" s="2884"/>
      <c r="P9" s="2884"/>
      <c r="Q9" s="2885">
        <v>365</v>
      </c>
      <c r="R9" s="2886">
        <f t="shared" si="0"/>
        <v>0</v>
      </c>
      <c r="S9" s="2840"/>
      <c r="T9" s="2840"/>
      <c r="U9" s="2840"/>
      <c r="V9" s="2848"/>
    </row>
    <row r="10" spans="1:22" s="2852" customFormat="1" ht="13.15" customHeight="1">
      <c r="A10" s="2887">
        <v>2</v>
      </c>
      <c r="B10" s="3662" t="s">
        <v>2359</v>
      </c>
      <c r="C10" s="3663"/>
      <c r="D10" s="2888">
        <f>ROUND(D6*E10,0)</f>
        <v>0</v>
      </c>
      <c r="E10" s="2892"/>
      <c r="F10" s="2893" t="s">
        <v>2360</v>
      </c>
      <c r="G10" s="2872"/>
      <c r="H10" s="2847"/>
      <c r="I10" s="2848"/>
      <c r="J10" s="3645"/>
      <c r="K10" s="3647"/>
      <c r="L10" s="2882" t="s">
        <v>2361</v>
      </c>
      <c r="M10" s="2883"/>
      <c r="N10" s="2859"/>
      <c r="O10" s="2884"/>
      <c r="P10" s="2884"/>
      <c r="Q10" s="2885">
        <v>365</v>
      </c>
      <c r="R10" s="2886">
        <f t="shared" si="0"/>
        <v>0</v>
      </c>
      <c r="S10" s="2840"/>
      <c r="T10" s="2840"/>
      <c r="U10" s="2840"/>
      <c r="V10" s="2848"/>
    </row>
    <row r="11" spans="1:22" s="2852" customFormat="1" ht="13.15" customHeight="1">
      <c r="A11" s="2887">
        <v>3</v>
      </c>
      <c r="B11" s="3662" t="s">
        <v>2362</v>
      </c>
      <c r="C11" s="3663"/>
      <c r="D11" s="2888">
        <f>D12+D14+D15+D16</f>
        <v>0</v>
      </c>
      <c r="E11" s="2894" t="e">
        <f>D11/D6</f>
        <v>#DIV/0!</v>
      </c>
      <c r="F11" s="2890"/>
      <c r="G11" s="2891"/>
      <c r="H11" s="2847"/>
      <c r="I11" s="2848"/>
      <c r="J11" s="3645"/>
      <c r="K11" s="3647"/>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55" t="s">
        <v>2365</v>
      </c>
      <c r="C12" s="3656"/>
      <c r="D12" s="2896">
        <f>ROUND(D13*1.2%*(1-30%),0)</f>
        <v>0</v>
      </c>
      <c r="E12" s="2897">
        <v>1.2E-2</v>
      </c>
      <c r="F12" s="2890" t="s">
        <v>2366</v>
      </c>
      <c r="G12" s="2891"/>
      <c r="H12" s="2847"/>
      <c r="I12" s="2848"/>
      <c r="J12" s="3645"/>
      <c r="K12" s="3647"/>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45"/>
      <c r="K13" s="3647"/>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55" t="s">
        <v>2371</v>
      </c>
      <c r="C14" s="3656"/>
      <c r="D14" s="2896">
        <f>ROUND(E14*B5/10000,0)</f>
        <v>0</v>
      </c>
      <c r="E14" s="2885"/>
      <c r="F14" s="2890" t="s">
        <v>2372</v>
      </c>
      <c r="G14" s="2891"/>
      <c r="H14" s="2847"/>
      <c r="I14" s="2848"/>
      <c r="J14" s="3645"/>
      <c r="K14" s="3648"/>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55" t="s">
        <v>2375</v>
      </c>
      <c r="C15" s="3656"/>
      <c r="D15" s="2896">
        <f>ROUND(D6*E15,0)</f>
        <v>0</v>
      </c>
      <c r="E15" s="2897">
        <v>5.5E-2</v>
      </c>
      <c r="F15" s="2890" t="s">
        <v>2376</v>
      </c>
      <c r="G15" s="2872"/>
      <c r="H15" s="2847"/>
      <c r="I15" s="2848"/>
      <c r="J15" s="3645">
        <v>2</v>
      </c>
      <c r="K15" s="3646"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55" t="s">
        <v>2384</v>
      </c>
      <c r="C16" s="3656"/>
      <c r="D16" s="2907">
        <f>D6*E16</f>
        <v>0</v>
      </c>
      <c r="E16" s="2908"/>
      <c r="F16" s="2893" t="s">
        <v>2385</v>
      </c>
      <c r="G16" s="2872"/>
      <c r="H16" s="2847"/>
      <c r="I16" s="2848"/>
      <c r="J16" s="3645"/>
      <c r="K16" s="3647"/>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57" t="s">
        <v>2387</v>
      </c>
      <c r="C17" s="3658"/>
      <c r="D17" s="2910">
        <f>ROUND(D6*E17,0)</f>
        <v>0</v>
      </c>
      <c r="E17" s="2911"/>
      <c r="F17" s="2912" t="s">
        <v>2388</v>
      </c>
      <c r="G17" s="2872"/>
      <c r="H17" s="2847"/>
      <c r="I17" s="2848"/>
      <c r="J17" s="3645"/>
      <c r="K17" s="3647"/>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45"/>
      <c r="K18" s="3647"/>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45"/>
      <c r="K19" s="3648"/>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5">
        <v>3</v>
      </c>
      <c r="K20" s="3646"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45"/>
      <c r="K21" s="3647"/>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45"/>
      <c r="K22" s="3647"/>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45"/>
      <c r="K23" s="3647"/>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45"/>
      <c r="K24" s="3648"/>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49">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5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51" t="s">
        <v>2320</v>
      </c>
      <c r="K32" s="3652"/>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53" t="s">
        <v>2330</v>
      </c>
      <c r="K33" s="3654"/>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53" t="s">
        <v>2332</v>
      </c>
      <c r="K34" s="365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45">
        <v>1</v>
      </c>
      <c r="K36" s="3646"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45"/>
      <c r="K37" s="3647"/>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5"/>
      <c r="K38" s="3647"/>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45"/>
      <c r="K39" s="3647"/>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45"/>
      <c r="K40" s="3648"/>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49">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5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168.29249999999999</v>
      </c>
      <c r="C2" s="1871" t="s">
        <v>1651</v>
      </c>
      <c r="D2" s="1872" t="s">
        <v>1652</v>
      </c>
      <c r="E2" s="2606">
        <f>SUM(E6:E13)</f>
        <v>104.4</v>
      </c>
      <c r="F2" s="2706"/>
      <c r="G2" s="1488"/>
      <c r="H2" s="1488"/>
      <c r="I2" s="1488"/>
      <c r="J2" s="1488"/>
      <c r="K2" s="1488"/>
      <c r="L2" s="1488"/>
      <c r="M2" s="1488"/>
      <c r="N2" s="1488"/>
      <c r="O2" s="1488"/>
      <c r="P2" s="1488"/>
      <c r="Q2" s="1488"/>
      <c r="R2" s="1488"/>
      <c r="S2" s="1488"/>
    </row>
    <row r="3" spans="1:22" ht="15.75">
      <c r="A3" s="1869" t="s">
        <v>686</v>
      </c>
      <c r="B3" s="2600">
        <f ca="1">ROUND(B2*10000/E2,0)</f>
        <v>16120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64" t="s">
        <v>1654</v>
      </c>
      <c r="C5" s="366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168.29249999999999</v>
      </c>
      <c r="C6" s="1871" t="s">
        <v>1651</v>
      </c>
      <c r="D6" s="2708"/>
      <c r="E6" s="2605">
        <f>IF(OR(A6=0,F6="否"),0,'数据-取费表'!K6+'数据-取费表'!S6)</f>
        <v>104.4</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104.4</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4" t="s">
        <v>1667</v>
      </c>
      <c r="D4" s="3685"/>
      <c r="E4" s="3686" t="s">
        <v>1668</v>
      </c>
      <c r="F4" s="3687"/>
      <c r="G4" s="3684" t="s">
        <v>1669</v>
      </c>
      <c r="H4" s="3685"/>
      <c r="I4" s="3684" t="s">
        <v>1670</v>
      </c>
      <c r="J4" s="3685"/>
      <c r="K4" s="1888" t="s">
        <v>1671</v>
      </c>
      <c r="L4" s="2714"/>
      <c r="M4" s="2715"/>
      <c r="N4" s="2715"/>
      <c r="O4" s="2715"/>
      <c r="P4" s="3688" t="s">
        <v>1672</v>
      </c>
      <c r="Q4" s="3689"/>
      <c r="R4" s="3694" t="s">
        <v>1668</v>
      </c>
      <c r="S4" s="3695"/>
      <c r="T4" s="3694" t="s">
        <v>1669</v>
      </c>
      <c r="U4" s="3695"/>
      <c r="V4" s="3700" t="s">
        <v>1670</v>
      </c>
      <c r="W4" s="3700"/>
      <c r="X4" s="1354"/>
      <c r="Y4" s="3694" t="s">
        <v>1672</v>
      </c>
      <c r="Z4" s="3695"/>
      <c r="AA4" s="3681" t="s">
        <v>1668</v>
      </c>
      <c r="AB4" s="3681" t="s">
        <v>1669</v>
      </c>
      <c r="AC4" s="3681" t="s">
        <v>1670</v>
      </c>
    </row>
    <row r="5" spans="1:29" ht="15">
      <c r="A5" s="358"/>
      <c r="B5" s="359"/>
      <c r="C5" s="3703" t="s">
        <v>1673</v>
      </c>
      <c r="D5" s="3704"/>
      <c r="E5" s="3710" t="s">
        <v>1674</v>
      </c>
      <c r="F5" s="3711"/>
      <c r="G5" s="3703" t="s">
        <v>1675</v>
      </c>
      <c r="H5" s="3704"/>
      <c r="I5" s="3703" t="s">
        <v>1676</v>
      </c>
      <c r="J5" s="3704"/>
      <c r="K5" s="1889"/>
      <c r="L5" s="2714"/>
      <c r="M5" s="2715"/>
      <c r="N5" s="2715"/>
      <c r="O5" s="2715"/>
      <c r="P5" s="3690"/>
      <c r="Q5" s="3691"/>
      <c r="R5" s="3696"/>
      <c r="S5" s="3697"/>
      <c r="T5" s="3696"/>
      <c r="U5" s="3697"/>
      <c r="V5" s="3700"/>
      <c r="W5" s="3700"/>
      <c r="X5" s="1354"/>
      <c r="Y5" s="3696"/>
      <c r="Z5" s="3697"/>
      <c r="AA5" s="3682"/>
      <c r="AB5" s="3682"/>
      <c r="AC5" s="3682"/>
    </row>
    <row r="6" spans="1:29" ht="15.75" thickBot="1">
      <c r="A6" s="360"/>
      <c r="B6" s="361"/>
      <c r="C6" s="3701" t="s">
        <v>1677</v>
      </c>
      <c r="D6" s="3702"/>
      <c r="E6" s="3708" t="s">
        <v>1677</v>
      </c>
      <c r="F6" s="3709"/>
      <c r="G6" s="3701" t="s">
        <v>1677</v>
      </c>
      <c r="H6" s="3702"/>
      <c r="I6" s="3701" t="s">
        <v>1677</v>
      </c>
      <c r="J6" s="3702"/>
      <c r="K6" s="1889" t="s">
        <v>1678</v>
      </c>
      <c r="L6" s="2714"/>
      <c r="M6" s="2715"/>
      <c r="N6" s="2715"/>
      <c r="O6" s="2715"/>
      <c r="P6" s="3692"/>
      <c r="Q6" s="3693"/>
      <c r="R6" s="3696"/>
      <c r="S6" s="3697"/>
      <c r="T6" s="3698"/>
      <c r="U6" s="3699"/>
      <c r="V6" s="3700"/>
      <c r="W6" s="3700"/>
      <c r="X6" s="1354"/>
      <c r="Y6" s="3698"/>
      <c r="Z6" s="3699"/>
      <c r="AA6" s="3683"/>
      <c r="AB6" s="3683"/>
      <c r="AC6" s="3683"/>
    </row>
    <row r="7" spans="1:29" s="108" customFormat="1" ht="15.75" thickBot="1">
      <c r="A7" s="362" t="s">
        <v>1679</v>
      </c>
      <c r="B7" s="363"/>
      <c r="C7" s="364">
        <f>'数据-取费表'!B2</f>
        <v>45108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5" t="s">
        <v>1680</v>
      </c>
      <c r="Q7" s="3707"/>
      <c r="R7" s="701" t="s">
        <v>20</v>
      </c>
      <c r="S7" s="702">
        <f t="shared" ref="S7:S15" si="0">F7</f>
        <v>0</v>
      </c>
      <c r="T7" s="701" t="s">
        <v>20</v>
      </c>
      <c r="U7" s="702">
        <f t="shared" ref="U7:U15" si="1">H7</f>
        <v>0</v>
      </c>
      <c r="V7" s="701" t="s">
        <v>20</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5" t="s">
        <v>1683</v>
      </c>
      <c r="Q8" s="3706"/>
      <c r="R8" s="701" t="s">
        <v>20</v>
      </c>
      <c r="S8" s="702">
        <f t="shared" si="0"/>
        <v>100</v>
      </c>
      <c r="T8" s="701" t="s">
        <v>20</v>
      </c>
      <c r="U8" s="702">
        <f t="shared" si="1"/>
        <v>100</v>
      </c>
      <c r="V8" s="701" t="s">
        <v>20</v>
      </c>
      <c r="W8" s="702">
        <f t="shared" si="2"/>
        <v>100</v>
      </c>
      <c r="X8" s="703"/>
      <c r="Y8" s="3705" t="s">
        <v>1683</v>
      </c>
      <c r="Z8" s="370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0" t="s">
        <v>1686</v>
      </c>
      <c r="Q9" s="1342"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0"/>
      <c r="Q10" s="1342"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0"/>
      <c r="Q11" s="1342" t="str">
        <f t="shared" si="6"/>
        <v>容积率</v>
      </c>
      <c r="R11" s="701" t="s">
        <v>18</v>
      </c>
      <c r="S11" s="702" t="e">
        <f t="shared" si="0"/>
        <v>#N/A</v>
      </c>
      <c r="T11" s="701" t="s">
        <v>18</v>
      </c>
      <c r="U11" s="702" t="e">
        <f t="shared" si="1"/>
        <v>#N/A</v>
      </c>
      <c r="V11" s="701" t="s">
        <v>18</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0"/>
      <c r="Q12" s="1342">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0"/>
      <c r="Q13" s="1342">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0"/>
      <c r="Q14" s="1342">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8" t="s">
        <v>1691</v>
      </c>
      <c r="Q15" s="1351" t="str">
        <f t="shared" si="6"/>
        <v>居住社区成熟度</v>
      </c>
      <c r="R15" s="705" t="s">
        <v>18</v>
      </c>
      <c r="S15" s="706">
        <f t="shared" si="0"/>
        <v>100</v>
      </c>
      <c r="T15" s="705" t="s">
        <v>18</v>
      </c>
      <c r="U15" s="706">
        <f t="shared" si="1"/>
        <v>100</v>
      </c>
      <c r="V15" s="705" t="s">
        <v>18</v>
      </c>
      <c r="W15" s="706">
        <f t="shared" si="2"/>
        <v>100</v>
      </c>
      <c r="X15" s="1354"/>
      <c r="Y15" s="367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79"/>
      <c r="Q16" s="1351"/>
      <c r="R16" s="705"/>
      <c r="S16" s="706"/>
      <c r="T16" s="705"/>
      <c r="U16" s="706"/>
      <c r="V16" s="705"/>
      <c r="W16" s="706"/>
      <c r="X16" s="1354"/>
      <c r="Y16" s="3672"/>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9"/>
      <c r="Q17" s="1351" t="str">
        <f>B17</f>
        <v>交通便捷度</v>
      </c>
      <c r="R17" s="705" t="s">
        <v>18</v>
      </c>
      <c r="S17" s="706">
        <f>F17</f>
        <v>100</v>
      </c>
      <c r="T17" s="705" t="s">
        <v>18</v>
      </c>
      <c r="U17" s="706">
        <f>H17</f>
        <v>100</v>
      </c>
      <c r="V17" s="705" t="s">
        <v>18</v>
      </c>
      <c r="W17" s="706">
        <f>J17</f>
        <v>100</v>
      </c>
      <c r="X17" s="1354"/>
      <c r="Y17" s="367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79"/>
      <c r="Q18" s="1351"/>
      <c r="R18" s="705"/>
      <c r="S18" s="706"/>
      <c r="T18" s="705"/>
      <c r="U18" s="706"/>
      <c r="V18" s="705"/>
      <c r="W18" s="706"/>
      <c r="X18" s="1354"/>
      <c r="Y18" s="3672"/>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9"/>
      <c r="Q19" s="1351" t="str">
        <f>B19</f>
        <v>公共配套设施</v>
      </c>
      <c r="R19" s="705" t="s">
        <v>18</v>
      </c>
      <c r="S19" s="706">
        <f>F19</f>
        <v>100</v>
      </c>
      <c r="T19" s="705" t="s">
        <v>18</v>
      </c>
      <c r="U19" s="706">
        <f>H19</f>
        <v>100</v>
      </c>
      <c r="V19" s="705" t="s">
        <v>18</v>
      </c>
      <c r="W19" s="706">
        <f>J19</f>
        <v>100</v>
      </c>
      <c r="X19" s="1354"/>
      <c r="Y19" s="367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79"/>
      <c r="Q20" s="1351"/>
      <c r="R20" s="705"/>
      <c r="S20" s="706"/>
      <c r="T20" s="705"/>
      <c r="U20" s="706"/>
      <c r="V20" s="705"/>
      <c r="W20" s="706"/>
      <c r="X20" s="1354"/>
      <c r="Y20" s="3672"/>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9"/>
      <c r="Q21" s="1351" t="str">
        <f>B21</f>
        <v>基础设施水平</v>
      </c>
      <c r="R21" s="705" t="s">
        <v>14</v>
      </c>
      <c r="S21" s="706">
        <f>F21</f>
        <v>100</v>
      </c>
      <c r="T21" s="705" t="s">
        <v>14</v>
      </c>
      <c r="U21" s="706">
        <f>H21</f>
        <v>100</v>
      </c>
      <c r="V21" s="705" t="s">
        <v>14</v>
      </c>
      <c r="W21" s="706">
        <f>J21</f>
        <v>100</v>
      </c>
      <c r="X21" s="1354"/>
      <c r="Y21" s="367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79"/>
      <c r="Q22" s="1351"/>
      <c r="R22" s="705"/>
      <c r="S22" s="706"/>
      <c r="T22" s="705"/>
      <c r="U22" s="706"/>
      <c r="V22" s="705"/>
      <c r="W22" s="706"/>
      <c r="X22" s="1354"/>
      <c r="Y22" s="3672"/>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9"/>
      <c r="Q23" s="1351" t="str">
        <f>B23</f>
        <v>自然及人文环境</v>
      </c>
      <c r="R23" s="705" t="s">
        <v>18</v>
      </c>
      <c r="S23" s="706">
        <f>F23</f>
        <v>100</v>
      </c>
      <c r="T23" s="705" t="s">
        <v>18</v>
      </c>
      <c r="U23" s="706">
        <f>H23</f>
        <v>100</v>
      </c>
      <c r="V23" s="705" t="s">
        <v>18</v>
      </c>
      <c r="W23" s="706">
        <f>J23</f>
        <v>100</v>
      </c>
      <c r="X23" s="1354"/>
      <c r="Y23" s="367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79"/>
      <c r="Q24" s="1351"/>
      <c r="R24" s="705"/>
      <c r="S24" s="706"/>
      <c r="T24" s="705"/>
      <c r="U24" s="706"/>
      <c r="V24" s="705"/>
      <c r="W24" s="706"/>
      <c r="X24" s="1354"/>
      <c r="Y24" s="367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7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7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79"/>
      <c r="Q26" s="1351" t="str">
        <f t="shared" si="11"/>
        <v>朝向</v>
      </c>
      <c r="R26" s="705" t="s">
        <v>18</v>
      </c>
      <c r="S26" s="706">
        <f t="shared" si="12"/>
        <v>100</v>
      </c>
      <c r="T26" s="705" t="s">
        <v>18</v>
      </c>
      <c r="U26" s="706">
        <f t="shared" si="13"/>
        <v>100</v>
      </c>
      <c r="V26" s="705" t="s">
        <v>18</v>
      </c>
      <c r="W26" s="706">
        <f t="shared" si="14"/>
        <v>100</v>
      </c>
      <c r="X26" s="1354"/>
      <c r="Y26" s="367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79"/>
      <c r="Q27" s="1342">
        <f t="shared" si="11"/>
        <v>111</v>
      </c>
      <c r="R27" s="701" t="s">
        <v>18</v>
      </c>
      <c r="S27" s="702">
        <f t="shared" si="12"/>
        <v>100</v>
      </c>
      <c r="T27" s="701" t="s">
        <v>18</v>
      </c>
      <c r="U27" s="702">
        <f t="shared" si="13"/>
        <v>100</v>
      </c>
      <c r="V27" s="701" t="s">
        <v>18</v>
      </c>
      <c r="W27" s="702">
        <f t="shared" si="14"/>
        <v>100</v>
      </c>
      <c r="X27" s="703"/>
      <c r="Y27" s="367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79"/>
      <c r="Q28" s="1351">
        <f t="shared" si="11"/>
        <v>111</v>
      </c>
      <c r="R28" s="705" t="s">
        <v>18</v>
      </c>
      <c r="S28" s="706">
        <f t="shared" si="12"/>
        <v>100</v>
      </c>
      <c r="T28" s="705" t="s">
        <v>18</v>
      </c>
      <c r="U28" s="706">
        <f t="shared" si="13"/>
        <v>100</v>
      </c>
      <c r="V28" s="705" t="s">
        <v>18</v>
      </c>
      <c r="W28" s="706">
        <f t="shared" si="14"/>
        <v>100</v>
      </c>
      <c r="X28" s="1354"/>
      <c r="Y28" s="367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79"/>
      <c r="Q29" s="1351">
        <f t="shared" si="11"/>
        <v>111</v>
      </c>
      <c r="R29" s="705" t="s">
        <v>18</v>
      </c>
      <c r="S29" s="706">
        <f t="shared" si="12"/>
        <v>100</v>
      </c>
      <c r="T29" s="705" t="s">
        <v>18</v>
      </c>
      <c r="U29" s="706">
        <f t="shared" si="13"/>
        <v>100</v>
      </c>
      <c r="V29" s="705" t="s">
        <v>18</v>
      </c>
      <c r="W29" s="706">
        <f t="shared" si="14"/>
        <v>100</v>
      </c>
      <c r="X29" s="1354"/>
      <c r="Y29" s="367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79"/>
      <c r="Q30" s="1351">
        <f t="shared" si="11"/>
        <v>111</v>
      </c>
      <c r="R30" s="705" t="s">
        <v>18</v>
      </c>
      <c r="S30" s="706">
        <f t="shared" si="12"/>
        <v>100</v>
      </c>
      <c r="T30" s="705" t="s">
        <v>18</v>
      </c>
      <c r="U30" s="706">
        <f t="shared" si="13"/>
        <v>100</v>
      </c>
      <c r="V30" s="705" t="s">
        <v>18</v>
      </c>
      <c r="W30" s="706">
        <f t="shared" si="14"/>
        <v>100</v>
      </c>
      <c r="X30" s="1354"/>
      <c r="Y30" s="367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79"/>
      <c r="Q31" s="1351">
        <f t="shared" si="11"/>
        <v>111</v>
      </c>
      <c r="R31" s="705" t="s">
        <v>18</v>
      </c>
      <c r="S31" s="706">
        <f t="shared" si="12"/>
        <v>100</v>
      </c>
      <c r="T31" s="705" t="s">
        <v>18</v>
      </c>
      <c r="U31" s="706">
        <f t="shared" si="13"/>
        <v>100</v>
      </c>
      <c r="V31" s="705" t="s">
        <v>18</v>
      </c>
      <c r="W31" s="706">
        <f t="shared" si="14"/>
        <v>100</v>
      </c>
      <c r="X31" s="1354"/>
      <c r="Y31" s="367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3" t="s">
        <v>1696</v>
      </c>
      <c r="Q32" s="1351" t="str">
        <f t="shared" si="11"/>
        <v>建筑类型</v>
      </c>
      <c r="R32" s="705" t="s">
        <v>18</v>
      </c>
      <c r="S32" s="706">
        <f t="shared" si="12"/>
        <v>100</v>
      </c>
      <c r="T32" s="705" t="s">
        <v>18</v>
      </c>
      <c r="U32" s="706">
        <f t="shared" si="13"/>
        <v>100</v>
      </c>
      <c r="V32" s="705" t="s">
        <v>18</v>
      </c>
      <c r="W32" s="706">
        <f t="shared" si="14"/>
        <v>100</v>
      </c>
      <c r="X32" s="1354"/>
      <c r="Y32" s="367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74"/>
      <c r="Q33" s="707" t="str">
        <f t="shared" si="11"/>
        <v>项目建筑规模</v>
      </c>
      <c r="R33" s="708" t="s">
        <v>18</v>
      </c>
      <c r="S33" s="709" t="e">
        <f t="shared" si="12"/>
        <v>#N/A</v>
      </c>
      <c r="T33" s="708" t="s">
        <v>18</v>
      </c>
      <c r="U33" s="709" t="e">
        <f t="shared" si="13"/>
        <v>#N/A</v>
      </c>
      <c r="V33" s="708" t="s">
        <v>18</v>
      </c>
      <c r="W33" s="709" t="e">
        <f t="shared" si="14"/>
        <v>#N/A</v>
      </c>
      <c r="X33" s="710"/>
      <c r="Y33" s="3676"/>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74"/>
      <c r="Q34" s="1351" t="str">
        <f t="shared" si="11"/>
        <v>建筑结构</v>
      </c>
      <c r="R34" s="705" t="s">
        <v>18</v>
      </c>
      <c r="S34" s="706">
        <f t="shared" si="12"/>
        <v>100</v>
      </c>
      <c r="T34" s="705" t="s">
        <v>18</v>
      </c>
      <c r="U34" s="706">
        <f t="shared" si="13"/>
        <v>100</v>
      </c>
      <c r="V34" s="705" t="s">
        <v>18</v>
      </c>
      <c r="W34" s="706">
        <f t="shared" si="14"/>
        <v>100</v>
      </c>
      <c r="X34" s="1354"/>
      <c r="Y34" s="367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74"/>
      <c r="Q35" s="1351" t="str">
        <f t="shared" si="11"/>
        <v>建筑品质</v>
      </c>
      <c r="R35" s="705" t="s">
        <v>18</v>
      </c>
      <c r="S35" s="706">
        <f t="shared" si="12"/>
        <v>100</v>
      </c>
      <c r="T35" s="705" t="s">
        <v>18</v>
      </c>
      <c r="U35" s="706">
        <f t="shared" si="13"/>
        <v>100</v>
      </c>
      <c r="V35" s="705" t="s">
        <v>18</v>
      </c>
      <c r="W35" s="706">
        <f t="shared" si="14"/>
        <v>100</v>
      </c>
      <c r="X35" s="1354"/>
      <c r="Y35" s="367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74"/>
      <c r="Q36" s="1351" t="str">
        <f t="shared" si="11"/>
        <v>公共部分装修</v>
      </c>
      <c r="R36" s="705" t="s">
        <v>18</v>
      </c>
      <c r="S36" s="706">
        <f t="shared" si="12"/>
        <v>100</v>
      </c>
      <c r="T36" s="705" t="s">
        <v>18</v>
      </c>
      <c r="U36" s="706">
        <f t="shared" si="13"/>
        <v>100</v>
      </c>
      <c r="V36" s="705" t="s">
        <v>18</v>
      </c>
      <c r="W36" s="706">
        <f t="shared" si="14"/>
        <v>100</v>
      </c>
      <c r="X36" s="1354"/>
      <c r="Y36" s="367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4"/>
      <c r="Q37" s="1342" t="str">
        <f t="shared" si="11"/>
        <v>成新度</v>
      </c>
      <c r="R37" s="701" t="s">
        <v>18</v>
      </c>
      <c r="S37" s="702" t="e">
        <f t="shared" si="12"/>
        <v>#N/A</v>
      </c>
      <c r="T37" s="701" t="s">
        <v>18</v>
      </c>
      <c r="U37" s="702" t="e">
        <f t="shared" si="13"/>
        <v>#N/A</v>
      </c>
      <c r="V37" s="701" t="s">
        <v>18</v>
      </c>
      <c r="W37" s="702" t="e">
        <f t="shared" si="14"/>
        <v>#N/A</v>
      </c>
      <c r="X37" s="703"/>
      <c r="Y37" s="3676"/>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74" t="s">
        <v>1696</v>
      </c>
      <c r="Q38" s="1351" t="str">
        <f t="shared" si="11"/>
        <v>物业管理</v>
      </c>
      <c r="R38" s="705" t="s">
        <v>18</v>
      </c>
      <c r="S38" s="706">
        <f t="shared" si="12"/>
        <v>100</v>
      </c>
      <c r="T38" s="705" t="s">
        <v>18</v>
      </c>
      <c r="U38" s="706">
        <f t="shared" si="13"/>
        <v>100</v>
      </c>
      <c r="V38" s="705" t="s">
        <v>18</v>
      </c>
      <c r="W38" s="706">
        <f t="shared" si="14"/>
        <v>100</v>
      </c>
      <c r="X38" s="1354"/>
      <c r="Y38" s="367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74"/>
      <c r="Q39" s="1351" t="str">
        <f t="shared" si="11"/>
        <v>市政基础设施</v>
      </c>
      <c r="R39" s="705" t="s">
        <v>18</v>
      </c>
      <c r="S39" s="706">
        <f t="shared" si="12"/>
        <v>100</v>
      </c>
      <c r="T39" s="705" t="s">
        <v>18</v>
      </c>
      <c r="U39" s="706">
        <f t="shared" si="13"/>
        <v>100</v>
      </c>
      <c r="V39" s="705" t="s">
        <v>18</v>
      </c>
      <c r="W39" s="706">
        <f t="shared" si="14"/>
        <v>100</v>
      </c>
      <c r="X39" s="1354"/>
      <c r="Y39" s="367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74"/>
      <c r="Q40" s="1351" t="str">
        <f t="shared" si="11"/>
        <v>房型</v>
      </c>
      <c r="R40" s="705" t="s">
        <v>18</v>
      </c>
      <c r="S40" s="706">
        <f t="shared" si="12"/>
        <v>100</v>
      </c>
      <c r="T40" s="705" t="s">
        <v>18</v>
      </c>
      <c r="U40" s="706">
        <f t="shared" si="13"/>
        <v>100</v>
      </c>
      <c r="V40" s="705" t="s">
        <v>18</v>
      </c>
      <c r="W40" s="706">
        <f t="shared" si="14"/>
        <v>100</v>
      </c>
      <c r="X40" s="1354"/>
      <c r="Y40" s="367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74"/>
      <c r="Q41" s="707" t="str">
        <f t="shared" si="11"/>
        <v>单套/主力户型建筑面积</v>
      </c>
      <c r="R41" s="708" t="s">
        <v>18</v>
      </c>
      <c r="S41" s="709">
        <f t="shared" si="12"/>
        <v>100</v>
      </c>
      <c r="T41" s="708" t="s">
        <v>18</v>
      </c>
      <c r="U41" s="709">
        <f t="shared" si="13"/>
        <v>100</v>
      </c>
      <c r="V41" s="708" t="s">
        <v>18</v>
      </c>
      <c r="W41" s="709">
        <f t="shared" si="14"/>
        <v>100</v>
      </c>
      <c r="X41" s="710"/>
      <c r="Y41" s="3676"/>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74"/>
      <c r="Q42" s="1351" t="str">
        <f t="shared" si="11"/>
        <v>内部装修</v>
      </c>
      <c r="R42" s="705" t="s">
        <v>18</v>
      </c>
      <c r="S42" s="706">
        <f t="shared" si="12"/>
        <v>100</v>
      </c>
      <c r="T42" s="705" t="s">
        <v>18</v>
      </c>
      <c r="U42" s="706">
        <f t="shared" si="13"/>
        <v>100</v>
      </c>
      <c r="V42" s="705" t="s">
        <v>18</v>
      </c>
      <c r="W42" s="706">
        <f t="shared" si="14"/>
        <v>100</v>
      </c>
      <c r="X42" s="1354"/>
      <c r="Y42" s="367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74"/>
      <c r="Q43" s="1351" t="str">
        <f t="shared" si="11"/>
        <v>内部装修维护情况</v>
      </c>
      <c r="R43" s="705" t="s">
        <v>18</v>
      </c>
      <c r="S43" s="706">
        <f t="shared" si="12"/>
        <v>100</v>
      </c>
      <c r="T43" s="705" t="s">
        <v>18</v>
      </c>
      <c r="U43" s="706">
        <f t="shared" si="13"/>
        <v>100</v>
      </c>
      <c r="V43" s="705" t="s">
        <v>18</v>
      </c>
      <c r="W43" s="706">
        <f t="shared" si="14"/>
        <v>100</v>
      </c>
      <c r="X43" s="1354"/>
      <c r="Y43" s="367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74"/>
      <c r="Q44" s="1342">
        <f t="shared" si="11"/>
        <v>111</v>
      </c>
      <c r="R44" s="701" t="s">
        <v>18</v>
      </c>
      <c r="S44" s="702">
        <f t="shared" si="12"/>
        <v>100</v>
      </c>
      <c r="T44" s="701" t="s">
        <v>18</v>
      </c>
      <c r="U44" s="702">
        <f t="shared" si="13"/>
        <v>100</v>
      </c>
      <c r="V44" s="701" t="s">
        <v>18</v>
      </c>
      <c r="W44" s="702">
        <f t="shared" si="14"/>
        <v>100</v>
      </c>
      <c r="X44" s="703"/>
      <c r="Y44" s="3676"/>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74"/>
      <c r="Q45" s="1351">
        <f t="shared" si="11"/>
        <v>111</v>
      </c>
      <c r="R45" s="705" t="s">
        <v>18</v>
      </c>
      <c r="S45" s="706">
        <f t="shared" si="12"/>
        <v>100</v>
      </c>
      <c r="T45" s="705" t="s">
        <v>18</v>
      </c>
      <c r="U45" s="706">
        <f t="shared" si="13"/>
        <v>100</v>
      </c>
      <c r="V45" s="705" t="s">
        <v>18</v>
      </c>
      <c r="W45" s="706">
        <f t="shared" si="14"/>
        <v>100</v>
      </c>
      <c r="X45" s="1354"/>
      <c r="Y45" s="367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75"/>
      <c r="Q46" s="1351">
        <f t="shared" si="11"/>
        <v>111</v>
      </c>
      <c r="R46" s="705" t="s">
        <v>17</v>
      </c>
      <c r="S46" s="706">
        <f t="shared" si="12"/>
        <v>100</v>
      </c>
      <c r="T46" s="705" t="s">
        <v>17</v>
      </c>
      <c r="U46" s="706">
        <f t="shared" si="13"/>
        <v>100</v>
      </c>
      <c r="V46" s="705" t="s">
        <v>17</v>
      </c>
      <c r="W46" s="706">
        <f t="shared" si="14"/>
        <v>100</v>
      </c>
      <c r="X46" s="1354"/>
      <c r="Y46" s="3677"/>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69" t="str">
        <f>A47</f>
        <v>成交单价（元/平方米）</v>
      </c>
      <c r="Q47" s="3669"/>
      <c r="R47" s="3670">
        <f>E47</f>
        <v>0</v>
      </c>
      <c r="S47" s="3670"/>
      <c r="T47" s="3670">
        <f>G47</f>
        <v>0</v>
      </c>
      <c r="U47" s="3670"/>
      <c r="V47" s="3670">
        <f>I47</f>
        <v>0</v>
      </c>
      <c r="W47" s="3670"/>
      <c r="X47" s="690"/>
      <c r="Y47" s="712"/>
      <c r="Z47" s="690"/>
      <c r="AA47" s="690"/>
      <c r="AB47" s="690"/>
      <c r="AC47" s="690"/>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3"/>
      <c r="M49" s="2724"/>
      <c r="N49" s="2724"/>
      <c r="O49" s="2724"/>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104.4</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94" t="s">
        <v>1771</v>
      </c>
      <c r="S4" s="3695"/>
      <c r="T4" s="3694" t="s">
        <v>1772</v>
      </c>
      <c r="U4" s="3695"/>
      <c r="V4" s="3700" t="s">
        <v>1773</v>
      </c>
      <c r="W4" s="3700"/>
      <c r="X4" s="1354"/>
      <c r="Y4" s="3694" t="s">
        <v>1775</v>
      </c>
      <c r="Z4" s="3695"/>
      <c r="AA4" s="3681" t="s">
        <v>1771</v>
      </c>
      <c r="AB4" s="3700" t="s">
        <v>1772</v>
      </c>
      <c r="AC4" s="3681" t="s">
        <v>1773</v>
      </c>
    </row>
    <row r="5" spans="1:29" ht="15">
      <c r="A5" s="358"/>
      <c r="B5" s="359"/>
      <c r="C5" s="3703" t="s">
        <v>1673</v>
      </c>
      <c r="D5" s="3704"/>
      <c r="E5" s="3710" t="s">
        <v>1674</v>
      </c>
      <c r="F5" s="3711"/>
      <c r="G5" s="3703" t="s">
        <v>1675</v>
      </c>
      <c r="H5" s="3704"/>
      <c r="I5" s="3703" t="s">
        <v>1676</v>
      </c>
      <c r="J5" s="3704"/>
      <c r="K5" s="559"/>
      <c r="L5" s="2714"/>
      <c r="M5" s="2715"/>
      <c r="N5" s="2715"/>
      <c r="O5" s="2715"/>
      <c r="P5" s="3690"/>
      <c r="Q5" s="3691"/>
      <c r="R5" s="3696"/>
      <c r="S5" s="3697"/>
      <c r="T5" s="3696"/>
      <c r="U5" s="3697"/>
      <c r="V5" s="3700"/>
      <c r="W5" s="3700"/>
      <c r="X5" s="1354"/>
      <c r="Y5" s="3696"/>
      <c r="Z5" s="3697"/>
      <c r="AA5" s="3682"/>
      <c r="AB5" s="3700"/>
      <c r="AC5" s="3682"/>
    </row>
    <row r="6" spans="1:29" ht="15.75" thickBot="1">
      <c r="A6" s="360"/>
      <c r="B6" s="361"/>
      <c r="C6" s="3701" t="s">
        <v>1677</v>
      </c>
      <c r="D6" s="3702"/>
      <c r="E6" s="3708" t="s">
        <v>1677</v>
      </c>
      <c r="F6" s="3709"/>
      <c r="G6" s="3701" t="s">
        <v>1677</v>
      </c>
      <c r="H6" s="3702"/>
      <c r="I6" s="3701" t="s">
        <v>1677</v>
      </c>
      <c r="J6" s="3702"/>
      <c r="K6" s="559" t="s">
        <v>1678</v>
      </c>
      <c r="L6" s="2714"/>
      <c r="M6" s="2715"/>
      <c r="N6" s="2715"/>
      <c r="O6" s="2715"/>
      <c r="P6" s="3692"/>
      <c r="Q6" s="3693"/>
      <c r="R6" s="3696"/>
      <c r="S6" s="3697"/>
      <c r="T6" s="3698"/>
      <c r="U6" s="3699"/>
      <c r="V6" s="3700"/>
      <c r="W6" s="3700"/>
      <c r="X6" s="1354"/>
      <c r="Y6" s="3698"/>
      <c r="Z6" s="3699"/>
      <c r="AA6" s="3683"/>
      <c r="AB6" s="3700"/>
      <c r="AC6" s="3683"/>
    </row>
    <row r="7" spans="1:29" s="108" customFormat="1" ht="15.75" thickBot="1">
      <c r="A7" s="362" t="s">
        <v>1679</v>
      </c>
      <c r="B7" s="363"/>
      <c r="C7" s="364">
        <f>'数据-取费表'!B2</f>
        <v>45108</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5" t="s">
        <v>1683</v>
      </c>
      <c r="Q8" s="3706"/>
      <c r="R8" s="701" t="s">
        <v>14</v>
      </c>
      <c r="S8" s="702">
        <f t="shared" si="0"/>
        <v>100</v>
      </c>
      <c r="T8" s="701" t="s">
        <v>14</v>
      </c>
      <c r="U8" s="702">
        <f t="shared" si="1"/>
        <v>100</v>
      </c>
      <c r="V8" s="701" t="s">
        <v>14</v>
      </c>
      <c r="W8" s="702">
        <f t="shared" si="2"/>
        <v>100</v>
      </c>
      <c r="X8" s="703"/>
      <c r="Y8" s="3705" t="s">
        <v>1683</v>
      </c>
      <c r="Z8" s="370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0" t="s">
        <v>1686</v>
      </c>
      <c r="Q9" s="1342"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0"/>
      <c r="Q10" s="1342"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0"/>
      <c r="Q11" s="1342"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0"/>
      <c r="Q12" s="1342">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0"/>
      <c r="Q13" s="1342">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0"/>
      <c r="Q14" s="1342">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8" t="s">
        <v>1691</v>
      </c>
      <c r="Q15" s="1351" t="str">
        <f t="shared" si="6"/>
        <v>商业繁华度</v>
      </c>
      <c r="R15" s="705" t="s">
        <v>14</v>
      </c>
      <c r="S15" s="706">
        <f t="shared" si="0"/>
        <v>100</v>
      </c>
      <c r="T15" s="705" t="s">
        <v>14</v>
      </c>
      <c r="U15" s="706">
        <f t="shared" si="1"/>
        <v>100</v>
      </c>
      <c r="V15" s="705" t="s">
        <v>14</v>
      </c>
      <c r="W15" s="706">
        <f t="shared" si="2"/>
        <v>100</v>
      </c>
      <c r="X15" s="1354"/>
      <c r="Y15" s="367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79"/>
      <c r="Q16" s="1351"/>
      <c r="R16" s="705"/>
      <c r="S16" s="706"/>
      <c r="T16" s="705"/>
      <c r="U16" s="706"/>
      <c r="V16" s="705"/>
      <c r="W16" s="706"/>
      <c r="X16" s="1354"/>
      <c r="Y16" s="3672"/>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9"/>
      <c r="Q17" s="1351" t="str">
        <f>B17</f>
        <v>交通便捷度</v>
      </c>
      <c r="R17" s="705" t="s">
        <v>14</v>
      </c>
      <c r="S17" s="706">
        <f>F17</f>
        <v>100</v>
      </c>
      <c r="T17" s="705" t="s">
        <v>14</v>
      </c>
      <c r="U17" s="706">
        <f>H17</f>
        <v>100</v>
      </c>
      <c r="V17" s="705" t="s">
        <v>14</v>
      </c>
      <c r="W17" s="706">
        <f>J17</f>
        <v>100</v>
      </c>
      <c r="X17" s="1354"/>
      <c r="Y17" s="367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79"/>
      <c r="Q18" s="1351"/>
      <c r="R18" s="705"/>
      <c r="S18" s="706"/>
      <c r="T18" s="705"/>
      <c r="U18" s="706"/>
      <c r="V18" s="705"/>
      <c r="W18" s="706"/>
      <c r="X18" s="1354"/>
      <c r="Y18" s="3672"/>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9"/>
      <c r="Q19" s="1351" t="str">
        <f>B19</f>
        <v>公共配套设施</v>
      </c>
      <c r="R19" s="705" t="s">
        <v>14</v>
      </c>
      <c r="S19" s="706">
        <f>F19</f>
        <v>100</v>
      </c>
      <c r="T19" s="705" t="s">
        <v>14</v>
      </c>
      <c r="U19" s="706">
        <f>H19</f>
        <v>100</v>
      </c>
      <c r="V19" s="705" t="s">
        <v>14</v>
      </c>
      <c r="W19" s="706">
        <f>J19</f>
        <v>100</v>
      </c>
      <c r="X19" s="1354"/>
      <c r="Y19" s="367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79"/>
      <c r="Q20" s="1351"/>
      <c r="R20" s="705"/>
      <c r="S20" s="706"/>
      <c r="T20" s="705"/>
      <c r="U20" s="706"/>
      <c r="V20" s="705"/>
      <c r="W20" s="706"/>
      <c r="X20" s="1354"/>
      <c r="Y20" s="3672"/>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9"/>
      <c r="Q21" s="1351" t="str">
        <f>B21</f>
        <v>基础设施水平</v>
      </c>
      <c r="R21" s="705" t="s">
        <v>14</v>
      </c>
      <c r="S21" s="706">
        <f>F21</f>
        <v>100</v>
      </c>
      <c r="T21" s="705" t="s">
        <v>14</v>
      </c>
      <c r="U21" s="706">
        <f>H21</f>
        <v>100</v>
      </c>
      <c r="V21" s="705" t="s">
        <v>14</v>
      </c>
      <c r="W21" s="706">
        <f>J21</f>
        <v>100</v>
      </c>
      <c r="X21" s="1354"/>
      <c r="Y21" s="367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679"/>
      <c r="Q22" s="1351"/>
      <c r="R22" s="705"/>
      <c r="S22" s="706"/>
      <c r="T22" s="705"/>
      <c r="U22" s="706"/>
      <c r="V22" s="705"/>
      <c r="W22" s="706"/>
      <c r="X22" s="1354"/>
      <c r="Y22" s="3672"/>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9"/>
      <c r="Q23" s="1351" t="str">
        <f>B23</f>
        <v>自然及人文环境</v>
      </c>
      <c r="R23" s="705" t="s">
        <v>14</v>
      </c>
      <c r="S23" s="706">
        <f>F23</f>
        <v>100</v>
      </c>
      <c r="T23" s="705" t="s">
        <v>14</v>
      </c>
      <c r="U23" s="706">
        <f>H23</f>
        <v>100</v>
      </c>
      <c r="V23" s="705" t="s">
        <v>14</v>
      </c>
      <c r="W23" s="706">
        <f>J23</f>
        <v>100</v>
      </c>
      <c r="X23" s="1354"/>
      <c r="Y23" s="367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79"/>
      <c r="Q24" s="1351"/>
      <c r="R24" s="705"/>
      <c r="S24" s="706"/>
      <c r="T24" s="705"/>
      <c r="U24" s="706"/>
      <c r="V24" s="705"/>
      <c r="W24" s="706"/>
      <c r="X24" s="1354"/>
      <c r="Y24" s="367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9"/>
      <c r="Q25" s="1351" t="str">
        <f t="shared" ref="Q25:Q46" si="11">B25</f>
        <v>临街状况</v>
      </c>
      <c r="R25" s="705" t="s">
        <v>14</v>
      </c>
      <c r="S25" s="706">
        <f>F25</f>
        <v>100</v>
      </c>
      <c r="T25" s="705" t="s">
        <v>14</v>
      </c>
      <c r="U25" s="706">
        <f>H25</f>
        <v>100</v>
      </c>
      <c r="V25" s="705" t="s">
        <v>14</v>
      </c>
      <c r="W25" s="706">
        <f>J25</f>
        <v>100</v>
      </c>
      <c r="X25" s="1354"/>
      <c r="Y25" s="3672"/>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9"/>
      <c r="Q26" s="1351" t="str">
        <f t="shared" si="11"/>
        <v>平面位置/可视性</v>
      </c>
      <c r="R26" s="705" t="s">
        <v>14</v>
      </c>
      <c r="S26" s="706">
        <f>F26</f>
        <v>100</v>
      </c>
      <c r="T26" s="705" t="s">
        <v>14</v>
      </c>
      <c r="U26" s="706">
        <f>H26</f>
        <v>100</v>
      </c>
      <c r="V26" s="705" t="s">
        <v>14</v>
      </c>
      <c r="W26" s="706">
        <f>J26</f>
        <v>100</v>
      </c>
      <c r="X26" s="1354"/>
      <c r="Y26" s="3672"/>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79"/>
      <c r="Q27" s="1342" t="str">
        <f t="shared" si="11"/>
        <v>人流量</v>
      </c>
      <c r="R27" s="701" t="s">
        <v>14</v>
      </c>
      <c r="S27" s="702">
        <f>F27</f>
        <v>100</v>
      </c>
      <c r="T27" s="701" t="s">
        <v>14</v>
      </c>
      <c r="U27" s="702">
        <f>H27</f>
        <v>100</v>
      </c>
      <c r="V27" s="701" t="s">
        <v>14</v>
      </c>
      <c r="W27" s="702">
        <f>J27</f>
        <v>100</v>
      </c>
      <c r="X27" s="703"/>
      <c r="Y27" s="367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7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9"/>
      <c r="Q29" s="1351">
        <f t="shared" si="11"/>
        <v>111</v>
      </c>
      <c r="R29" s="705" t="s">
        <v>14</v>
      </c>
      <c r="S29" s="706">
        <f t="shared" si="12"/>
        <v>100</v>
      </c>
      <c r="T29" s="705" t="s">
        <v>14</v>
      </c>
      <c r="U29" s="706">
        <f t="shared" si="13"/>
        <v>100</v>
      </c>
      <c r="V29" s="705" t="s">
        <v>14</v>
      </c>
      <c r="W29" s="706">
        <f t="shared" si="14"/>
        <v>100</v>
      </c>
      <c r="X29" s="1354"/>
      <c r="Y29" s="367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9"/>
      <c r="Q30" s="1351">
        <f t="shared" si="11"/>
        <v>111</v>
      </c>
      <c r="R30" s="705" t="s">
        <v>14</v>
      </c>
      <c r="S30" s="706">
        <f t="shared" si="12"/>
        <v>100</v>
      </c>
      <c r="T30" s="705" t="s">
        <v>14</v>
      </c>
      <c r="U30" s="706">
        <f t="shared" si="13"/>
        <v>100</v>
      </c>
      <c r="V30" s="705" t="s">
        <v>14</v>
      </c>
      <c r="W30" s="706">
        <f t="shared" si="14"/>
        <v>100</v>
      </c>
      <c r="X30" s="1354"/>
      <c r="Y30" s="367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9"/>
      <c r="Q31" s="1351">
        <f t="shared" si="11"/>
        <v>111</v>
      </c>
      <c r="R31" s="705" t="s">
        <v>14</v>
      </c>
      <c r="S31" s="706">
        <f t="shared" si="12"/>
        <v>100</v>
      </c>
      <c r="T31" s="705" t="s">
        <v>14</v>
      </c>
      <c r="U31" s="706">
        <f t="shared" si="13"/>
        <v>100</v>
      </c>
      <c r="V31" s="705" t="s">
        <v>14</v>
      </c>
      <c r="W31" s="706">
        <f t="shared" si="14"/>
        <v>100</v>
      </c>
      <c r="X31" s="1354"/>
      <c r="Y31" s="367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73" t="s">
        <v>1696</v>
      </c>
      <c r="Q32" s="1351" t="str">
        <f t="shared" si="11"/>
        <v>商业类型</v>
      </c>
      <c r="R32" s="705" t="s">
        <v>14</v>
      </c>
      <c r="S32" s="706">
        <f t="shared" si="12"/>
        <v>100</v>
      </c>
      <c r="T32" s="705" t="s">
        <v>14</v>
      </c>
      <c r="U32" s="706">
        <f t="shared" si="13"/>
        <v>100</v>
      </c>
      <c r="V32" s="705" t="s">
        <v>14</v>
      </c>
      <c r="W32" s="706">
        <f t="shared" si="14"/>
        <v>100</v>
      </c>
      <c r="X32" s="1354"/>
      <c r="Y32" s="367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4"/>
      <c r="Q33" s="707" t="str">
        <f t="shared" si="11"/>
        <v>项目建筑规模</v>
      </c>
      <c r="R33" s="708" t="s">
        <v>14</v>
      </c>
      <c r="S33" s="709" t="e">
        <f t="shared" si="12"/>
        <v>#N/A</v>
      </c>
      <c r="T33" s="708" t="s">
        <v>14</v>
      </c>
      <c r="U33" s="709" t="e">
        <f t="shared" si="13"/>
        <v>#N/A</v>
      </c>
      <c r="V33" s="708" t="s">
        <v>14</v>
      </c>
      <c r="W33" s="709" t="e">
        <f t="shared" si="14"/>
        <v>#N/A</v>
      </c>
      <c r="X33" s="710"/>
      <c r="Y33" s="3676"/>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74"/>
      <c r="Q34" s="1351" t="str">
        <f t="shared" si="11"/>
        <v>建筑结构</v>
      </c>
      <c r="R34" s="705" t="s">
        <v>14</v>
      </c>
      <c r="S34" s="706">
        <f t="shared" si="12"/>
        <v>100</v>
      </c>
      <c r="T34" s="705" t="s">
        <v>14</v>
      </c>
      <c r="U34" s="706">
        <f t="shared" si="13"/>
        <v>100</v>
      </c>
      <c r="V34" s="705" t="s">
        <v>14</v>
      </c>
      <c r="W34" s="706">
        <f t="shared" si="14"/>
        <v>100</v>
      </c>
      <c r="X34" s="1354"/>
      <c r="Y34" s="367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74"/>
      <c r="Q35" s="1351" t="str">
        <f t="shared" si="11"/>
        <v>公共部分装修</v>
      </c>
      <c r="R35" s="705" t="s">
        <v>14</v>
      </c>
      <c r="S35" s="706">
        <f t="shared" si="12"/>
        <v>100</v>
      </c>
      <c r="T35" s="705" t="s">
        <v>14</v>
      </c>
      <c r="U35" s="706">
        <f t="shared" si="13"/>
        <v>100</v>
      </c>
      <c r="V35" s="705" t="s">
        <v>14</v>
      </c>
      <c r="W35" s="706">
        <f t="shared" si="14"/>
        <v>100</v>
      </c>
      <c r="X35" s="1354"/>
      <c r="Y35" s="367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4"/>
      <c r="Q36" s="1351" t="str">
        <f t="shared" si="11"/>
        <v>成新度</v>
      </c>
      <c r="R36" s="705" t="s">
        <v>14</v>
      </c>
      <c r="S36" s="706" t="e">
        <f t="shared" si="12"/>
        <v>#N/A</v>
      </c>
      <c r="T36" s="705" t="s">
        <v>14</v>
      </c>
      <c r="U36" s="706" t="e">
        <f t="shared" si="13"/>
        <v>#N/A</v>
      </c>
      <c r="V36" s="705" t="s">
        <v>14</v>
      </c>
      <c r="W36" s="706" t="e">
        <f t="shared" si="14"/>
        <v>#N/A</v>
      </c>
      <c r="X36" s="1354"/>
      <c r="Y36" s="367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74"/>
      <c r="Q37" s="1342" t="str">
        <f t="shared" si="11"/>
        <v>市政基础设施</v>
      </c>
      <c r="R37" s="701" t="s">
        <v>14</v>
      </c>
      <c r="S37" s="702">
        <f t="shared" si="12"/>
        <v>100</v>
      </c>
      <c r="T37" s="701" t="s">
        <v>14</v>
      </c>
      <c r="U37" s="702">
        <f t="shared" si="13"/>
        <v>100</v>
      </c>
      <c r="V37" s="701" t="s">
        <v>14</v>
      </c>
      <c r="W37" s="702">
        <f t="shared" si="14"/>
        <v>100</v>
      </c>
      <c r="X37" s="703"/>
      <c r="Y37" s="3676"/>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74" t="s">
        <v>1696</v>
      </c>
      <c r="Q38" s="1351" t="str">
        <f t="shared" si="11"/>
        <v>业态</v>
      </c>
      <c r="R38" s="705" t="s">
        <v>14</v>
      </c>
      <c r="S38" s="706">
        <f t="shared" si="12"/>
        <v>100</v>
      </c>
      <c r="T38" s="705" t="s">
        <v>14</v>
      </c>
      <c r="U38" s="706">
        <f t="shared" si="13"/>
        <v>100</v>
      </c>
      <c r="V38" s="705" t="s">
        <v>14</v>
      </c>
      <c r="W38" s="706">
        <f t="shared" si="14"/>
        <v>100</v>
      </c>
      <c r="X38" s="1354"/>
      <c r="Y38" s="367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74"/>
      <c r="Q39" s="1351" t="str">
        <f t="shared" si="11"/>
        <v>层高</v>
      </c>
      <c r="R39" s="705" t="s">
        <v>14</v>
      </c>
      <c r="S39" s="706">
        <f t="shared" si="12"/>
        <v>100</v>
      </c>
      <c r="T39" s="705" t="s">
        <v>14</v>
      </c>
      <c r="U39" s="706">
        <f t="shared" si="13"/>
        <v>100</v>
      </c>
      <c r="V39" s="705" t="s">
        <v>14</v>
      </c>
      <c r="W39" s="706">
        <f t="shared" si="14"/>
        <v>100</v>
      </c>
      <c r="X39" s="1354"/>
      <c r="Y39" s="367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4"/>
      <c r="Q40" s="1351" t="str">
        <f t="shared" si="11"/>
        <v>单套建筑面积</v>
      </c>
      <c r="R40" s="705" t="s">
        <v>14</v>
      </c>
      <c r="S40" s="706">
        <f t="shared" si="12"/>
        <v>100</v>
      </c>
      <c r="T40" s="705" t="s">
        <v>14</v>
      </c>
      <c r="U40" s="706">
        <f t="shared" si="13"/>
        <v>100</v>
      </c>
      <c r="V40" s="705" t="s">
        <v>14</v>
      </c>
      <c r="W40" s="706">
        <f t="shared" si="14"/>
        <v>100</v>
      </c>
      <c r="X40" s="1354"/>
      <c r="Y40" s="367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4"/>
      <c r="Q41" s="707" t="str">
        <f t="shared" si="11"/>
        <v>进深比</v>
      </c>
      <c r="R41" s="708" t="s">
        <v>14</v>
      </c>
      <c r="S41" s="709">
        <f t="shared" si="12"/>
        <v>100</v>
      </c>
      <c r="T41" s="708" t="s">
        <v>14</v>
      </c>
      <c r="U41" s="709">
        <f t="shared" si="13"/>
        <v>100</v>
      </c>
      <c r="V41" s="708" t="s">
        <v>14</v>
      </c>
      <c r="W41" s="709">
        <f t="shared" si="14"/>
        <v>100</v>
      </c>
      <c r="X41" s="710"/>
      <c r="Y41" s="3676"/>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74"/>
      <c r="Q42" s="1351" t="str">
        <f t="shared" si="11"/>
        <v>内部装修</v>
      </c>
      <c r="R42" s="705" t="s">
        <v>14</v>
      </c>
      <c r="S42" s="706">
        <f t="shared" si="12"/>
        <v>100</v>
      </c>
      <c r="T42" s="705" t="s">
        <v>14</v>
      </c>
      <c r="U42" s="706">
        <f t="shared" si="13"/>
        <v>100</v>
      </c>
      <c r="V42" s="705" t="s">
        <v>14</v>
      </c>
      <c r="W42" s="706">
        <f t="shared" si="14"/>
        <v>100</v>
      </c>
      <c r="X42" s="1354"/>
      <c r="Y42" s="367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74"/>
      <c r="Q43" s="1351" t="str">
        <f t="shared" si="11"/>
        <v>内部装修维护情况</v>
      </c>
      <c r="R43" s="705" t="s">
        <v>14</v>
      </c>
      <c r="S43" s="706">
        <f t="shared" si="12"/>
        <v>100</v>
      </c>
      <c r="T43" s="705" t="s">
        <v>14</v>
      </c>
      <c r="U43" s="706">
        <f t="shared" si="13"/>
        <v>100</v>
      </c>
      <c r="V43" s="705" t="s">
        <v>14</v>
      </c>
      <c r="W43" s="706">
        <f t="shared" si="14"/>
        <v>100</v>
      </c>
      <c r="X43" s="1354"/>
      <c r="Y43" s="367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4"/>
      <c r="Q44" s="1342">
        <f t="shared" si="11"/>
        <v>111</v>
      </c>
      <c r="R44" s="701" t="s">
        <v>14</v>
      </c>
      <c r="S44" s="702">
        <f t="shared" si="12"/>
        <v>100</v>
      </c>
      <c r="T44" s="701" t="s">
        <v>14</v>
      </c>
      <c r="U44" s="702">
        <f t="shared" si="13"/>
        <v>100</v>
      </c>
      <c r="V44" s="701" t="s">
        <v>14</v>
      </c>
      <c r="W44" s="702">
        <f t="shared" si="14"/>
        <v>100</v>
      </c>
      <c r="X44" s="703"/>
      <c r="Y44" s="3676"/>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4"/>
      <c r="Q45" s="1351">
        <f t="shared" si="11"/>
        <v>111</v>
      </c>
      <c r="R45" s="705" t="s">
        <v>14</v>
      </c>
      <c r="S45" s="706">
        <f t="shared" si="12"/>
        <v>100</v>
      </c>
      <c r="T45" s="705" t="s">
        <v>14</v>
      </c>
      <c r="U45" s="706">
        <f t="shared" si="13"/>
        <v>100</v>
      </c>
      <c r="V45" s="705" t="s">
        <v>14</v>
      </c>
      <c r="W45" s="706">
        <f t="shared" si="14"/>
        <v>100</v>
      </c>
      <c r="X45" s="1354"/>
      <c r="Y45" s="367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5"/>
      <c r="Q46" s="1351">
        <f t="shared" si="11"/>
        <v>111</v>
      </c>
      <c r="R46" s="705" t="s">
        <v>14</v>
      </c>
      <c r="S46" s="706">
        <f t="shared" si="12"/>
        <v>100</v>
      </c>
      <c r="T46" s="705" t="s">
        <v>14</v>
      </c>
      <c r="U46" s="706">
        <f t="shared" si="13"/>
        <v>100</v>
      </c>
      <c r="V46" s="705" t="s">
        <v>14</v>
      </c>
      <c r="W46" s="706">
        <f t="shared" si="14"/>
        <v>100</v>
      </c>
      <c r="X46" s="1354"/>
      <c r="Y46" s="3677"/>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3"/>
      <c r="M47" s="2724"/>
      <c r="N47" s="2715"/>
      <c r="O47" s="2724"/>
      <c r="P47" s="3669" t="str">
        <f>A47</f>
        <v>成交单价（元/平方米）</v>
      </c>
      <c r="Q47" s="3669"/>
      <c r="R47" s="3700">
        <f>E47</f>
        <v>0</v>
      </c>
      <c r="S47" s="3700"/>
      <c r="T47" s="3700">
        <f>G47</f>
        <v>0</v>
      </c>
      <c r="U47" s="3700"/>
      <c r="V47" s="3700">
        <f>I47</f>
        <v>0</v>
      </c>
      <c r="W47" s="3700"/>
      <c r="X47" s="690"/>
      <c r="Y47" s="712"/>
      <c r="Z47" s="690"/>
      <c r="AA47" s="690"/>
      <c r="AB47" s="690"/>
      <c r="AC47" s="690"/>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3"/>
      <c r="M49" s="2724"/>
      <c r="N49" s="2715"/>
      <c r="O49" s="2724"/>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104.4</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718" t="s">
        <v>1775</v>
      </c>
      <c r="Q4" s="3719"/>
      <c r="R4" s="3722" t="s">
        <v>1771</v>
      </c>
      <c r="S4" s="3723"/>
      <c r="T4" s="3722" t="s">
        <v>1772</v>
      </c>
      <c r="U4" s="3723"/>
      <c r="V4" s="3724" t="s">
        <v>1773</v>
      </c>
      <c r="W4" s="3724"/>
      <c r="X4" s="1957"/>
      <c r="Y4" s="3722" t="s">
        <v>1775</v>
      </c>
      <c r="Z4" s="3723"/>
      <c r="AA4" s="3726" t="s">
        <v>1771</v>
      </c>
      <c r="AB4" s="3726" t="s">
        <v>1772</v>
      </c>
      <c r="AC4" s="3715" t="s">
        <v>1773</v>
      </c>
    </row>
    <row r="5" spans="1:29" ht="15">
      <c r="A5" s="358"/>
      <c r="B5" s="359"/>
      <c r="C5" s="3703" t="s">
        <v>1673</v>
      </c>
      <c r="D5" s="3704"/>
      <c r="E5" s="3710" t="s">
        <v>1674</v>
      </c>
      <c r="F5" s="3711"/>
      <c r="G5" s="3703" t="s">
        <v>1675</v>
      </c>
      <c r="H5" s="3704"/>
      <c r="I5" s="3703" t="s">
        <v>1676</v>
      </c>
      <c r="J5" s="3704"/>
      <c r="K5" s="559"/>
      <c r="L5" s="2714"/>
      <c r="M5" s="2715"/>
      <c r="N5" s="2715"/>
      <c r="O5" s="2715"/>
      <c r="P5" s="3720"/>
      <c r="Q5" s="3691"/>
      <c r="R5" s="3696"/>
      <c r="S5" s="3697"/>
      <c r="T5" s="3696"/>
      <c r="U5" s="3697"/>
      <c r="V5" s="3700"/>
      <c r="W5" s="3700"/>
      <c r="X5" s="1354"/>
      <c r="Y5" s="3696"/>
      <c r="Z5" s="3697"/>
      <c r="AA5" s="3682"/>
      <c r="AB5" s="3682"/>
      <c r="AC5" s="3716"/>
    </row>
    <row r="6" spans="1:29" ht="15.75" thickBot="1">
      <c r="A6" s="360"/>
      <c r="B6" s="361"/>
      <c r="C6" s="3701" t="s">
        <v>1677</v>
      </c>
      <c r="D6" s="3702"/>
      <c r="E6" s="3708" t="s">
        <v>1677</v>
      </c>
      <c r="F6" s="3709"/>
      <c r="G6" s="3701" t="s">
        <v>1677</v>
      </c>
      <c r="H6" s="3702"/>
      <c r="I6" s="3701" t="s">
        <v>1677</v>
      </c>
      <c r="J6" s="3702"/>
      <c r="K6" s="559" t="s">
        <v>1678</v>
      </c>
      <c r="L6" s="2714"/>
      <c r="M6" s="2715"/>
      <c r="N6" s="2715"/>
      <c r="O6" s="2715"/>
      <c r="P6" s="3721"/>
      <c r="Q6" s="3693"/>
      <c r="R6" s="3696"/>
      <c r="S6" s="3697"/>
      <c r="T6" s="3698"/>
      <c r="U6" s="3699"/>
      <c r="V6" s="3700"/>
      <c r="W6" s="3700"/>
      <c r="X6" s="1354"/>
      <c r="Y6" s="3698"/>
      <c r="Z6" s="3699"/>
      <c r="AA6" s="3683"/>
      <c r="AB6" s="3683"/>
      <c r="AC6" s="3717"/>
    </row>
    <row r="7" spans="1:29" s="108" customFormat="1" ht="15.75" thickBot="1">
      <c r="A7" s="362" t="s">
        <v>1679</v>
      </c>
      <c r="B7" s="363"/>
      <c r="C7" s="364">
        <f>'数据-取费表'!B2</f>
        <v>45108</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5" t="s">
        <v>1683</v>
      </c>
      <c r="Q8" s="3706"/>
      <c r="R8" s="701" t="s">
        <v>14</v>
      </c>
      <c r="S8" s="702">
        <f t="shared" si="0"/>
        <v>100</v>
      </c>
      <c r="T8" s="701" t="s">
        <v>14</v>
      </c>
      <c r="U8" s="702">
        <f t="shared" si="1"/>
        <v>100</v>
      </c>
      <c r="V8" s="701" t="s">
        <v>14</v>
      </c>
      <c r="W8" s="702">
        <f t="shared" si="2"/>
        <v>100</v>
      </c>
      <c r="X8" s="703"/>
      <c r="Y8" s="3705" t="s">
        <v>1683</v>
      </c>
      <c r="Z8" s="3706"/>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0" t="s">
        <v>1686</v>
      </c>
      <c r="Q9" s="1342"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0"/>
      <c r="Q10" s="1342"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0"/>
      <c r="Q11" s="1342"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0"/>
      <c r="Q12" s="1342">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0"/>
      <c r="Q13" s="1342">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0"/>
      <c r="Q14" s="1342">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8" t="s">
        <v>1691</v>
      </c>
      <c r="Q15" s="1351" t="str">
        <f t="shared" si="6"/>
        <v>办公集聚程度</v>
      </c>
      <c r="R15" s="705" t="s">
        <v>14</v>
      </c>
      <c r="S15" s="706">
        <f t="shared" si="0"/>
        <v>100</v>
      </c>
      <c r="T15" s="705" t="s">
        <v>14</v>
      </c>
      <c r="U15" s="706">
        <f t="shared" si="1"/>
        <v>100</v>
      </c>
      <c r="V15" s="705" t="s">
        <v>14</v>
      </c>
      <c r="W15" s="706">
        <f t="shared" si="2"/>
        <v>100</v>
      </c>
      <c r="X15" s="1354"/>
      <c r="Y15" s="3671"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79"/>
      <c r="Q16" s="1351"/>
      <c r="R16" s="705"/>
      <c r="S16" s="706"/>
      <c r="T16" s="705"/>
      <c r="U16" s="706"/>
      <c r="V16" s="705"/>
      <c r="W16" s="706"/>
      <c r="X16" s="1354"/>
      <c r="Y16" s="3672"/>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9"/>
      <c r="Q17" s="1351" t="str">
        <f>B17</f>
        <v>交通便捷度</v>
      </c>
      <c r="R17" s="705" t="s">
        <v>14</v>
      </c>
      <c r="S17" s="706">
        <f>F17</f>
        <v>100</v>
      </c>
      <c r="T17" s="705" t="s">
        <v>14</v>
      </c>
      <c r="U17" s="706">
        <f>H17</f>
        <v>100</v>
      </c>
      <c r="V17" s="705" t="s">
        <v>14</v>
      </c>
      <c r="W17" s="706">
        <f>J17</f>
        <v>100</v>
      </c>
      <c r="X17" s="1354"/>
      <c r="Y17" s="3672"/>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79"/>
      <c r="Q18" s="1351"/>
      <c r="R18" s="705"/>
      <c r="S18" s="706"/>
      <c r="T18" s="705"/>
      <c r="U18" s="706"/>
      <c r="V18" s="705"/>
      <c r="W18" s="706"/>
      <c r="X18" s="1354"/>
      <c r="Y18" s="3672"/>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9"/>
      <c r="Q19" s="1351" t="str">
        <f>B19</f>
        <v>公共配套设施</v>
      </c>
      <c r="R19" s="705" t="s">
        <v>14</v>
      </c>
      <c r="S19" s="706">
        <f>F19</f>
        <v>100</v>
      </c>
      <c r="T19" s="705" t="s">
        <v>14</v>
      </c>
      <c r="U19" s="706">
        <f>H19</f>
        <v>100</v>
      </c>
      <c r="V19" s="705" t="s">
        <v>14</v>
      </c>
      <c r="W19" s="706">
        <f>J19</f>
        <v>100</v>
      </c>
      <c r="X19" s="1354"/>
      <c r="Y19" s="3672"/>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79"/>
      <c r="Q20" s="1351"/>
      <c r="R20" s="705"/>
      <c r="S20" s="706"/>
      <c r="T20" s="705"/>
      <c r="U20" s="706"/>
      <c r="V20" s="705"/>
      <c r="W20" s="706"/>
      <c r="X20" s="1354"/>
      <c r="Y20" s="3672"/>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9"/>
      <c r="Q21" s="1351" t="str">
        <f>B21</f>
        <v>基础设施水平</v>
      </c>
      <c r="R21" s="705" t="s">
        <v>14</v>
      </c>
      <c r="S21" s="706">
        <f>F21</f>
        <v>100</v>
      </c>
      <c r="T21" s="705" t="s">
        <v>14</v>
      </c>
      <c r="U21" s="706">
        <f>H21</f>
        <v>100</v>
      </c>
      <c r="V21" s="705" t="s">
        <v>14</v>
      </c>
      <c r="W21" s="706">
        <f>J21</f>
        <v>100</v>
      </c>
      <c r="X21" s="1354"/>
      <c r="Y21" s="3672"/>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79"/>
      <c r="Q22" s="1351"/>
      <c r="R22" s="705"/>
      <c r="S22" s="706"/>
      <c r="T22" s="705"/>
      <c r="U22" s="706"/>
      <c r="V22" s="705"/>
      <c r="W22" s="706"/>
      <c r="X22" s="1354"/>
      <c r="Y22" s="3672"/>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9"/>
      <c r="Q23" s="1351" t="str">
        <f>B23</f>
        <v>环境质量</v>
      </c>
      <c r="R23" s="705" t="s">
        <v>14</v>
      </c>
      <c r="S23" s="706">
        <f>F23</f>
        <v>100</v>
      </c>
      <c r="T23" s="705" t="s">
        <v>14</v>
      </c>
      <c r="U23" s="706">
        <f>H23</f>
        <v>100</v>
      </c>
      <c r="V23" s="705" t="s">
        <v>14</v>
      </c>
      <c r="W23" s="706">
        <f>J23</f>
        <v>100</v>
      </c>
      <c r="X23" s="1354"/>
      <c r="Y23" s="3672"/>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79"/>
      <c r="Q24" s="1351"/>
      <c r="R24" s="705"/>
      <c r="S24" s="706"/>
      <c r="T24" s="705"/>
      <c r="U24" s="706"/>
      <c r="V24" s="705"/>
      <c r="W24" s="706"/>
      <c r="X24" s="1354"/>
      <c r="Y24" s="3672"/>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79"/>
      <c r="Q25" s="1351" t="str">
        <f>B25</f>
        <v>毗邻道路的类型与等级</v>
      </c>
      <c r="R25" s="705" t="s">
        <v>14</v>
      </c>
      <c r="S25" s="706">
        <f>F25</f>
        <v>100</v>
      </c>
      <c r="T25" s="705" t="s">
        <v>14</v>
      </c>
      <c r="U25" s="706">
        <f>H25</f>
        <v>100</v>
      </c>
      <c r="V25" s="705" t="s">
        <v>14</v>
      </c>
      <c r="W25" s="706">
        <f>J25</f>
        <v>100</v>
      </c>
      <c r="X25" s="1354"/>
      <c r="Y25" s="3672"/>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79"/>
      <c r="Q26" s="1351"/>
      <c r="R26" s="705"/>
      <c r="S26" s="706"/>
      <c r="T26" s="705"/>
      <c r="U26" s="706"/>
      <c r="V26" s="705"/>
      <c r="W26" s="706"/>
      <c r="X26" s="1354"/>
      <c r="Y26" s="3672"/>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79"/>
      <c r="Q27" s="1351" t="str">
        <f t="shared" ref="Q27:Q47" si="11">B27</f>
        <v>楼层</v>
      </c>
      <c r="R27" s="705" t="s">
        <v>14</v>
      </c>
      <c r="S27" s="706">
        <f>F27</f>
        <v>100</v>
      </c>
      <c r="T27" s="705" t="s">
        <v>14</v>
      </c>
      <c r="U27" s="706">
        <f>H27</f>
        <v>100</v>
      </c>
      <c r="V27" s="705" t="s">
        <v>14</v>
      </c>
      <c r="W27" s="706">
        <f>J27</f>
        <v>100</v>
      </c>
      <c r="X27" s="1354"/>
      <c r="Y27" s="3672"/>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79"/>
      <c r="Q28" s="1342" t="str">
        <f t="shared" si="11"/>
        <v>朝向</v>
      </c>
      <c r="R28" s="701" t="s">
        <v>14</v>
      </c>
      <c r="S28" s="702">
        <f>F28</f>
        <v>100</v>
      </c>
      <c r="T28" s="701" t="s">
        <v>14</v>
      </c>
      <c r="U28" s="702">
        <f>H28</f>
        <v>100</v>
      </c>
      <c r="V28" s="701" t="s">
        <v>14</v>
      </c>
      <c r="W28" s="702">
        <f>J28</f>
        <v>100</v>
      </c>
      <c r="X28" s="703"/>
      <c r="Y28" s="367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79"/>
      <c r="Q29" s="1351">
        <f t="shared" si="11"/>
        <v>111</v>
      </c>
      <c r="R29" s="705" t="s">
        <v>14</v>
      </c>
      <c r="S29" s="706">
        <f t="shared" ref="S29:S47" si="12">F29</f>
        <v>100</v>
      </c>
      <c r="T29" s="705" t="s">
        <v>14</v>
      </c>
      <c r="U29" s="706">
        <f t="shared" ref="U29:U47" si="13">H29</f>
        <v>100</v>
      </c>
      <c r="V29" s="705" t="s">
        <v>14</v>
      </c>
      <c r="W29" s="706">
        <f t="shared" ref="W29:W47" si="14">J29</f>
        <v>100</v>
      </c>
      <c r="X29" s="1354"/>
      <c r="Y29" s="367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79"/>
      <c r="Q30" s="1351">
        <f t="shared" si="11"/>
        <v>111</v>
      </c>
      <c r="R30" s="705" t="s">
        <v>14</v>
      </c>
      <c r="S30" s="706">
        <f t="shared" si="12"/>
        <v>100</v>
      </c>
      <c r="T30" s="705" t="s">
        <v>14</v>
      </c>
      <c r="U30" s="706">
        <f t="shared" si="13"/>
        <v>100</v>
      </c>
      <c r="V30" s="705" t="s">
        <v>14</v>
      </c>
      <c r="W30" s="706">
        <f t="shared" si="14"/>
        <v>100</v>
      </c>
      <c r="X30" s="1354"/>
      <c r="Y30" s="367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79"/>
      <c r="Q31" s="1351">
        <f t="shared" si="11"/>
        <v>111</v>
      </c>
      <c r="R31" s="705" t="s">
        <v>14</v>
      </c>
      <c r="S31" s="706">
        <f t="shared" si="12"/>
        <v>100</v>
      </c>
      <c r="T31" s="705" t="s">
        <v>14</v>
      </c>
      <c r="U31" s="706">
        <f t="shared" si="13"/>
        <v>100</v>
      </c>
      <c r="V31" s="705" t="s">
        <v>14</v>
      </c>
      <c r="W31" s="706">
        <f t="shared" si="14"/>
        <v>100</v>
      </c>
      <c r="X31" s="1354"/>
      <c r="Y31" s="3672"/>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79"/>
      <c r="Q32" s="1351">
        <f t="shared" si="11"/>
        <v>111</v>
      </c>
      <c r="R32" s="705" t="s">
        <v>14</v>
      </c>
      <c r="S32" s="706">
        <f t="shared" si="12"/>
        <v>100</v>
      </c>
      <c r="T32" s="705" t="s">
        <v>14</v>
      </c>
      <c r="U32" s="706">
        <f t="shared" si="13"/>
        <v>100</v>
      </c>
      <c r="V32" s="705" t="s">
        <v>14</v>
      </c>
      <c r="W32" s="706">
        <f t="shared" si="14"/>
        <v>100</v>
      </c>
      <c r="X32" s="1354"/>
      <c r="Y32" s="3672"/>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3" t="s">
        <v>1696</v>
      </c>
      <c r="Q33" s="1351" t="str">
        <f t="shared" si="11"/>
        <v>建筑类型</v>
      </c>
      <c r="R33" s="705" t="s">
        <v>14</v>
      </c>
      <c r="S33" s="706">
        <f t="shared" si="12"/>
        <v>100</v>
      </c>
      <c r="T33" s="705" t="s">
        <v>14</v>
      </c>
      <c r="U33" s="706">
        <f t="shared" si="13"/>
        <v>100</v>
      </c>
      <c r="V33" s="705" t="s">
        <v>14</v>
      </c>
      <c r="W33" s="706">
        <f t="shared" si="14"/>
        <v>100</v>
      </c>
      <c r="X33" s="1354"/>
      <c r="Y33" s="3676"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4"/>
      <c r="Q34" s="707" t="str">
        <f t="shared" si="11"/>
        <v>项目建筑规模</v>
      </c>
      <c r="R34" s="708" t="s">
        <v>14</v>
      </c>
      <c r="S34" s="709" t="e">
        <f t="shared" si="12"/>
        <v>#N/A</v>
      </c>
      <c r="T34" s="708" t="s">
        <v>14</v>
      </c>
      <c r="U34" s="709" t="e">
        <f t="shared" si="13"/>
        <v>#N/A</v>
      </c>
      <c r="V34" s="708" t="s">
        <v>14</v>
      </c>
      <c r="W34" s="709" t="e">
        <f t="shared" si="14"/>
        <v>#N/A</v>
      </c>
      <c r="X34" s="710"/>
      <c r="Y34" s="3676"/>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4"/>
      <c r="Q35" s="1351" t="str">
        <f t="shared" si="11"/>
        <v>建筑结构</v>
      </c>
      <c r="R35" s="705" t="s">
        <v>14</v>
      </c>
      <c r="S35" s="706">
        <f t="shared" si="12"/>
        <v>100</v>
      </c>
      <c r="T35" s="705" t="s">
        <v>14</v>
      </c>
      <c r="U35" s="706">
        <f t="shared" si="13"/>
        <v>100</v>
      </c>
      <c r="V35" s="705" t="s">
        <v>14</v>
      </c>
      <c r="W35" s="706">
        <f t="shared" si="14"/>
        <v>100</v>
      </c>
      <c r="X35" s="1354"/>
      <c r="Y35" s="3676"/>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4"/>
      <c r="Q36" s="1351" t="str">
        <f t="shared" si="11"/>
        <v>公共部分装修</v>
      </c>
      <c r="R36" s="705" t="s">
        <v>14</v>
      </c>
      <c r="S36" s="706">
        <f t="shared" si="12"/>
        <v>100</v>
      </c>
      <c r="T36" s="705" t="s">
        <v>14</v>
      </c>
      <c r="U36" s="706">
        <f t="shared" si="13"/>
        <v>100</v>
      </c>
      <c r="V36" s="705" t="s">
        <v>14</v>
      </c>
      <c r="W36" s="706">
        <f t="shared" si="14"/>
        <v>100</v>
      </c>
      <c r="X36" s="1354"/>
      <c r="Y36" s="3676"/>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4"/>
      <c r="Q37" s="1351" t="str">
        <f t="shared" si="11"/>
        <v>成新度</v>
      </c>
      <c r="R37" s="705" t="s">
        <v>14</v>
      </c>
      <c r="S37" s="706" t="e">
        <f t="shared" si="12"/>
        <v>#N/A</v>
      </c>
      <c r="T37" s="705" t="s">
        <v>14</v>
      </c>
      <c r="U37" s="706" t="e">
        <f t="shared" si="13"/>
        <v>#N/A</v>
      </c>
      <c r="V37" s="705" t="s">
        <v>14</v>
      </c>
      <c r="W37" s="706" t="e">
        <f t="shared" si="14"/>
        <v>#N/A</v>
      </c>
      <c r="X37" s="1354"/>
      <c r="Y37" s="3676"/>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4"/>
      <c r="Q38" s="1342" t="str">
        <f t="shared" si="11"/>
        <v>写字楼等级</v>
      </c>
      <c r="R38" s="701" t="s">
        <v>14</v>
      </c>
      <c r="S38" s="702">
        <f t="shared" si="12"/>
        <v>100</v>
      </c>
      <c r="T38" s="701" t="s">
        <v>14</v>
      </c>
      <c r="U38" s="702">
        <f t="shared" si="13"/>
        <v>100</v>
      </c>
      <c r="V38" s="701" t="s">
        <v>14</v>
      </c>
      <c r="W38" s="702">
        <f t="shared" si="14"/>
        <v>100</v>
      </c>
      <c r="X38" s="703"/>
      <c r="Y38" s="3676"/>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4" t="s">
        <v>1696</v>
      </c>
      <c r="Q39" s="1351" t="str">
        <f t="shared" si="11"/>
        <v>物业管理</v>
      </c>
      <c r="R39" s="705" t="s">
        <v>14</v>
      </c>
      <c r="S39" s="706">
        <f t="shared" si="12"/>
        <v>100</v>
      </c>
      <c r="T39" s="705" t="s">
        <v>14</v>
      </c>
      <c r="U39" s="706">
        <f t="shared" si="13"/>
        <v>100</v>
      </c>
      <c r="V39" s="705" t="s">
        <v>14</v>
      </c>
      <c r="W39" s="706">
        <f t="shared" si="14"/>
        <v>100</v>
      </c>
      <c r="X39" s="1354"/>
      <c r="Y39" s="367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4"/>
      <c r="Q40" s="1351" t="str">
        <f t="shared" si="11"/>
        <v>市政基础设施</v>
      </c>
      <c r="R40" s="705" t="s">
        <v>14</v>
      </c>
      <c r="S40" s="706">
        <f t="shared" si="12"/>
        <v>100</v>
      </c>
      <c r="T40" s="705" t="s">
        <v>14</v>
      </c>
      <c r="U40" s="706">
        <f t="shared" si="13"/>
        <v>100</v>
      </c>
      <c r="V40" s="705" t="s">
        <v>14</v>
      </c>
      <c r="W40" s="706">
        <f t="shared" si="14"/>
        <v>100</v>
      </c>
      <c r="X40" s="1354"/>
      <c r="Y40" s="367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4"/>
      <c r="Q41" s="1351" t="str">
        <f t="shared" si="11"/>
        <v>层高</v>
      </c>
      <c r="R41" s="705" t="s">
        <v>14</v>
      </c>
      <c r="S41" s="706">
        <f t="shared" si="12"/>
        <v>100</v>
      </c>
      <c r="T41" s="705" t="s">
        <v>14</v>
      </c>
      <c r="U41" s="706">
        <f t="shared" si="13"/>
        <v>100</v>
      </c>
      <c r="V41" s="705" t="s">
        <v>14</v>
      </c>
      <c r="W41" s="706">
        <f t="shared" si="14"/>
        <v>100</v>
      </c>
      <c r="X41" s="1354"/>
      <c r="Y41" s="367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4"/>
      <c r="Q42" s="707" t="str">
        <f t="shared" si="11"/>
        <v>单套建筑面积</v>
      </c>
      <c r="R42" s="708" t="s">
        <v>14</v>
      </c>
      <c r="S42" s="709">
        <f t="shared" si="12"/>
        <v>100</v>
      </c>
      <c r="T42" s="708" t="s">
        <v>14</v>
      </c>
      <c r="U42" s="709">
        <f t="shared" si="13"/>
        <v>100</v>
      </c>
      <c r="V42" s="708" t="s">
        <v>14</v>
      </c>
      <c r="W42" s="709">
        <f t="shared" si="14"/>
        <v>100</v>
      </c>
      <c r="X42" s="710"/>
      <c r="Y42" s="3676"/>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4"/>
      <c r="Q43" s="1351" t="str">
        <f t="shared" si="11"/>
        <v>内部装修</v>
      </c>
      <c r="R43" s="705" t="s">
        <v>14</v>
      </c>
      <c r="S43" s="706">
        <f t="shared" si="12"/>
        <v>100</v>
      </c>
      <c r="T43" s="705" t="s">
        <v>14</v>
      </c>
      <c r="U43" s="706">
        <f t="shared" si="13"/>
        <v>100</v>
      </c>
      <c r="V43" s="705" t="s">
        <v>14</v>
      </c>
      <c r="W43" s="706">
        <f t="shared" si="14"/>
        <v>100</v>
      </c>
      <c r="X43" s="1354"/>
      <c r="Y43" s="3676"/>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74"/>
      <c r="Q44" s="1351" t="str">
        <f t="shared" si="11"/>
        <v>内部装修维护情况</v>
      </c>
      <c r="R44" s="705" t="s">
        <v>14</v>
      </c>
      <c r="S44" s="706">
        <f t="shared" si="12"/>
        <v>100</v>
      </c>
      <c r="T44" s="705" t="s">
        <v>14</v>
      </c>
      <c r="U44" s="706">
        <f t="shared" si="13"/>
        <v>100</v>
      </c>
      <c r="V44" s="705" t="s">
        <v>14</v>
      </c>
      <c r="W44" s="706">
        <f t="shared" si="14"/>
        <v>100</v>
      </c>
      <c r="X44" s="1354"/>
      <c r="Y44" s="3676"/>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4"/>
      <c r="Q45" s="1342">
        <f t="shared" si="11"/>
        <v>111</v>
      </c>
      <c r="R45" s="701" t="s">
        <v>14</v>
      </c>
      <c r="S45" s="702">
        <f t="shared" si="12"/>
        <v>100</v>
      </c>
      <c r="T45" s="701" t="s">
        <v>14</v>
      </c>
      <c r="U45" s="702">
        <f t="shared" si="13"/>
        <v>100</v>
      </c>
      <c r="V45" s="701" t="s">
        <v>14</v>
      </c>
      <c r="W45" s="702">
        <f t="shared" si="14"/>
        <v>100</v>
      </c>
      <c r="X45" s="703"/>
      <c r="Y45" s="3676"/>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4"/>
      <c r="Q46" s="1351">
        <f t="shared" si="11"/>
        <v>111</v>
      </c>
      <c r="R46" s="705" t="s">
        <v>14</v>
      </c>
      <c r="S46" s="706">
        <f t="shared" si="12"/>
        <v>100</v>
      </c>
      <c r="T46" s="705" t="s">
        <v>14</v>
      </c>
      <c r="U46" s="706">
        <f t="shared" si="13"/>
        <v>100</v>
      </c>
      <c r="V46" s="705" t="s">
        <v>14</v>
      </c>
      <c r="W46" s="706">
        <f t="shared" si="14"/>
        <v>100</v>
      </c>
      <c r="X46" s="1354"/>
      <c r="Y46" s="367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5"/>
      <c r="Q47" s="1351">
        <f t="shared" si="11"/>
        <v>111</v>
      </c>
      <c r="R47" s="705" t="s">
        <v>14</v>
      </c>
      <c r="S47" s="706">
        <f t="shared" si="12"/>
        <v>100</v>
      </c>
      <c r="T47" s="705" t="s">
        <v>14</v>
      </c>
      <c r="U47" s="706">
        <f t="shared" si="13"/>
        <v>100</v>
      </c>
      <c r="V47" s="705" t="s">
        <v>14</v>
      </c>
      <c r="W47" s="706">
        <f t="shared" si="14"/>
        <v>100</v>
      </c>
      <c r="X47" s="1354"/>
      <c r="Y47" s="3677"/>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3"/>
      <c r="M48" s="2715"/>
      <c r="N48" s="2715"/>
      <c r="O48" s="2715"/>
      <c r="P48" s="3680" t="str">
        <f>A48</f>
        <v>成交单价（元/平方米）</v>
      </c>
      <c r="Q48" s="3669"/>
      <c r="R48" s="3670">
        <f>E48</f>
        <v>0</v>
      </c>
      <c r="S48" s="3670"/>
      <c r="T48" s="3670">
        <f>G48</f>
        <v>0</v>
      </c>
      <c r="U48" s="3670"/>
      <c r="V48" s="3670">
        <f>I48</f>
        <v>0</v>
      </c>
      <c r="W48" s="3670"/>
      <c r="X48" s="397"/>
      <c r="Y48" s="712"/>
      <c r="Z48" s="397"/>
      <c r="AA48" s="397"/>
      <c r="AB48" s="397"/>
      <c r="AC48" s="578"/>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80" t="str">
        <f>A49</f>
        <v>比较价值（元/平方米）</v>
      </c>
      <c r="Q49" s="3669"/>
      <c r="R49" s="3670" t="e">
        <f>IF(F1="售价",ROUND(PRODUCT(R48,AA7:AA47),0),ROUND(PRODUCT(R48,AA7:AA47),1))</f>
        <v>#DIV/0!</v>
      </c>
      <c r="S49" s="3670"/>
      <c r="T49" s="3670" t="e">
        <f>IF(F1="售价",ROUND(PRODUCT(T48,AB7:AB47),0),ROUND(PRODUCT(T48,AB7:AB47),1))</f>
        <v>#DIV/0!</v>
      </c>
      <c r="U49" s="3670"/>
      <c r="V49" s="3670" t="e">
        <f>IF(F1="售价",ROUND(PRODUCT(V48,AC7:AC47),0),ROUND(PRODUCT(V48,AC7:AC47),1))</f>
        <v>#DIV/0!</v>
      </c>
      <c r="W49" s="3670"/>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3"/>
      <c r="M50" s="2715"/>
      <c r="N50" s="2715"/>
      <c r="O50" s="2715"/>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104.4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913"/>
      <c r="M4" s="914"/>
      <c r="N4" s="914"/>
      <c r="O4" s="914"/>
      <c r="P4" s="3688" t="s">
        <v>1775</v>
      </c>
      <c r="Q4" s="3689"/>
      <c r="R4" s="3694" t="s">
        <v>1771</v>
      </c>
      <c r="S4" s="3695"/>
      <c r="T4" s="3694" t="s">
        <v>1772</v>
      </c>
      <c r="U4" s="3695"/>
      <c r="V4" s="3700" t="s">
        <v>1773</v>
      </c>
      <c r="W4" s="3700"/>
      <c r="X4" s="1354"/>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913"/>
      <c r="M5" s="914"/>
      <c r="N5" s="914"/>
      <c r="O5" s="914"/>
      <c r="P5" s="3690"/>
      <c r="Q5" s="3691"/>
      <c r="R5" s="3696"/>
      <c r="S5" s="3697"/>
      <c r="T5" s="3696"/>
      <c r="U5" s="3697"/>
      <c r="V5" s="3700"/>
      <c r="W5" s="3700"/>
      <c r="X5" s="1354"/>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913"/>
      <c r="M6" s="914"/>
      <c r="N6" s="914"/>
      <c r="O6" s="914"/>
      <c r="P6" s="3692"/>
      <c r="Q6" s="3693"/>
      <c r="R6" s="3696"/>
      <c r="S6" s="3697"/>
      <c r="T6" s="3698"/>
      <c r="U6" s="3699"/>
      <c r="V6" s="3700"/>
      <c r="W6" s="3700"/>
      <c r="X6" s="1354"/>
      <c r="Y6" s="3698"/>
      <c r="Z6" s="3699"/>
      <c r="AA6" s="3683"/>
      <c r="AB6" s="3683"/>
      <c r="AC6" s="3683"/>
    </row>
    <row r="7" spans="1:29" s="108" customFormat="1" ht="15.75" thickBot="1">
      <c r="A7" s="362" t="s">
        <v>1679</v>
      </c>
      <c r="B7" s="363"/>
      <c r="C7" s="364">
        <f>'数据-取费表'!B2</f>
        <v>45108</v>
      </c>
      <c r="D7" s="365">
        <v>100</v>
      </c>
      <c r="E7" s="366"/>
      <c r="F7" s="367">
        <f>SUMIF(52:52,YEAR(E7)&amp;"-"&amp;MONTH(E7),53:53)</f>
        <v>0</v>
      </c>
      <c r="G7" s="366"/>
      <c r="H7" s="365">
        <f>SUMIF(52:52,YEAR(G7)&amp;"-"&amp;MONTH(G7),53:53)</f>
        <v>0</v>
      </c>
      <c r="I7" s="366"/>
      <c r="J7" s="365">
        <f>SUMIF(52:52,YEAR(I7)&amp;"-"&amp;MONTH(I7),53:53)</f>
        <v>0</v>
      </c>
      <c r="K7" s="560"/>
      <c r="L7" s="915"/>
      <c r="M7" s="916"/>
      <c r="N7" s="916"/>
      <c r="O7" s="916"/>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5" t="s">
        <v>1683</v>
      </c>
      <c r="Q8" s="3706"/>
      <c r="R8" s="701" t="s">
        <v>14</v>
      </c>
      <c r="S8" s="702">
        <f t="shared" si="0"/>
        <v>100</v>
      </c>
      <c r="T8" s="701" t="s">
        <v>14</v>
      </c>
      <c r="U8" s="702">
        <f t="shared" si="1"/>
        <v>100</v>
      </c>
      <c r="V8" s="701" t="s">
        <v>14</v>
      </c>
      <c r="W8" s="702">
        <f t="shared" si="2"/>
        <v>100</v>
      </c>
      <c r="X8" s="703"/>
      <c r="Y8" s="3705" t="s">
        <v>1683</v>
      </c>
      <c r="Z8" s="370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9" t="s">
        <v>1686</v>
      </c>
      <c r="Q9" s="1342"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9"/>
      <c r="Q10" s="1342"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9"/>
      <c r="Q11" s="1342"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69"/>
      <c r="Q12" s="1342">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69"/>
      <c r="Q13" s="1342">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69"/>
      <c r="Q14" s="1342">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1" t="s">
        <v>1691</v>
      </c>
      <c r="Q15" s="1351" t="str">
        <f t="shared" si="6"/>
        <v>产业集聚程度</v>
      </c>
      <c r="R15" s="705" t="s">
        <v>14</v>
      </c>
      <c r="S15" s="706">
        <f t="shared" si="0"/>
        <v>100</v>
      </c>
      <c r="T15" s="705" t="s">
        <v>14</v>
      </c>
      <c r="U15" s="706">
        <f t="shared" si="1"/>
        <v>100</v>
      </c>
      <c r="V15" s="705" t="s">
        <v>14</v>
      </c>
      <c r="W15" s="706">
        <f t="shared" si="2"/>
        <v>100</v>
      </c>
      <c r="X15" s="1354"/>
      <c r="Y15" s="367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72"/>
      <c r="Q16" s="1351"/>
      <c r="R16" s="705"/>
      <c r="S16" s="706"/>
      <c r="T16" s="705"/>
      <c r="U16" s="706"/>
      <c r="V16" s="705"/>
      <c r="W16" s="706"/>
      <c r="X16" s="1354"/>
      <c r="Y16" s="367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2"/>
      <c r="Q17" s="1351" t="str">
        <f>B17</f>
        <v>交通便捷度</v>
      </c>
      <c r="R17" s="705" t="s">
        <v>14</v>
      </c>
      <c r="S17" s="706">
        <f>F17</f>
        <v>100</v>
      </c>
      <c r="T17" s="705" t="s">
        <v>14</v>
      </c>
      <c r="U17" s="706">
        <f>H17</f>
        <v>100</v>
      </c>
      <c r="V17" s="705" t="s">
        <v>14</v>
      </c>
      <c r="W17" s="706">
        <f>J17</f>
        <v>100</v>
      </c>
      <c r="X17" s="1354"/>
      <c r="Y17" s="367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72"/>
      <c r="Q18" s="1351"/>
      <c r="R18" s="705"/>
      <c r="S18" s="706"/>
      <c r="T18" s="705"/>
      <c r="U18" s="706"/>
      <c r="V18" s="705"/>
      <c r="W18" s="706"/>
      <c r="X18" s="1354"/>
      <c r="Y18" s="367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2"/>
      <c r="Q19" s="1351" t="str">
        <f>B19</f>
        <v>公共配套设施</v>
      </c>
      <c r="R19" s="705" t="s">
        <v>14</v>
      </c>
      <c r="S19" s="706">
        <f>F19</f>
        <v>100</v>
      </c>
      <c r="T19" s="705" t="s">
        <v>14</v>
      </c>
      <c r="U19" s="706">
        <f>H19</f>
        <v>100</v>
      </c>
      <c r="V19" s="705" t="s">
        <v>14</v>
      </c>
      <c r="W19" s="706">
        <f>J19</f>
        <v>100</v>
      </c>
      <c r="X19" s="1354"/>
      <c r="Y19" s="367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72"/>
      <c r="Q20" s="1351"/>
      <c r="R20" s="705"/>
      <c r="S20" s="706"/>
      <c r="T20" s="705"/>
      <c r="U20" s="706"/>
      <c r="V20" s="705"/>
      <c r="W20" s="706"/>
      <c r="X20" s="1354"/>
      <c r="Y20" s="3672"/>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2"/>
      <c r="Q21" s="1351" t="str">
        <f>B21</f>
        <v>基础设施水平</v>
      </c>
      <c r="R21" s="705" t="s">
        <v>14</v>
      </c>
      <c r="S21" s="706">
        <f>F21</f>
        <v>100</v>
      </c>
      <c r="T21" s="705" t="s">
        <v>14</v>
      </c>
      <c r="U21" s="706">
        <f>H21</f>
        <v>100</v>
      </c>
      <c r="V21" s="705" t="s">
        <v>14</v>
      </c>
      <c r="W21" s="706">
        <f>J21</f>
        <v>100</v>
      </c>
      <c r="X21" s="1354"/>
      <c r="Y21" s="367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672"/>
      <c r="Q22" s="1351"/>
      <c r="R22" s="705"/>
      <c r="S22" s="706"/>
      <c r="T22" s="705"/>
      <c r="U22" s="706"/>
      <c r="V22" s="705"/>
      <c r="W22" s="706"/>
      <c r="X22" s="1354"/>
      <c r="Y22" s="367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2"/>
      <c r="Q23" s="1351" t="str">
        <f>B23</f>
        <v>环境质量</v>
      </c>
      <c r="R23" s="705" t="s">
        <v>14</v>
      </c>
      <c r="S23" s="706">
        <f>F23</f>
        <v>100</v>
      </c>
      <c r="T23" s="705" t="s">
        <v>14</v>
      </c>
      <c r="U23" s="706">
        <f>H23</f>
        <v>100</v>
      </c>
      <c r="V23" s="705" t="s">
        <v>14</v>
      </c>
      <c r="W23" s="706">
        <f>J23</f>
        <v>100</v>
      </c>
      <c r="X23" s="1354"/>
      <c r="Y23" s="367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672"/>
      <c r="Q24" s="1351"/>
      <c r="R24" s="705"/>
      <c r="S24" s="706"/>
      <c r="T24" s="705"/>
      <c r="U24" s="706"/>
      <c r="V24" s="705"/>
      <c r="W24" s="706"/>
      <c r="X24" s="1354"/>
      <c r="Y24" s="367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2"/>
      <c r="Q25" s="1351">
        <f>B25</f>
        <v>111</v>
      </c>
      <c r="R25" s="705" t="s">
        <v>14</v>
      </c>
      <c r="S25" s="706">
        <f>F25</f>
        <v>100</v>
      </c>
      <c r="T25" s="705" t="s">
        <v>14</v>
      </c>
      <c r="U25" s="706">
        <f>H25</f>
        <v>100</v>
      </c>
      <c r="V25" s="705" t="s">
        <v>14</v>
      </c>
      <c r="W25" s="706">
        <f>J25</f>
        <v>100</v>
      </c>
      <c r="X25" s="1354"/>
      <c r="Y25" s="367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2"/>
      <c r="Q26" s="1351">
        <f t="shared" ref="Q26:Q40" si="11">B26</f>
        <v>111</v>
      </c>
      <c r="R26" s="705" t="s">
        <v>14</v>
      </c>
      <c r="S26" s="706">
        <f>F26</f>
        <v>100</v>
      </c>
      <c r="T26" s="705" t="s">
        <v>14</v>
      </c>
      <c r="U26" s="706">
        <f>H26</f>
        <v>100</v>
      </c>
      <c r="V26" s="705" t="s">
        <v>14</v>
      </c>
      <c r="W26" s="706">
        <f>J26</f>
        <v>100</v>
      </c>
      <c r="X26" s="1354"/>
      <c r="Y26" s="367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2"/>
      <c r="Q27" s="1342">
        <f t="shared" si="11"/>
        <v>111</v>
      </c>
      <c r="R27" s="701" t="s">
        <v>14</v>
      </c>
      <c r="S27" s="702">
        <f>F27</f>
        <v>100</v>
      </c>
      <c r="T27" s="701" t="s">
        <v>14</v>
      </c>
      <c r="U27" s="702">
        <f>H27</f>
        <v>100</v>
      </c>
      <c r="V27" s="701" t="s">
        <v>14</v>
      </c>
      <c r="W27" s="702">
        <f>J27</f>
        <v>100</v>
      </c>
      <c r="X27" s="703"/>
      <c r="Y27" s="367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2"/>
      <c r="Q28" s="1351">
        <f t="shared" si="11"/>
        <v>111</v>
      </c>
      <c r="R28" s="705" t="s">
        <v>14</v>
      </c>
      <c r="S28" s="706">
        <f t="shared" ref="S28:S40" si="12">F28</f>
        <v>100</v>
      </c>
      <c r="T28" s="705" t="s">
        <v>14</v>
      </c>
      <c r="U28" s="706">
        <f t="shared" ref="U28:U40" si="13">H28</f>
        <v>100</v>
      </c>
      <c r="V28" s="705" t="s">
        <v>14</v>
      </c>
      <c r="W28" s="706">
        <f t="shared" ref="W28:W40" si="14">J28</f>
        <v>100</v>
      </c>
      <c r="X28" s="1354"/>
      <c r="Y28" s="367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7" t="s">
        <v>1696</v>
      </c>
      <c r="Q29" s="1351" t="str">
        <f t="shared" si="11"/>
        <v>建筑类型</v>
      </c>
      <c r="R29" s="705" t="s">
        <v>14</v>
      </c>
      <c r="S29" s="706">
        <f t="shared" si="12"/>
        <v>100</v>
      </c>
      <c r="T29" s="705" t="s">
        <v>14</v>
      </c>
      <c r="U29" s="706">
        <f t="shared" si="13"/>
        <v>100</v>
      </c>
      <c r="V29" s="705" t="s">
        <v>14</v>
      </c>
      <c r="W29" s="706">
        <f t="shared" si="14"/>
        <v>100</v>
      </c>
      <c r="X29" s="1354"/>
      <c r="Y29" s="367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6"/>
      <c r="Q30" s="707" t="str">
        <f t="shared" si="11"/>
        <v>项目建筑规模</v>
      </c>
      <c r="R30" s="708" t="s">
        <v>14</v>
      </c>
      <c r="S30" s="709" t="e">
        <f t="shared" si="12"/>
        <v>#N/A</v>
      </c>
      <c r="T30" s="708" t="s">
        <v>14</v>
      </c>
      <c r="U30" s="709" t="e">
        <f t="shared" si="13"/>
        <v>#N/A</v>
      </c>
      <c r="V30" s="708" t="s">
        <v>14</v>
      </c>
      <c r="W30" s="709" t="e">
        <f t="shared" si="14"/>
        <v>#N/A</v>
      </c>
      <c r="X30" s="710"/>
      <c r="Y30" s="3676"/>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6"/>
      <c r="Q31" s="1351" t="str">
        <f t="shared" si="11"/>
        <v>建筑结构</v>
      </c>
      <c r="R31" s="705" t="s">
        <v>14</v>
      </c>
      <c r="S31" s="706">
        <f t="shared" si="12"/>
        <v>100</v>
      </c>
      <c r="T31" s="705" t="s">
        <v>14</v>
      </c>
      <c r="U31" s="706">
        <f t="shared" si="13"/>
        <v>100</v>
      </c>
      <c r="V31" s="705" t="s">
        <v>14</v>
      </c>
      <c r="W31" s="706">
        <f t="shared" si="14"/>
        <v>100</v>
      </c>
      <c r="X31" s="1354"/>
      <c r="Y31" s="367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6"/>
      <c r="Q32" s="1351" t="str">
        <f t="shared" si="11"/>
        <v>公共部分装修</v>
      </c>
      <c r="R32" s="705" t="s">
        <v>14</v>
      </c>
      <c r="S32" s="706">
        <f t="shared" si="12"/>
        <v>100</v>
      </c>
      <c r="T32" s="705" t="s">
        <v>14</v>
      </c>
      <c r="U32" s="706">
        <f t="shared" si="13"/>
        <v>100</v>
      </c>
      <c r="V32" s="705" t="s">
        <v>14</v>
      </c>
      <c r="W32" s="706">
        <f t="shared" si="14"/>
        <v>100</v>
      </c>
      <c r="X32" s="1354"/>
      <c r="Y32" s="367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6"/>
      <c r="Q33" s="1351" t="str">
        <f t="shared" si="11"/>
        <v>成新度</v>
      </c>
      <c r="R33" s="705" t="s">
        <v>14</v>
      </c>
      <c r="S33" s="706" t="e">
        <f t="shared" si="12"/>
        <v>#N/A</v>
      </c>
      <c r="T33" s="705" t="s">
        <v>14</v>
      </c>
      <c r="U33" s="706" t="e">
        <f t="shared" si="13"/>
        <v>#N/A</v>
      </c>
      <c r="V33" s="705" t="s">
        <v>14</v>
      </c>
      <c r="W33" s="706" t="e">
        <f t="shared" si="14"/>
        <v>#N/A</v>
      </c>
      <c r="X33" s="1354"/>
      <c r="Y33" s="367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6"/>
      <c r="Q34" s="1342" t="str">
        <f t="shared" si="11"/>
        <v>物业管理</v>
      </c>
      <c r="R34" s="701" t="s">
        <v>14</v>
      </c>
      <c r="S34" s="702">
        <f t="shared" si="12"/>
        <v>100</v>
      </c>
      <c r="T34" s="701" t="s">
        <v>14</v>
      </c>
      <c r="U34" s="702">
        <f t="shared" si="13"/>
        <v>100</v>
      </c>
      <c r="V34" s="701" t="s">
        <v>14</v>
      </c>
      <c r="W34" s="702">
        <f t="shared" si="14"/>
        <v>100</v>
      </c>
      <c r="X34" s="703"/>
      <c r="Y34" s="367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6" t="s">
        <v>1696</v>
      </c>
      <c r="Q35" s="1351" t="str">
        <f t="shared" si="11"/>
        <v>市政基础设施</v>
      </c>
      <c r="R35" s="705" t="s">
        <v>14</v>
      </c>
      <c r="S35" s="706">
        <f t="shared" si="12"/>
        <v>100</v>
      </c>
      <c r="T35" s="705" t="s">
        <v>14</v>
      </c>
      <c r="U35" s="706">
        <f t="shared" si="13"/>
        <v>100</v>
      </c>
      <c r="V35" s="705" t="s">
        <v>14</v>
      </c>
      <c r="W35" s="706">
        <f t="shared" si="14"/>
        <v>100</v>
      </c>
      <c r="X35" s="1354"/>
      <c r="Y35" s="367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6"/>
      <c r="Q36" s="1351" t="str">
        <f t="shared" si="11"/>
        <v>内部装修</v>
      </c>
      <c r="R36" s="705" t="s">
        <v>14</v>
      </c>
      <c r="S36" s="706">
        <f t="shared" si="12"/>
        <v>100</v>
      </c>
      <c r="T36" s="705" t="s">
        <v>14</v>
      </c>
      <c r="U36" s="706">
        <f t="shared" si="13"/>
        <v>100</v>
      </c>
      <c r="V36" s="705" t="s">
        <v>14</v>
      </c>
      <c r="W36" s="706">
        <f t="shared" si="14"/>
        <v>100</v>
      </c>
      <c r="X36" s="1354"/>
      <c r="Y36" s="367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6"/>
      <c r="Q37" s="1351" t="str">
        <f t="shared" si="11"/>
        <v>内部装修状况</v>
      </c>
      <c r="R37" s="705" t="s">
        <v>14</v>
      </c>
      <c r="S37" s="706">
        <f t="shared" si="12"/>
        <v>100</v>
      </c>
      <c r="T37" s="705" t="s">
        <v>14</v>
      </c>
      <c r="U37" s="706">
        <f t="shared" si="13"/>
        <v>100</v>
      </c>
      <c r="V37" s="705" t="s">
        <v>14</v>
      </c>
      <c r="W37" s="706">
        <f t="shared" si="14"/>
        <v>100</v>
      </c>
      <c r="X37" s="1354"/>
      <c r="Y37" s="367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6"/>
      <c r="Q38" s="707">
        <f t="shared" si="11"/>
        <v>111</v>
      </c>
      <c r="R38" s="708" t="s">
        <v>14</v>
      </c>
      <c r="S38" s="709">
        <f t="shared" si="12"/>
        <v>100</v>
      </c>
      <c r="T38" s="708" t="s">
        <v>14</v>
      </c>
      <c r="U38" s="709">
        <f t="shared" si="13"/>
        <v>100</v>
      </c>
      <c r="V38" s="708" t="s">
        <v>14</v>
      </c>
      <c r="W38" s="709">
        <f t="shared" si="14"/>
        <v>100</v>
      </c>
      <c r="X38" s="710"/>
      <c r="Y38" s="3676"/>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6"/>
      <c r="Q39" s="1351">
        <f t="shared" si="11"/>
        <v>111</v>
      </c>
      <c r="R39" s="705" t="s">
        <v>14</v>
      </c>
      <c r="S39" s="706">
        <f t="shared" si="12"/>
        <v>100</v>
      </c>
      <c r="T39" s="705" t="s">
        <v>14</v>
      </c>
      <c r="U39" s="706">
        <f t="shared" si="13"/>
        <v>100</v>
      </c>
      <c r="V39" s="705" t="s">
        <v>14</v>
      </c>
      <c r="W39" s="706">
        <f t="shared" si="14"/>
        <v>100</v>
      </c>
      <c r="X39" s="1354"/>
      <c r="Y39" s="367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7"/>
      <c r="Q40" s="1351">
        <f t="shared" si="11"/>
        <v>111</v>
      </c>
      <c r="R40" s="705" t="s">
        <v>14</v>
      </c>
      <c r="S40" s="706">
        <f t="shared" si="12"/>
        <v>100</v>
      </c>
      <c r="T40" s="705" t="s">
        <v>14</v>
      </c>
      <c r="U40" s="706">
        <f t="shared" si="13"/>
        <v>100</v>
      </c>
      <c r="V40" s="705" t="s">
        <v>14</v>
      </c>
      <c r="W40" s="706">
        <f t="shared" si="14"/>
        <v>100</v>
      </c>
      <c r="X40" s="1354"/>
      <c r="Y40" s="3677"/>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669" t="str">
        <f>A41</f>
        <v>成交单价（元/平方米）</v>
      </c>
      <c r="Q41" s="3669"/>
      <c r="R41" s="3670">
        <f>E41</f>
        <v>0</v>
      </c>
      <c r="S41" s="3670"/>
      <c r="T41" s="3670">
        <f>G41</f>
        <v>0</v>
      </c>
      <c r="U41" s="3670"/>
      <c r="V41" s="3670">
        <f>I41</f>
        <v>0</v>
      </c>
      <c r="W41" s="3670"/>
      <c r="X41" s="690"/>
      <c r="Y41" s="712"/>
      <c r="Z41" s="690"/>
      <c r="AA41" s="690"/>
      <c r="AB41" s="690"/>
      <c r="AC41" s="690"/>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6"/>
      <c r="M42" s="927"/>
      <c r="N42" s="914"/>
      <c r="O42" s="927"/>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666" t="str">
        <f>A43</f>
        <v>估价对象XX用房的比较价值（楼面单价，元/平方米）</v>
      </c>
      <c r="Q43" s="3667"/>
      <c r="R43" s="3668" t="e">
        <f>IF(F1="售价",ROUND(IF(D42="简单平均",AVERAGE(R42:V42),R42*F42+T42*H42+V42*J42),0),ROUND(IF(D42="简单平均",AVERAGE(R42:V42),R42*F42+T42*H42+V42*J42),1))</f>
        <v>#DIV/0!</v>
      </c>
      <c r="S43" s="3668"/>
      <c r="T43" s="3668"/>
      <c r="U43" s="3668"/>
      <c r="V43" s="3668"/>
      <c r="W43" s="366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估价对象为北京市房地产，为所有。根据《国有土地使用证》[]，估价对象（分摊）出让国有建设用地使用权面积为0平方米，建筑面积为104.4平方米。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估价对象为北京市房地产,属开发建设的，该项目尚在开发建设中。根据《国有土地使用证》[]，估价对象（分摊）出让国有建设用地使用权面积为0平方米，规划建筑面积为104.4平方米。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4"/>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94" t="s">
        <v>1771</v>
      </c>
      <c r="S4" s="3695"/>
      <c r="T4" s="3694" t="s">
        <v>1772</v>
      </c>
      <c r="U4" s="3695"/>
      <c r="V4" s="3700" t="s">
        <v>1773</v>
      </c>
      <c r="W4" s="3700"/>
      <c r="X4" s="1354"/>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4"/>
      <c r="M5" s="2715"/>
      <c r="N5" s="2715"/>
      <c r="O5" s="2715"/>
      <c r="P5" s="3690"/>
      <c r="Q5" s="3691"/>
      <c r="R5" s="3696"/>
      <c r="S5" s="3697"/>
      <c r="T5" s="3696"/>
      <c r="U5" s="3697"/>
      <c r="V5" s="3700"/>
      <c r="W5" s="3700"/>
      <c r="X5" s="1354"/>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2714"/>
      <c r="M6" s="2715"/>
      <c r="N6" s="2715"/>
      <c r="O6" s="2715"/>
      <c r="P6" s="3692"/>
      <c r="Q6" s="3693"/>
      <c r="R6" s="3696"/>
      <c r="S6" s="3697"/>
      <c r="T6" s="3698"/>
      <c r="U6" s="3699"/>
      <c r="V6" s="3700"/>
      <c r="W6" s="3700"/>
      <c r="X6" s="1354"/>
      <c r="Y6" s="3698"/>
      <c r="Z6" s="3699"/>
      <c r="AA6" s="3683"/>
      <c r="AB6" s="3683"/>
      <c r="AC6" s="3683"/>
    </row>
    <row r="7" spans="1:29" s="108" customFormat="1" ht="15.75" thickBot="1">
      <c r="A7" s="362" t="s">
        <v>1679</v>
      </c>
      <c r="B7" s="363"/>
      <c r="C7" s="364">
        <f>'数据-取费表'!B2</f>
        <v>45108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5" t="s">
        <v>1683</v>
      </c>
      <c r="Q8" s="3706"/>
      <c r="R8" s="701" t="s">
        <v>14</v>
      </c>
      <c r="S8" s="702">
        <f t="shared" si="0"/>
        <v>100</v>
      </c>
      <c r="T8" s="701" t="s">
        <v>14</v>
      </c>
      <c r="U8" s="702">
        <f t="shared" si="1"/>
        <v>100</v>
      </c>
      <c r="V8" s="701" t="s">
        <v>14</v>
      </c>
      <c r="W8" s="702">
        <f t="shared" si="2"/>
        <v>100</v>
      </c>
      <c r="X8" s="703"/>
      <c r="Y8" s="3705" t="s">
        <v>1683</v>
      </c>
      <c r="Z8" s="370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9" t="s">
        <v>1686</v>
      </c>
      <c r="Q9" s="1342"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9"/>
      <c r="Q10" s="1342"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9"/>
      <c r="Q11" s="1342">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9"/>
      <c r="Q12" s="1342">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9"/>
      <c r="Q13" s="1342">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1" t="s">
        <v>1691</v>
      </c>
      <c r="Q14" s="1351" t="str">
        <f t="shared" si="6"/>
        <v>交通便捷度</v>
      </c>
      <c r="R14" s="705" t="s">
        <v>14</v>
      </c>
      <c r="S14" s="706">
        <f t="shared" si="0"/>
        <v>100</v>
      </c>
      <c r="T14" s="705" t="s">
        <v>14</v>
      </c>
      <c r="U14" s="706">
        <f t="shared" si="1"/>
        <v>100</v>
      </c>
      <c r="V14" s="705" t="s">
        <v>14</v>
      </c>
      <c r="W14" s="706">
        <f t="shared" si="2"/>
        <v>100</v>
      </c>
      <c r="X14" s="1354"/>
      <c r="Y14" s="367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72"/>
      <c r="Q15" s="1351"/>
      <c r="R15" s="705"/>
      <c r="S15" s="706"/>
      <c r="T15" s="705"/>
      <c r="U15" s="706"/>
      <c r="V15" s="705"/>
      <c r="W15" s="706"/>
      <c r="X15" s="1354"/>
      <c r="Y15" s="3672"/>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2"/>
      <c r="Q16" s="1351" t="str">
        <f>B16</f>
        <v>公共配套设施</v>
      </c>
      <c r="R16" s="705" t="s">
        <v>14</v>
      </c>
      <c r="S16" s="706">
        <f>F16</f>
        <v>100</v>
      </c>
      <c r="T16" s="705" t="s">
        <v>14</v>
      </c>
      <c r="U16" s="706">
        <f>H16</f>
        <v>100</v>
      </c>
      <c r="V16" s="705" t="s">
        <v>14</v>
      </c>
      <c r="W16" s="706">
        <f>J16</f>
        <v>100</v>
      </c>
      <c r="X16" s="1354"/>
      <c r="Y16" s="367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72"/>
      <c r="Q17" s="1351"/>
      <c r="R17" s="705"/>
      <c r="S17" s="706"/>
      <c r="T17" s="705"/>
      <c r="U17" s="706"/>
      <c r="V17" s="705"/>
      <c r="W17" s="706"/>
      <c r="X17" s="1354"/>
      <c r="Y17" s="3672"/>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2"/>
      <c r="Q18" s="1351" t="str">
        <f>B18</f>
        <v>基础设施水平</v>
      </c>
      <c r="R18" s="705" t="s">
        <v>14</v>
      </c>
      <c r="S18" s="706">
        <f>F18</f>
        <v>100</v>
      </c>
      <c r="T18" s="705" t="s">
        <v>14</v>
      </c>
      <c r="U18" s="706">
        <f>H18</f>
        <v>100</v>
      </c>
      <c r="V18" s="705" t="s">
        <v>14</v>
      </c>
      <c r="W18" s="706">
        <f>J18</f>
        <v>100</v>
      </c>
      <c r="X18" s="1354"/>
      <c r="Y18" s="367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72"/>
      <c r="Q19" s="1351"/>
      <c r="R19" s="705"/>
      <c r="S19" s="706"/>
      <c r="T19" s="705"/>
      <c r="U19" s="706"/>
      <c r="V19" s="705"/>
      <c r="W19" s="706"/>
      <c r="X19" s="1354"/>
      <c r="Y19" s="3672"/>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2"/>
      <c r="Q20" s="1351" t="str">
        <f>B20</f>
        <v>自然及人文环境</v>
      </c>
      <c r="R20" s="705" t="s">
        <v>14</v>
      </c>
      <c r="S20" s="706">
        <f>F20</f>
        <v>100</v>
      </c>
      <c r="T20" s="705" t="s">
        <v>14</v>
      </c>
      <c r="U20" s="706">
        <f>H20</f>
        <v>100</v>
      </c>
      <c r="V20" s="705" t="s">
        <v>14</v>
      </c>
      <c r="W20" s="706">
        <f>J20</f>
        <v>100</v>
      </c>
      <c r="X20" s="1354"/>
      <c r="Y20" s="367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72"/>
      <c r="Q21" s="1351"/>
      <c r="R21" s="705"/>
      <c r="S21" s="706"/>
      <c r="T21" s="705"/>
      <c r="U21" s="706"/>
      <c r="V21" s="705"/>
      <c r="W21" s="706"/>
      <c r="X21" s="1354"/>
      <c r="Y21" s="367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2"/>
      <c r="Q22" s="1351" t="str">
        <f>B22</f>
        <v>楼层</v>
      </c>
      <c r="R22" s="705" t="s">
        <v>14</v>
      </c>
      <c r="S22" s="706">
        <f>F22</f>
        <v>100</v>
      </c>
      <c r="T22" s="705" t="s">
        <v>14</v>
      </c>
      <c r="U22" s="706">
        <f>H22</f>
        <v>100</v>
      </c>
      <c r="V22" s="705" t="s">
        <v>14</v>
      </c>
      <c r="W22" s="706">
        <f>J22</f>
        <v>100</v>
      </c>
      <c r="X22" s="1354"/>
      <c r="Y22" s="367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2"/>
      <c r="Q23" s="1351">
        <f>B23</f>
        <v>111</v>
      </c>
      <c r="R23" s="705" t="s">
        <v>14</v>
      </c>
      <c r="S23" s="706">
        <f>F23</f>
        <v>100</v>
      </c>
      <c r="T23" s="705" t="s">
        <v>14</v>
      </c>
      <c r="U23" s="706">
        <f>H23</f>
        <v>100</v>
      </c>
      <c r="V23" s="705" t="s">
        <v>14</v>
      </c>
      <c r="W23" s="706">
        <f>J23</f>
        <v>100</v>
      </c>
      <c r="X23" s="1354"/>
      <c r="Y23" s="367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2"/>
      <c r="Q24" s="1351">
        <f t="shared" ref="Q24:Q36" si="11">B24</f>
        <v>111</v>
      </c>
      <c r="R24" s="705" t="s">
        <v>14</v>
      </c>
      <c r="S24" s="706">
        <f>F24</f>
        <v>100</v>
      </c>
      <c r="T24" s="705" t="s">
        <v>14</v>
      </c>
      <c r="U24" s="706">
        <f>H24</f>
        <v>100</v>
      </c>
      <c r="V24" s="705" t="s">
        <v>14</v>
      </c>
      <c r="W24" s="706">
        <f>J24</f>
        <v>100</v>
      </c>
      <c r="X24" s="1354"/>
      <c r="Y24" s="367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2"/>
      <c r="Q25" s="1342">
        <f t="shared" si="11"/>
        <v>111</v>
      </c>
      <c r="R25" s="701" t="s">
        <v>14</v>
      </c>
      <c r="S25" s="702">
        <f>F25</f>
        <v>100</v>
      </c>
      <c r="T25" s="701" t="s">
        <v>14</v>
      </c>
      <c r="U25" s="702">
        <f>H25</f>
        <v>100</v>
      </c>
      <c r="V25" s="701" t="s">
        <v>14</v>
      </c>
      <c r="W25" s="702">
        <f>J25</f>
        <v>100</v>
      </c>
      <c r="X25" s="703"/>
      <c r="Y25" s="3672"/>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7"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7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6"/>
      <c r="Q27" s="707" t="str">
        <f t="shared" si="11"/>
        <v>项目停车位配比</v>
      </c>
      <c r="R27" s="708" t="s">
        <v>14</v>
      </c>
      <c r="S27" s="709">
        <f t="shared" si="12"/>
        <v>100</v>
      </c>
      <c r="T27" s="708" t="s">
        <v>14</v>
      </c>
      <c r="U27" s="709">
        <f t="shared" si="13"/>
        <v>100</v>
      </c>
      <c r="V27" s="708" t="s">
        <v>14</v>
      </c>
      <c r="W27" s="709">
        <f t="shared" si="14"/>
        <v>100</v>
      </c>
      <c r="X27" s="710"/>
      <c r="Y27" s="3676"/>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6"/>
      <c r="Q28" s="1351" t="str">
        <f t="shared" si="11"/>
        <v>公共部分装修</v>
      </c>
      <c r="R28" s="705" t="s">
        <v>14</v>
      </c>
      <c r="S28" s="706">
        <f t="shared" si="12"/>
        <v>100</v>
      </c>
      <c r="T28" s="705" t="s">
        <v>14</v>
      </c>
      <c r="U28" s="706">
        <f t="shared" si="13"/>
        <v>100</v>
      </c>
      <c r="V28" s="705" t="s">
        <v>14</v>
      </c>
      <c r="W28" s="706">
        <f t="shared" si="14"/>
        <v>100</v>
      </c>
      <c r="X28" s="1354"/>
      <c r="Y28" s="367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6"/>
      <c r="Q29" s="1351" t="str">
        <f t="shared" si="11"/>
        <v>成新率</v>
      </c>
      <c r="R29" s="705" t="s">
        <v>14</v>
      </c>
      <c r="S29" s="706" t="e">
        <f t="shared" si="12"/>
        <v>#N/A</v>
      </c>
      <c r="T29" s="705" t="s">
        <v>14</v>
      </c>
      <c r="U29" s="706" t="e">
        <f t="shared" si="13"/>
        <v>#N/A</v>
      </c>
      <c r="V29" s="705" t="s">
        <v>14</v>
      </c>
      <c r="W29" s="706" t="e">
        <f t="shared" si="14"/>
        <v>#N/A</v>
      </c>
      <c r="X29" s="1354"/>
      <c r="Y29" s="367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6"/>
      <c r="Q30" s="1351" t="str">
        <f t="shared" si="11"/>
        <v>物业等级</v>
      </c>
      <c r="R30" s="705" t="s">
        <v>14</v>
      </c>
      <c r="S30" s="706">
        <f t="shared" si="12"/>
        <v>100</v>
      </c>
      <c r="T30" s="705" t="s">
        <v>14</v>
      </c>
      <c r="U30" s="706">
        <f t="shared" si="13"/>
        <v>100</v>
      </c>
      <c r="V30" s="705" t="s">
        <v>14</v>
      </c>
      <c r="W30" s="706">
        <f t="shared" si="14"/>
        <v>100</v>
      </c>
      <c r="X30" s="1354"/>
      <c r="Y30" s="367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6"/>
      <c r="Q31" s="1342" t="str">
        <f t="shared" si="11"/>
        <v>停车位面积</v>
      </c>
      <c r="R31" s="701" t="s">
        <v>14</v>
      </c>
      <c r="S31" s="702" t="e">
        <f t="shared" si="12"/>
        <v>#N/A</v>
      </c>
      <c r="T31" s="701" t="s">
        <v>14</v>
      </c>
      <c r="U31" s="702" t="e">
        <f t="shared" si="13"/>
        <v>#N/A</v>
      </c>
      <c r="V31" s="701" t="s">
        <v>14</v>
      </c>
      <c r="W31" s="702" t="e">
        <f t="shared" si="14"/>
        <v>#N/A</v>
      </c>
      <c r="X31" s="703"/>
      <c r="Y31" s="367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6" t="s">
        <v>1696</v>
      </c>
      <c r="Q32" s="1351" t="str">
        <f t="shared" si="11"/>
        <v>车位类型</v>
      </c>
      <c r="R32" s="705" t="s">
        <v>14</v>
      </c>
      <c r="S32" s="706">
        <f t="shared" si="12"/>
        <v>100</v>
      </c>
      <c r="T32" s="705" t="s">
        <v>14</v>
      </c>
      <c r="U32" s="706">
        <f t="shared" si="13"/>
        <v>100</v>
      </c>
      <c r="V32" s="705" t="s">
        <v>14</v>
      </c>
      <c r="W32" s="706">
        <f t="shared" si="14"/>
        <v>100</v>
      </c>
      <c r="X32" s="1354"/>
      <c r="Y32" s="367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6"/>
      <c r="Q33" s="1351" t="str">
        <f t="shared" si="11"/>
        <v>是否直接入户</v>
      </c>
      <c r="R33" s="705" t="s">
        <v>14</v>
      </c>
      <c r="S33" s="706">
        <f t="shared" si="12"/>
        <v>100</v>
      </c>
      <c r="T33" s="705" t="s">
        <v>14</v>
      </c>
      <c r="U33" s="706">
        <f t="shared" si="13"/>
        <v>100</v>
      </c>
      <c r="V33" s="705" t="s">
        <v>14</v>
      </c>
      <c r="W33" s="706">
        <f t="shared" si="14"/>
        <v>100</v>
      </c>
      <c r="X33" s="1354"/>
      <c r="Y33" s="367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6"/>
      <c r="Q34" s="1351">
        <f t="shared" si="11"/>
        <v>111</v>
      </c>
      <c r="R34" s="705" t="s">
        <v>14</v>
      </c>
      <c r="S34" s="706">
        <f t="shared" si="12"/>
        <v>100</v>
      </c>
      <c r="T34" s="705" t="s">
        <v>14</v>
      </c>
      <c r="U34" s="706">
        <f t="shared" si="13"/>
        <v>100</v>
      </c>
      <c r="V34" s="705" t="s">
        <v>14</v>
      </c>
      <c r="W34" s="706">
        <f t="shared" si="14"/>
        <v>100</v>
      </c>
      <c r="X34" s="1354"/>
      <c r="Y34" s="367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6"/>
      <c r="Q35" s="707">
        <f t="shared" si="11"/>
        <v>111</v>
      </c>
      <c r="R35" s="708" t="s">
        <v>14</v>
      </c>
      <c r="S35" s="709">
        <f t="shared" si="12"/>
        <v>100</v>
      </c>
      <c r="T35" s="708" t="s">
        <v>14</v>
      </c>
      <c r="U35" s="709">
        <f t="shared" si="13"/>
        <v>100</v>
      </c>
      <c r="V35" s="708" t="s">
        <v>14</v>
      </c>
      <c r="W35" s="709">
        <f t="shared" si="14"/>
        <v>100</v>
      </c>
      <c r="X35" s="710"/>
      <c r="Y35" s="3676"/>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6"/>
      <c r="Q36" s="1351">
        <f t="shared" si="11"/>
        <v>111</v>
      </c>
      <c r="R36" s="705" t="s">
        <v>14</v>
      </c>
      <c r="S36" s="706">
        <f t="shared" si="12"/>
        <v>100</v>
      </c>
      <c r="T36" s="705" t="s">
        <v>14</v>
      </c>
      <c r="U36" s="706">
        <f t="shared" si="13"/>
        <v>100</v>
      </c>
      <c r="V36" s="705" t="s">
        <v>14</v>
      </c>
      <c r="W36" s="706">
        <f t="shared" si="14"/>
        <v>100</v>
      </c>
      <c r="X36" s="1354"/>
      <c r="Y36" s="3676"/>
      <c r="Z36" s="1355">
        <f t="shared" si="15"/>
        <v>111</v>
      </c>
      <c r="AA36" s="1352">
        <f t="shared" si="3"/>
        <v>1</v>
      </c>
      <c r="AB36" s="1352">
        <f t="shared" si="4"/>
        <v>1</v>
      </c>
      <c r="AC36" s="1352">
        <f t="shared" si="5"/>
        <v>1</v>
      </c>
    </row>
    <row r="37" spans="1:29" ht="15">
      <c r="A37" s="430" t="s">
        <v>1844</v>
      </c>
      <c r="B37" s="1972" t="s">
        <v>3358</v>
      </c>
      <c r="C37" s="1153" t="s">
        <v>0</v>
      </c>
      <c r="D37" s="1154"/>
      <c r="E37" s="1155"/>
      <c r="F37" s="1156"/>
      <c r="G37" s="1157"/>
      <c r="H37" s="1158"/>
      <c r="I37" s="1155"/>
      <c r="J37" s="1158"/>
      <c r="K37" s="568"/>
      <c r="L37" s="2723"/>
      <c r="M37" s="2724"/>
      <c r="N37" s="2715"/>
      <c r="O37" s="2724"/>
      <c r="P37" s="3669" t="str">
        <f>A37</f>
        <v>成交单价</v>
      </c>
      <c r="Q37" s="3669"/>
      <c r="R37" s="3670">
        <f>E37</f>
        <v>0</v>
      </c>
      <c r="S37" s="3670"/>
      <c r="T37" s="3670">
        <f>G37</f>
        <v>0</v>
      </c>
      <c r="U37" s="3670"/>
      <c r="V37" s="3670">
        <f>I37</f>
        <v>0</v>
      </c>
      <c r="W37" s="3670"/>
      <c r="X37" s="690"/>
      <c r="Y37" s="712"/>
      <c r="Z37" s="690"/>
      <c r="AA37" s="690"/>
      <c r="AB37" s="690"/>
      <c r="AC37" s="690"/>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3"/>
      <c r="M39" s="2724"/>
      <c r="N39" s="2724"/>
      <c r="O39" s="2724"/>
      <c r="P39" s="3666" t="str">
        <f>A39</f>
        <v>估价对象XX用房的比较价值（楼面单价，元/平方米）</v>
      </c>
      <c r="Q39" s="3667"/>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7"/>
      <c r="C47" s="940"/>
      <c r="D47" s="940"/>
      <c r="E47" s="940"/>
      <c r="F47" s="1166"/>
      <c r="G47" s="1166"/>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94" t="s">
        <v>1771</v>
      </c>
      <c r="S4" s="3695"/>
      <c r="T4" s="3694" t="s">
        <v>1772</v>
      </c>
      <c r="U4" s="3695"/>
      <c r="V4" s="3700" t="s">
        <v>1773</v>
      </c>
      <c r="W4" s="3700"/>
      <c r="X4" s="1354"/>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4"/>
      <c r="M5" s="2715"/>
      <c r="N5" s="2715"/>
      <c r="O5" s="2715"/>
      <c r="P5" s="3690"/>
      <c r="Q5" s="3691"/>
      <c r="R5" s="3696"/>
      <c r="S5" s="3697"/>
      <c r="T5" s="3696"/>
      <c r="U5" s="3697"/>
      <c r="V5" s="3700"/>
      <c r="W5" s="3700"/>
      <c r="X5" s="1354"/>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2714"/>
      <c r="M6" s="2715"/>
      <c r="N6" s="2715"/>
      <c r="O6" s="2715"/>
      <c r="P6" s="3692"/>
      <c r="Q6" s="3693"/>
      <c r="R6" s="3696"/>
      <c r="S6" s="3697"/>
      <c r="T6" s="3698"/>
      <c r="U6" s="3699"/>
      <c r="V6" s="3700"/>
      <c r="W6" s="3700"/>
      <c r="X6" s="1354"/>
      <c r="Y6" s="3698"/>
      <c r="Z6" s="3699"/>
      <c r="AA6" s="3683"/>
      <c r="AB6" s="3683"/>
      <c r="AC6" s="3683"/>
    </row>
    <row r="7" spans="1:29" s="108" customFormat="1" ht="15.75" thickBot="1">
      <c r="A7" s="362" t="s">
        <v>1679</v>
      </c>
      <c r="B7" s="363"/>
      <c r="C7" s="364">
        <f>'数据-取费表'!B2</f>
        <v>45108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5" t="s">
        <v>1683</v>
      </c>
      <c r="Q8" s="3706"/>
      <c r="R8" s="701" t="s">
        <v>14</v>
      </c>
      <c r="S8" s="702">
        <f t="shared" si="0"/>
        <v>100</v>
      </c>
      <c r="T8" s="701" t="s">
        <v>14</v>
      </c>
      <c r="U8" s="702">
        <f t="shared" si="1"/>
        <v>100</v>
      </c>
      <c r="V8" s="701" t="s">
        <v>14</v>
      </c>
      <c r="W8" s="702">
        <f t="shared" si="2"/>
        <v>100</v>
      </c>
      <c r="X8" s="703"/>
      <c r="Y8" s="3705" t="s">
        <v>1683</v>
      </c>
      <c r="Z8" s="370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9" t="s">
        <v>1686</v>
      </c>
      <c r="Q9" s="1342"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9"/>
      <c r="Q10" s="1342"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9"/>
      <c r="Q11" s="1342">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9"/>
      <c r="Q12" s="1342">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9"/>
      <c r="Q13" s="1342">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1" t="s">
        <v>1691</v>
      </c>
      <c r="Q14" s="1351" t="str">
        <f t="shared" si="6"/>
        <v>交通便捷度</v>
      </c>
      <c r="R14" s="705" t="s">
        <v>14</v>
      </c>
      <c r="S14" s="706">
        <f t="shared" si="0"/>
        <v>100</v>
      </c>
      <c r="T14" s="705" t="s">
        <v>14</v>
      </c>
      <c r="U14" s="706">
        <f t="shared" si="1"/>
        <v>100</v>
      </c>
      <c r="V14" s="705" t="s">
        <v>14</v>
      </c>
      <c r="W14" s="706">
        <f t="shared" si="2"/>
        <v>100</v>
      </c>
      <c r="X14" s="1354"/>
      <c r="Y14" s="367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2"/>
      <c r="Q15" s="1351"/>
      <c r="R15" s="705"/>
      <c r="S15" s="706"/>
      <c r="T15" s="705"/>
      <c r="U15" s="706"/>
      <c r="V15" s="705"/>
      <c r="W15" s="706"/>
      <c r="X15" s="1354"/>
      <c r="Y15" s="3672"/>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2"/>
      <c r="Q16" s="1351" t="str">
        <f>B16</f>
        <v>公共配套设施</v>
      </c>
      <c r="R16" s="705" t="s">
        <v>14</v>
      </c>
      <c r="S16" s="706">
        <f>F16</f>
        <v>100</v>
      </c>
      <c r="T16" s="705" t="s">
        <v>14</v>
      </c>
      <c r="U16" s="706">
        <f>H16</f>
        <v>100</v>
      </c>
      <c r="V16" s="705" t="s">
        <v>14</v>
      </c>
      <c r="W16" s="706">
        <f>J16</f>
        <v>100</v>
      </c>
      <c r="X16" s="1354"/>
      <c r="Y16" s="367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2"/>
      <c r="Q17" s="1351"/>
      <c r="R17" s="705"/>
      <c r="S17" s="706"/>
      <c r="T17" s="705"/>
      <c r="U17" s="706"/>
      <c r="V17" s="705"/>
      <c r="W17" s="706"/>
      <c r="X17" s="1354"/>
      <c r="Y17" s="3672"/>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2"/>
      <c r="Q18" s="1351" t="str">
        <f>B18</f>
        <v>基础设施水平</v>
      </c>
      <c r="R18" s="705" t="s">
        <v>14</v>
      </c>
      <c r="S18" s="706">
        <f>F18</f>
        <v>100</v>
      </c>
      <c r="T18" s="705" t="s">
        <v>14</v>
      </c>
      <c r="U18" s="706">
        <f>H18</f>
        <v>100</v>
      </c>
      <c r="V18" s="705" t="s">
        <v>14</v>
      </c>
      <c r="W18" s="706">
        <f>J18</f>
        <v>100</v>
      </c>
      <c r="X18" s="1354"/>
      <c r="Y18" s="367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72"/>
      <c r="Q19" s="1351"/>
      <c r="R19" s="705"/>
      <c r="S19" s="706"/>
      <c r="T19" s="705"/>
      <c r="U19" s="706"/>
      <c r="V19" s="705"/>
      <c r="W19" s="706"/>
      <c r="X19" s="1354"/>
      <c r="Y19" s="3672"/>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2"/>
      <c r="Q20" s="1351" t="str">
        <f>B20</f>
        <v>自然及人文环境</v>
      </c>
      <c r="R20" s="705" t="s">
        <v>14</v>
      </c>
      <c r="S20" s="706">
        <f>F20</f>
        <v>100</v>
      </c>
      <c r="T20" s="705" t="s">
        <v>14</v>
      </c>
      <c r="U20" s="706">
        <f>H20</f>
        <v>100</v>
      </c>
      <c r="V20" s="705" t="s">
        <v>14</v>
      </c>
      <c r="W20" s="706">
        <f>J20</f>
        <v>100</v>
      </c>
      <c r="X20" s="1354"/>
      <c r="Y20" s="367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2"/>
      <c r="Q21" s="1351"/>
      <c r="R21" s="705"/>
      <c r="S21" s="706"/>
      <c r="T21" s="705"/>
      <c r="U21" s="706"/>
      <c r="V21" s="705"/>
      <c r="W21" s="706"/>
      <c r="X21" s="1354"/>
      <c r="Y21" s="367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2"/>
      <c r="Q22" s="1351" t="str">
        <f>B22</f>
        <v>楼层</v>
      </c>
      <c r="R22" s="705" t="s">
        <v>14</v>
      </c>
      <c r="S22" s="706">
        <f>F22</f>
        <v>100</v>
      </c>
      <c r="T22" s="705" t="s">
        <v>14</v>
      </c>
      <c r="U22" s="706">
        <f>H22</f>
        <v>100</v>
      </c>
      <c r="V22" s="705" t="s">
        <v>14</v>
      </c>
      <c r="W22" s="706">
        <f>J22</f>
        <v>100</v>
      </c>
      <c r="X22" s="1354"/>
      <c r="Y22" s="367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2"/>
      <c r="Q23" s="1351">
        <f>B23</f>
        <v>111</v>
      </c>
      <c r="R23" s="705" t="s">
        <v>14</v>
      </c>
      <c r="S23" s="706">
        <f>F23</f>
        <v>100</v>
      </c>
      <c r="T23" s="705" t="s">
        <v>14</v>
      </c>
      <c r="U23" s="706">
        <f>H23</f>
        <v>100</v>
      </c>
      <c r="V23" s="705" t="s">
        <v>14</v>
      </c>
      <c r="W23" s="706">
        <f>J23</f>
        <v>100</v>
      </c>
      <c r="X23" s="1354"/>
      <c r="Y23" s="367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2"/>
      <c r="Q24" s="1351">
        <f t="shared" ref="Q24:Q34" si="11">B24</f>
        <v>111</v>
      </c>
      <c r="R24" s="705" t="s">
        <v>14</v>
      </c>
      <c r="S24" s="706">
        <f>F24</f>
        <v>100</v>
      </c>
      <c r="T24" s="705" t="s">
        <v>14</v>
      </c>
      <c r="U24" s="706">
        <f>H24</f>
        <v>100</v>
      </c>
      <c r="V24" s="705" t="s">
        <v>14</v>
      </c>
      <c r="W24" s="706">
        <f>J24</f>
        <v>100</v>
      </c>
      <c r="X24" s="1354"/>
      <c r="Y24" s="3672"/>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72"/>
      <c r="Q25" s="1342">
        <f t="shared" si="11"/>
        <v>111</v>
      </c>
      <c r="R25" s="701" t="s">
        <v>14</v>
      </c>
      <c r="S25" s="702">
        <f>F25</f>
        <v>100</v>
      </c>
      <c r="T25" s="701" t="s">
        <v>14</v>
      </c>
      <c r="U25" s="702">
        <f>H25</f>
        <v>100</v>
      </c>
      <c r="V25" s="701" t="s">
        <v>14</v>
      </c>
      <c r="W25" s="702">
        <f>J25</f>
        <v>100</v>
      </c>
      <c r="X25" s="703"/>
      <c r="Y25" s="3672"/>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7"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7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6"/>
      <c r="Q27" s="707" t="str">
        <f t="shared" si="11"/>
        <v>成新率</v>
      </c>
      <c r="R27" s="708" t="s">
        <v>14</v>
      </c>
      <c r="S27" s="709" t="e">
        <f t="shared" si="12"/>
        <v>#N/A</v>
      </c>
      <c r="T27" s="708" t="s">
        <v>14</v>
      </c>
      <c r="U27" s="709" t="e">
        <f t="shared" si="13"/>
        <v>#N/A</v>
      </c>
      <c r="V27" s="708" t="s">
        <v>14</v>
      </c>
      <c r="W27" s="709" t="e">
        <f t="shared" si="14"/>
        <v>#N/A</v>
      </c>
      <c r="X27" s="710"/>
      <c r="Y27" s="3676"/>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6"/>
      <c r="Q28" s="1351" t="str">
        <f t="shared" si="11"/>
        <v>物业等级</v>
      </c>
      <c r="R28" s="705" t="s">
        <v>14</v>
      </c>
      <c r="S28" s="706">
        <f t="shared" si="12"/>
        <v>100</v>
      </c>
      <c r="T28" s="705" t="s">
        <v>14</v>
      </c>
      <c r="U28" s="706">
        <f t="shared" si="13"/>
        <v>100</v>
      </c>
      <c r="V28" s="705" t="s">
        <v>14</v>
      </c>
      <c r="W28" s="706">
        <f t="shared" si="14"/>
        <v>100</v>
      </c>
      <c r="X28" s="1354"/>
      <c r="Y28" s="367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6"/>
      <c r="Q29" s="1351" t="str">
        <f t="shared" si="11"/>
        <v>有无电梯</v>
      </c>
      <c r="R29" s="705" t="s">
        <v>14</v>
      </c>
      <c r="S29" s="706">
        <f t="shared" si="12"/>
        <v>100</v>
      </c>
      <c r="T29" s="705" t="s">
        <v>14</v>
      </c>
      <c r="U29" s="706">
        <f t="shared" si="13"/>
        <v>100</v>
      </c>
      <c r="V29" s="705" t="s">
        <v>14</v>
      </c>
      <c r="W29" s="706">
        <f t="shared" si="14"/>
        <v>100</v>
      </c>
      <c r="X29" s="1354"/>
      <c r="Y29" s="367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6"/>
      <c r="Q30" s="1351" t="str">
        <f t="shared" si="11"/>
        <v>建筑面积</v>
      </c>
      <c r="R30" s="705" t="s">
        <v>14</v>
      </c>
      <c r="S30" s="706" t="e">
        <f t="shared" si="12"/>
        <v>#N/A</v>
      </c>
      <c r="T30" s="705" t="s">
        <v>14</v>
      </c>
      <c r="U30" s="706" t="e">
        <f t="shared" si="13"/>
        <v>#N/A</v>
      </c>
      <c r="V30" s="705" t="s">
        <v>14</v>
      </c>
      <c r="W30" s="706" t="e">
        <f t="shared" si="14"/>
        <v>#N/A</v>
      </c>
      <c r="X30" s="1354"/>
      <c r="Y30" s="367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6"/>
      <c r="Q31" s="1342" t="str">
        <f t="shared" si="11"/>
        <v>是否封闭</v>
      </c>
      <c r="R31" s="701" t="s">
        <v>14</v>
      </c>
      <c r="S31" s="702">
        <f t="shared" si="12"/>
        <v>100</v>
      </c>
      <c r="T31" s="701" t="s">
        <v>14</v>
      </c>
      <c r="U31" s="702">
        <f t="shared" si="13"/>
        <v>100</v>
      </c>
      <c r="V31" s="701" t="s">
        <v>14</v>
      </c>
      <c r="W31" s="702">
        <f t="shared" si="14"/>
        <v>100</v>
      </c>
      <c r="X31" s="703"/>
      <c r="Y31" s="367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6" t="s">
        <v>1696</v>
      </c>
      <c r="Q32" s="1351">
        <f t="shared" si="11"/>
        <v>111</v>
      </c>
      <c r="R32" s="705" t="s">
        <v>14</v>
      </c>
      <c r="S32" s="706">
        <f t="shared" si="12"/>
        <v>100</v>
      </c>
      <c r="T32" s="705" t="s">
        <v>14</v>
      </c>
      <c r="U32" s="706">
        <f t="shared" si="13"/>
        <v>100</v>
      </c>
      <c r="V32" s="705" t="s">
        <v>14</v>
      </c>
      <c r="W32" s="706">
        <f t="shared" si="14"/>
        <v>100</v>
      </c>
      <c r="X32" s="1354"/>
      <c r="Y32" s="367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6"/>
      <c r="Q33" s="1351">
        <f t="shared" si="11"/>
        <v>111</v>
      </c>
      <c r="R33" s="705" t="s">
        <v>14</v>
      </c>
      <c r="S33" s="706">
        <f t="shared" si="12"/>
        <v>100</v>
      </c>
      <c r="T33" s="705" t="s">
        <v>14</v>
      </c>
      <c r="U33" s="706">
        <f t="shared" si="13"/>
        <v>100</v>
      </c>
      <c r="V33" s="705" t="s">
        <v>14</v>
      </c>
      <c r="W33" s="706">
        <f t="shared" si="14"/>
        <v>100</v>
      </c>
      <c r="X33" s="1354"/>
      <c r="Y33" s="367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6"/>
      <c r="Q34" s="1351">
        <f t="shared" si="11"/>
        <v>111</v>
      </c>
      <c r="R34" s="705" t="s">
        <v>14</v>
      </c>
      <c r="S34" s="706">
        <f t="shared" si="12"/>
        <v>100</v>
      </c>
      <c r="T34" s="705" t="s">
        <v>14</v>
      </c>
      <c r="U34" s="706">
        <f t="shared" si="13"/>
        <v>100</v>
      </c>
      <c r="V34" s="705" t="s">
        <v>14</v>
      </c>
      <c r="W34" s="706">
        <f t="shared" si="14"/>
        <v>100</v>
      </c>
      <c r="X34" s="1354"/>
      <c r="Y34" s="3676"/>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3"/>
      <c r="M35" s="2724"/>
      <c r="N35" s="2715"/>
      <c r="O35" s="2724"/>
      <c r="P35" s="3669" t="str">
        <f>A35</f>
        <v>成交单价（元/平方米）</v>
      </c>
      <c r="Q35" s="3669"/>
      <c r="R35" s="3670">
        <f>E35</f>
        <v>0</v>
      </c>
      <c r="S35" s="3670"/>
      <c r="T35" s="3670">
        <f>G35</f>
        <v>0</v>
      </c>
      <c r="U35" s="3670"/>
      <c r="V35" s="3670">
        <f>I35</f>
        <v>0</v>
      </c>
      <c r="W35" s="3670"/>
      <c r="X35" s="690"/>
      <c r="Y35" s="712"/>
      <c r="Z35" s="690"/>
      <c r="AA35" s="690"/>
      <c r="AB35" s="690"/>
      <c r="AC35" s="690"/>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3"/>
      <c r="M37" s="2724"/>
      <c r="N37" s="2724"/>
      <c r="O37" s="2724"/>
      <c r="P37" s="3666" t="str">
        <f>A37</f>
        <v>估价对象XX用房的比较价值（楼面单价，元/平方米）</v>
      </c>
      <c r="Q37" s="3667"/>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94" t="s">
        <v>1771</v>
      </c>
      <c r="S4" s="3695"/>
      <c r="T4" s="3694" t="s">
        <v>1772</v>
      </c>
      <c r="U4" s="3695"/>
      <c r="V4" s="3700" t="s">
        <v>1773</v>
      </c>
      <c r="W4" s="3700"/>
      <c r="X4" s="1354"/>
      <c r="Y4" s="3694" t="s">
        <v>1775</v>
      </c>
      <c r="Z4" s="3695"/>
      <c r="AA4" s="3681" t="s">
        <v>1771</v>
      </c>
      <c r="AB4" s="3682" t="s">
        <v>1772</v>
      </c>
      <c r="AC4" s="3681" t="s">
        <v>1773</v>
      </c>
    </row>
    <row r="5" spans="1:30" ht="15">
      <c r="A5" s="358"/>
      <c r="B5" s="359"/>
      <c r="C5" s="3703" t="s">
        <v>1673</v>
      </c>
      <c r="D5" s="3704"/>
      <c r="E5" s="3710" t="s">
        <v>1674</v>
      </c>
      <c r="F5" s="3711"/>
      <c r="G5" s="3703" t="s">
        <v>1675</v>
      </c>
      <c r="H5" s="3704"/>
      <c r="I5" s="3703" t="s">
        <v>1676</v>
      </c>
      <c r="J5" s="3704"/>
      <c r="K5" s="559"/>
      <c r="L5" s="2714"/>
      <c r="M5" s="2715"/>
      <c r="N5" s="2715"/>
      <c r="O5" s="2715"/>
      <c r="P5" s="3690"/>
      <c r="Q5" s="3691"/>
      <c r="R5" s="3696"/>
      <c r="S5" s="3697"/>
      <c r="T5" s="3696"/>
      <c r="U5" s="3697"/>
      <c r="V5" s="3700"/>
      <c r="W5" s="3700"/>
      <c r="X5" s="1354"/>
      <c r="Y5" s="3696"/>
      <c r="Z5" s="3697"/>
      <c r="AA5" s="3682"/>
      <c r="AB5" s="3682"/>
      <c r="AC5" s="3682"/>
    </row>
    <row r="6" spans="1:30" ht="15.75" thickBot="1">
      <c r="A6" s="360"/>
      <c r="B6" s="361"/>
      <c r="C6" s="3701" t="s">
        <v>1677</v>
      </c>
      <c r="D6" s="3702"/>
      <c r="E6" s="3708" t="s">
        <v>1677</v>
      </c>
      <c r="F6" s="3709"/>
      <c r="G6" s="3701" t="s">
        <v>1677</v>
      </c>
      <c r="H6" s="3702"/>
      <c r="I6" s="3701" t="s">
        <v>1677</v>
      </c>
      <c r="J6" s="3702"/>
      <c r="K6" s="559" t="s">
        <v>1678</v>
      </c>
      <c r="L6" s="2714"/>
      <c r="M6" s="2715"/>
      <c r="N6" s="2715"/>
      <c r="O6" s="2715"/>
      <c r="P6" s="3692"/>
      <c r="Q6" s="3693"/>
      <c r="R6" s="3696"/>
      <c r="S6" s="3697"/>
      <c r="T6" s="3698"/>
      <c r="U6" s="3699"/>
      <c r="V6" s="3700"/>
      <c r="W6" s="3700"/>
      <c r="X6" s="1354"/>
      <c r="Y6" s="3698"/>
      <c r="Z6" s="3699"/>
      <c r="AA6" s="3683"/>
      <c r="AB6" s="3683"/>
      <c r="AC6" s="3683"/>
    </row>
    <row r="7" spans="1:30" s="108" customFormat="1" ht="15.75" thickBot="1">
      <c r="A7" s="362" t="s">
        <v>1679</v>
      </c>
      <c r="B7" s="363"/>
      <c r="C7" s="364">
        <f>'数据-取费表'!B2</f>
        <v>45108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5" t="s">
        <v>1683</v>
      </c>
      <c r="Q8" s="3706"/>
      <c r="R8" s="701" t="s">
        <v>14</v>
      </c>
      <c r="S8" s="702">
        <f t="shared" si="0"/>
        <v>0</v>
      </c>
      <c r="T8" s="701" t="s">
        <v>14</v>
      </c>
      <c r="U8" s="702">
        <f t="shared" si="1"/>
        <v>0</v>
      </c>
      <c r="V8" s="701" t="s">
        <v>14</v>
      </c>
      <c r="W8" s="702">
        <f t="shared" si="2"/>
        <v>0</v>
      </c>
      <c r="X8" s="703"/>
      <c r="Y8" s="3705" t="s">
        <v>1683</v>
      </c>
      <c r="Z8" s="3706"/>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9" t="s">
        <v>1686</v>
      </c>
      <c r="Q9" s="1342"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116</v>
      </c>
      <c r="G10" s="414"/>
      <c r="H10" s="127">
        <f>ROUND(100/'数据-取费表'!G16,0)</f>
        <v>116</v>
      </c>
      <c r="I10" s="414"/>
      <c r="J10" s="127">
        <f>ROUND(100/'数据-取费表'!G16,0)</f>
        <v>116</v>
      </c>
      <c r="K10" s="620"/>
      <c r="L10" s="2718"/>
      <c r="M10" s="2719"/>
      <c r="N10" s="2719"/>
      <c r="O10" s="2772"/>
      <c r="P10" s="3669"/>
      <c r="Q10" s="1342" t="str">
        <f t="shared" si="6"/>
        <v>土地使用年限（年）</v>
      </c>
      <c r="R10" s="701" t="s">
        <v>14</v>
      </c>
      <c r="S10" s="702">
        <f t="shared" si="0"/>
        <v>116</v>
      </c>
      <c r="T10" s="701" t="s">
        <v>14</v>
      </c>
      <c r="U10" s="702">
        <f t="shared" si="1"/>
        <v>116</v>
      </c>
      <c r="V10" s="701" t="s">
        <v>14</v>
      </c>
      <c r="W10" s="702">
        <f t="shared" si="2"/>
        <v>116</v>
      </c>
      <c r="X10" s="703"/>
      <c r="Y10" s="3544"/>
      <c r="Z10" s="52" t="str">
        <f t="shared" si="7"/>
        <v>土地使用年限（年）</v>
      </c>
      <c r="AA10" s="704">
        <f t="shared" si="3"/>
        <v>0.86206896551724133</v>
      </c>
      <c r="AB10" s="704">
        <f t="shared" si="4"/>
        <v>0.86206896551724133</v>
      </c>
      <c r="AC10" s="704">
        <f t="shared" si="5"/>
        <v>0.86206896551724133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9"/>
      <c r="Q11" s="1342"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9"/>
      <c r="Q12" s="1342"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9"/>
      <c r="Q13" s="1342">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9"/>
      <c r="Q14" s="1342">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1" t="s">
        <v>1691</v>
      </c>
      <c r="Q15" s="1351" t="str">
        <f t="shared" si="6"/>
        <v>居住社区成熟度</v>
      </c>
      <c r="R15" s="705" t="s">
        <v>14</v>
      </c>
      <c r="S15" s="706">
        <f t="shared" si="0"/>
        <v>100</v>
      </c>
      <c r="T15" s="705" t="s">
        <v>14</v>
      </c>
      <c r="U15" s="706">
        <f t="shared" si="1"/>
        <v>100</v>
      </c>
      <c r="V15" s="705" t="s">
        <v>14</v>
      </c>
      <c r="W15" s="706">
        <f t="shared" si="2"/>
        <v>100</v>
      </c>
      <c r="X15" s="1354"/>
      <c r="Y15" s="367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72"/>
      <c r="Q16" s="1351"/>
      <c r="R16" s="705"/>
      <c r="S16" s="706"/>
      <c r="T16" s="705"/>
      <c r="U16" s="706"/>
      <c r="V16" s="705"/>
      <c r="W16" s="706"/>
      <c r="X16" s="1354"/>
      <c r="Y16" s="3672"/>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2"/>
      <c r="Q17" s="1351" t="str">
        <f>B17</f>
        <v>商业繁华度</v>
      </c>
      <c r="R17" s="705" t="s">
        <v>14</v>
      </c>
      <c r="S17" s="706">
        <f>F17</f>
        <v>100</v>
      </c>
      <c r="T17" s="705" t="s">
        <v>14</v>
      </c>
      <c r="U17" s="706">
        <f>H17</f>
        <v>100</v>
      </c>
      <c r="V17" s="705" t="s">
        <v>14</v>
      </c>
      <c r="W17" s="706">
        <f>J17</f>
        <v>100</v>
      </c>
      <c r="X17" s="1354"/>
      <c r="Y17" s="367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72"/>
      <c r="Q18" s="1351"/>
      <c r="R18" s="705"/>
      <c r="S18" s="706"/>
      <c r="T18" s="705"/>
      <c r="U18" s="706"/>
      <c r="V18" s="705"/>
      <c r="W18" s="706"/>
      <c r="X18" s="1354"/>
      <c r="Y18" s="3672"/>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2"/>
      <c r="Q19" s="1351" t="str">
        <f>B19</f>
        <v>办公集聚程度</v>
      </c>
      <c r="R19" s="705" t="s">
        <v>14</v>
      </c>
      <c r="S19" s="706">
        <f>F19</f>
        <v>100</v>
      </c>
      <c r="T19" s="705" t="s">
        <v>14</v>
      </c>
      <c r="U19" s="706">
        <f>H19</f>
        <v>100</v>
      </c>
      <c r="V19" s="705" t="s">
        <v>14</v>
      </c>
      <c r="W19" s="706">
        <f>J19</f>
        <v>100</v>
      </c>
      <c r="X19" s="1354"/>
      <c r="Y19" s="367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72"/>
      <c r="Q20" s="1351"/>
      <c r="R20" s="705"/>
      <c r="S20" s="706"/>
      <c r="T20" s="705"/>
      <c r="U20" s="706"/>
      <c r="V20" s="705"/>
      <c r="W20" s="706"/>
      <c r="X20" s="1354"/>
      <c r="Y20" s="3672"/>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2"/>
      <c r="Q21" s="1351" t="str">
        <f>B21</f>
        <v>交通便捷度</v>
      </c>
      <c r="R21" s="705" t="s">
        <v>14</v>
      </c>
      <c r="S21" s="706">
        <f>F21</f>
        <v>100</v>
      </c>
      <c r="T21" s="705" t="s">
        <v>14</v>
      </c>
      <c r="U21" s="706">
        <f>H21</f>
        <v>100</v>
      </c>
      <c r="V21" s="705" t="s">
        <v>14</v>
      </c>
      <c r="W21" s="706">
        <f>J21</f>
        <v>100</v>
      </c>
      <c r="X21" s="1354"/>
      <c r="Y21" s="367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72"/>
      <c r="Q22" s="1351"/>
      <c r="R22" s="705"/>
      <c r="S22" s="706"/>
      <c r="T22" s="705"/>
      <c r="U22" s="706"/>
      <c r="V22" s="705"/>
      <c r="W22" s="706"/>
      <c r="X22" s="1354"/>
      <c r="Y22" s="3672"/>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2"/>
      <c r="Q23" s="1351" t="str">
        <f t="shared" ref="Q23:Q37" si="8">B23</f>
        <v>区域土地利用方向</v>
      </c>
      <c r="R23" s="705" t="s">
        <v>14</v>
      </c>
      <c r="S23" s="706">
        <f>F23</f>
        <v>100</v>
      </c>
      <c r="T23" s="705" t="s">
        <v>14</v>
      </c>
      <c r="U23" s="706">
        <f>H23</f>
        <v>100</v>
      </c>
      <c r="V23" s="705" t="s">
        <v>14</v>
      </c>
      <c r="W23" s="706">
        <f>J23</f>
        <v>100</v>
      </c>
      <c r="X23" s="1354"/>
      <c r="Y23" s="367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72"/>
      <c r="Q24" s="1351"/>
      <c r="R24" s="705"/>
      <c r="S24" s="706"/>
      <c r="T24" s="705"/>
      <c r="U24" s="706"/>
      <c r="V24" s="705"/>
      <c r="W24" s="706"/>
      <c r="X24" s="1354"/>
      <c r="Y24" s="3672"/>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2"/>
      <c r="Q25" s="1351" t="str">
        <f t="shared" si="8"/>
        <v>自然及人文环境状况</v>
      </c>
      <c r="R25" s="705" t="s">
        <v>14</v>
      </c>
      <c r="S25" s="706">
        <f>F25</f>
        <v>100</v>
      </c>
      <c r="T25" s="705" t="s">
        <v>14</v>
      </c>
      <c r="U25" s="706">
        <f>H25</f>
        <v>100</v>
      </c>
      <c r="V25" s="705" t="s">
        <v>14</v>
      </c>
      <c r="W25" s="706">
        <f>J25</f>
        <v>100</v>
      </c>
      <c r="X25" s="1354"/>
      <c r="Y25" s="367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72"/>
      <c r="Q26" s="1351"/>
      <c r="R26" s="705"/>
      <c r="S26" s="706"/>
      <c r="T26" s="705"/>
      <c r="U26" s="706"/>
      <c r="V26" s="705"/>
      <c r="W26" s="706"/>
      <c r="X26" s="1354"/>
      <c r="Y26" s="3672"/>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2"/>
      <c r="Q27" s="1342" t="str">
        <f t="shared" si="8"/>
        <v>公共配套设施</v>
      </c>
      <c r="R27" s="701" t="s">
        <v>14</v>
      </c>
      <c r="S27" s="702">
        <f>F27</f>
        <v>100</v>
      </c>
      <c r="T27" s="701" t="s">
        <v>14</v>
      </c>
      <c r="U27" s="702">
        <f>H27</f>
        <v>100</v>
      </c>
      <c r="V27" s="701" t="s">
        <v>14</v>
      </c>
      <c r="W27" s="702">
        <f>J27</f>
        <v>100</v>
      </c>
      <c r="X27" s="703"/>
      <c r="Y27" s="3672"/>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72"/>
      <c r="Q28" s="1342"/>
      <c r="R28" s="701"/>
      <c r="S28" s="702"/>
      <c r="T28" s="701"/>
      <c r="U28" s="702"/>
      <c r="V28" s="701"/>
      <c r="W28" s="702"/>
      <c r="X28" s="703"/>
      <c r="Y28" s="3672"/>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2"/>
      <c r="Q29" s="1342" t="str">
        <f t="shared" ref="Q29" si="9">B29</f>
        <v>基础设施水平</v>
      </c>
      <c r="R29" s="701" t="s">
        <v>14</v>
      </c>
      <c r="S29" s="702">
        <f>F29</f>
        <v>100</v>
      </c>
      <c r="T29" s="701" t="s">
        <v>14</v>
      </c>
      <c r="U29" s="702">
        <f>H29</f>
        <v>100</v>
      </c>
      <c r="V29" s="701" t="s">
        <v>14</v>
      </c>
      <c r="W29" s="702">
        <f>J29</f>
        <v>100</v>
      </c>
      <c r="X29" s="703"/>
      <c r="Y29" s="3672"/>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72"/>
      <c r="Q30" s="1342"/>
      <c r="R30" s="701"/>
      <c r="S30" s="702"/>
      <c r="T30" s="701"/>
      <c r="U30" s="702"/>
      <c r="V30" s="701"/>
      <c r="W30" s="702"/>
      <c r="X30" s="703"/>
      <c r="Y30" s="367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2"/>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72"/>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2"/>
      <c r="Q32" s="1351" t="str">
        <f t="shared" si="8"/>
        <v>毗邻道路的类型与等级</v>
      </c>
      <c r="R32" s="705" t="s">
        <v>14</v>
      </c>
      <c r="S32" s="706">
        <f t="shared" si="10"/>
        <v>100</v>
      </c>
      <c r="T32" s="705" t="s">
        <v>14</v>
      </c>
      <c r="U32" s="706">
        <f t="shared" si="11"/>
        <v>100</v>
      </c>
      <c r="V32" s="705" t="s">
        <v>14</v>
      </c>
      <c r="W32" s="706">
        <f t="shared" si="12"/>
        <v>100</v>
      </c>
      <c r="X32" s="1354"/>
      <c r="Y32" s="367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2"/>
      <c r="Q33" s="1351"/>
      <c r="R33" s="705"/>
      <c r="S33" s="706"/>
      <c r="T33" s="705"/>
      <c r="U33" s="706"/>
      <c r="V33" s="705"/>
      <c r="W33" s="706"/>
      <c r="X33" s="1354"/>
      <c r="Y33" s="367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2"/>
      <c r="Q34" s="1351" t="str">
        <f t="shared" si="8"/>
        <v>土地级别</v>
      </c>
      <c r="R34" s="705" t="s">
        <v>14</v>
      </c>
      <c r="S34" s="706">
        <f t="shared" si="10"/>
        <v>100</v>
      </c>
      <c r="T34" s="705" t="s">
        <v>14</v>
      </c>
      <c r="U34" s="706">
        <f t="shared" si="11"/>
        <v>100</v>
      </c>
      <c r="V34" s="705" t="s">
        <v>14</v>
      </c>
      <c r="W34" s="706">
        <f t="shared" si="12"/>
        <v>100</v>
      </c>
      <c r="X34" s="1354"/>
      <c r="Y34" s="3672"/>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2"/>
      <c r="Q35" s="1351">
        <f t="shared" si="8"/>
        <v>111</v>
      </c>
      <c r="R35" s="705" t="s">
        <v>14</v>
      </c>
      <c r="S35" s="706">
        <f t="shared" si="10"/>
        <v>100</v>
      </c>
      <c r="T35" s="705" t="s">
        <v>14</v>
      </c>
      <c r="U35" s="706">
        <f t="shared" si="11"/>
        <v>100</v>
      </c>
      <c r="V35" s="705" t="s">
        <v>14</v>
      </c>
      <c r="W35" s="706">
        <f t="shared" si="12"/>
        <v>100</v>
      </c>
      <c r="X35" s="1354"/>
      <c r="Y35" s="3672"/>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7" t="s">
        <v>1696</v>
      </c>
      <c r="Q36" s="1351">
        <f t="shared" si="8"/>
        <v>111</v>
      </c>
      <c r="R36" s="705" t="s">
        <v>14</v>
      </c>
      <c r="S36" s="706">
        <f t="shared" si="10"/>
        <v>100</v>
      </c>
      <c r="T36" s="705" t="s">
        <v>14</v>
      </c>
      <c r="U36" s="706">
        <f t="shared" si="11"/>
        <v>100</v>
      </c>
      <c r="V36" s="705" t="s">
        <v>14</v>
      </c>
      <c r="W36" s="706">
        <f t="shared" si="12"/>
        <v>100</v>
      </c>
      <c r="X36" s="1354"/>
      <c r="Y36" s="3676"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6"/>
      <c r="Q37" s="1351">
        <f t="shared" si="8"/>
        <v>111</v>
      </c>
      <c r="R37" s="708" t="s">
        <v>14</v>
      </c>
      <c r="S37" s="709">
        <f t="shared" si="10"/>
        <v>100</v>
      </c>
      <c r="T37" s="708" t="s">
        <v>14</v>
      </c>
      <c r="U37" s="709">
        <f t="shared" si="11"/>
        <v>100</v>
      </c>
      <c r="V37" s="708" t="s">
        <v>14</v>
      </c>
      <c r="W37" s="709">
        <f t="shared" si="12"/>
        <v>100</v>
      </c>
      <c r="X37" s="710"/>
      <c r="Y37" s="3676"/>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6"/>
      <c r="Q38" s="1351" t="str">
        <f>B38</f>
        <v>宗地面积</v>
      </c>
      <c r="R38" s="705" t="s">
        <v>14</v>
      </c>
      <c r="S38" s="706" t="e">
        <f t="shared" si="10"/>
        <v>#N/A</v>
      </c>
      <c r="T38" s="705" t="s">
        <v>14</v>
      </c>
      <c r="U38" s="706" t="e">
        <f t="shared" si="11"/>
        <v>#N/A</v>
      </c>
      <c r="V38" s="705" t="s">
        <v>14</v>
      </c>
      <c r="W38" s="706" t="e">
        <f t="shared" si="12"/>
        <v>#N/A</v>
      </c>
      <c r="X38" s="1354"/>
      <c r="Y38" s="367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76"/>
      <c r="Q39" s="1351" t="str">
        <f t="shared" ref="Q39:Q45" si="14">B39</f>
        <v>宗地形状</v>
      </c>
      <c r="R39" s="705" t="s">
        <v>14</v>
      </c>
      <c r="S39" s="706">
        <f t="shared" si="10"/>
        <v>100</v>
      </c>
      <c r="T39" s="705" t="s">
        <v>14</v>
      </c>
      <c r="U39" s="706">
        <f t="shared" si="11"/>
        <v>100</v>
      </c>
      <c r="V39" s="705" t="s">
        <v>14</v>
      </c>
      <c r="W39" s="706">
        <f t="shared" si="12"/>
        <v>100</v>
      </c>
      <c r="X39" s="1354"/>
      <c r="Y39" s="367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76"/>
      <c r="Q40" s="1351" t="str">
        <f t="shared" si="14"/>
        <v>临街宽度及深度</v>
      </c>
      <c r="R40" s="705" t="s">
        <v>14</v>
      </c>
      <c r="S40" s="706">
        <f t="shared" si="10"/>
        <v>100</v>
      </c>
      <c r="T40" s="705" t="s">
        <v>14</v>
      </c>
      <c r="U40" s="706">
        <f t="shared" si="11"/>
        <v>100</v>
      </c>
      <c r="V40" s="705" t="s">
        <v>14</v>
      </c>
      <c r="W40" s="706">
        <f t="shared" si="12"/>
        <v>100</v>
      </c>
      <c r="X40" s="1354"/>
      <c r="Y40" s="367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6"/>
      <c r="Q41" s="1351" t="str">
        <f t="shared" si="14"/>
        <v>宗地开发程度</v>
      </c>
      <c r="R41" s="701" t="s">
        <v>14</v>
      </c>
      <c r="S41" s="702">
        <f t="shared" si="10"/>
        <v>100</v>
      </c>
      <c r="T41" s="701" t="s">
        <v>14</v>
      </c>
      <c r="U41" s="702">
        <f t="shared" si="11"/>
        <v>100</v>
      </c>
      <c r="V41" s="701" t="s">
        <v>14</v>
      </c>
      <c r="W41" s="702">
        <f t="shared" si="12"/>
        <v>100</v>
      </c>
      <c r="X41" s="703"/>
      <c r="Y41" s="3676"/>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76" t="s">
        <v>1696</v>
      </c>
      <c r="Q42" s="1351" t="str">
        <f t="shared" si="14"/>
        <v>工程地质条件</v>
      </c>
      <c r="R42" s="705" t="s">
        <v>14</v>
      </c>
      <c r="S42" s="706">
        <f t="shared" si="10"/>
        <v>100</v>
      </c>
      <c r="T42" s="705" t="s">
        <v>14</v>
      </c>
      <c r="U42" s="706">
        <f t="shared" si="11"/>
        <v>100</v>
      </c>
      <c r="V42" s="705" t="s">
        <v>14</v>
      </c>
      <c r="W42" s="706">
        <f t="shared" si="12"/>
        <v>100</v>
      </c>
      <c r="X42" s="1354"/>
      <c r="Y42" s="3676"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6"/>
      <c r="Q43" s="1351">
        <f t="shared" si="14"/>
        <v>111</v>
      </c>
      <c r="R43" s="705" t="s">
        <v>14</v>
      </c>
      <c r="S43" s="706">
        <f t="shared" si="10"/>
        <v>100</v>
      </c>
      <c r="T43" s="705" t="s">
        <v>14</v>
      </c>
      <c r="U43" s="706">
        <f t="shared" si="11"/>
        <v>100</v>
      </c>
      <c r="V43" s="705" t="s">
        <v>14</v>
      </c>
      <c r="W43" s="706">
        <f t="shared" si="12"/>
        <v>100</v>
      </c>
      <c r="X43" s="1354"/>
      <c r="Y43" s="3676"/>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6"/>
      <c r="Q44" s="1351">
        <f t="shared" si="14"/>
        <v>111</v>
      </c>
      <c r="R44" s="705" t="s">
        <v>14</v>
      </c>
      <c r="S44" s="706">
        <f t="shared" si="10"/>
        <v>100</v>
      </c>
      <c r="T44" s="705" t="s">
        <v>14</v>
      </c>
      <c r="U44" s="706">
        <f t="shared" si="11"/>
        <v>100</v>
      </c>
      <c r="V44" s="705" t="s">
        <v>14</v>
      </c>
      <c r="W44" s="706">
        <f t="shared" si="12"/>
        <v>100</v>
      </c>
      <c r="X44" s="1354"/>
      <c r="Y44" s="3676"/>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6"/>
      <c r="Q45" s="1351">
        <f t="shared" si="14"/>
        <v>111</v>
      </c>
      <c r="R45" s="708" t="s">
        <v>14</v>
      </c>
      <c r="S45" s="709">
        <f t="shared" si="10"/>
        <v>100</v>
      </c>
      <c r="T45" s="708" t="s">
        <v>14</v>
      </c>
      <c r="U45" s="709">
        <f t="shared" si="11"/>
        <v>100</v>
      </c>
      <c r="V45" s="708" t="s">
        <v>14</v>
      </c>
      <c r="W45" s="709">
        <f t="shared" si="12"/>
        <v>100</v>
      </c>
      <c r="X45" s="710"/>
      <c r="Y45" s="3676"/>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669" t="str">
        <f>A46</f>
        <v>成交单价</v>
      </c>
      <c r="Q46" s="3669"/>
      <c r="R46" s="3700">
        <f>E46</f>
        <v>0</v>
      </c>
      <c r="S46" s="3700"/>
      <c r="T46" s="3700">
        <f>G46</f>
        <v>0</v>
      </c>
      <c r="U46" s="3700"/>
      <c r="V46" s="3700">
        <f>I46</f>
        <v>0</v>
      </c>
      <c r="W46" s="3700"/>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69" t="str">
        <f>A47</f>
        <v>比较价值（元/平方米）</v>
      </c>
      <c r="Q47" s="3669"/>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66" t="str">
        <f>A48</f>
        <v>估价对象XX用房的比较价值（楼面单价，元/平方米）</v>
      </c>
      <c r="Q48" s="3667"/>
      <c r="R48" s="3730" t="e">
        <f>ROUND(IF(D47="简单平均",AVERAGE(R47:W47),R47*F47+T47*H47+V47*J47),0)</f>
        <v>#DIV/0!</v>
      </c>
      <c r="S48" s="3730"/>
      <c r="T48" s="3730"/>
      <c r="U48" s="3730"/>
      <c r="V48" s="3730"/>
      <c r="W48" s="373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84" t="s">
        <v>1887</v>
      </c>
      <c r="H55" s="3731"/>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104.4</v>
      </c>
      <c r="F56" s="886" t="e">
        <f t="shared" ref="F56:F64" si="15">ROUND(B56*E56/10000,0)</f>
        <v>#DIV/0!</v>
      </c>
      <c r="G56" s="3680"/>
      <c r="H56" s="3669"/>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v>
      </c>
      <c r="D60" s="945">
        <v>0.25</v>
      </c>
      <c r="E60" s="217">
        <f>'数据-汇总表'!E11</f>
        <v>0</v>
      </c>
      <c r="F60" s="886" t="e">
        <f t="shared" si="15"/>
        <v>#DIV/0!</v>
      </c>
      <c r="G60" s="1986" t="s">
        <v>1896</v>
      </c>
      <c r="H60" s="887" t="str">
        <f>项目基本情况!C37</f>
        <v>八级</v>
      </c>
      <c r="I60" s="891">
        <f>SUMIF(修正!A57:A68,H60,修正!E57:E68)</f>
        <v>0.2</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v>
      </c>
      <c r="D61" s="945">
        <v>0.25</v>
      </c>
      <c r="E61" s="217">
        <f>'数据-汇总表'!E12</f>
        <v>0</v>
      </c>
      <c r="F61" s="886" t="e">
        <f t="shared" si="15"/>
        <v>#DIV/0!</v>
      </c>
      <c r="G61" s="892" t="s">
        <v>1898</v>
      </c>
      <c r="H61" s="887" t="str">
        <f>IF(G61="商业",项目基本情况!B37,IF(G61="办公",项目基本情况!C37,IF(G61="住宅",项目基本情况!D37,项目基本情况!E37)))</f>
        <v>八级</v>
      </c>
      <c r="I61" s="891">
        <f>SUMIF(修正!A57:A68,H61,修正!F57:F68)</f>
        <v>0.2</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v>
      </c>
      <c r="D64" s="945">
        <v>0.25</v>
      </c>
      <c r="E64" s="217">
        <f>'数据-汇总表'!E15</f>
        <v>0</v>
      </c>
      <c r="F64" s="886" t="e">
        <f t="shared" si="15"/>
        <v>#DIV/0!</v>
      </c>
      <c r="G64" s="1987" t="s">
        <v>1896</v>
      </c>
      <c r="H64" s="897" t="str">
        <f>项目基本情况!C37</f>
        <v>八级</v>
      </c>
      <c r="I64" s="893">
        <f>SUMIF(修正!A57:A68,H64,修正!G57:G68)</f>
        <v>0.1</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104.4</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94" t="s">
        <v>1771</v>
      </c>
      <c r="S4" s="3695"/>
      <c r="T4" s="3694" t="s">
        <v>1772</v>
      </c>
      <c r="U4" s="3695"/>
      <c r="V4" s="3700" t="s">
        <v>1773</v>
      </c>
      <c r="W4" s="3700"/>
      <c r="X4" s="1354"/>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4"/>
      <c r="M5" s="2715"/>
      <c r="N5" s="2715"/>
      <c r="O5" s="2715"/>
      <c r="P5" s="3690"/>
      <c r="Q5" s="3691"/>
      <c r="R5" s="3696"/>
      <c r="S5" s="3697"/>
      <c r="T5" s="3696"/>
      <c r="U5" s="3697"/>
      <c r="V5" s="3700"/>
      <c r="W5" s="3700"/>
      <c r="X5" s="1354"/>
      <c r="Y5" s="3696"/>
      <c r="Z5" s="3697"/>
      <c r="AA5" s="3682"/>
      <c r="AB5" s="3682"/>
      <c r="AC5" s="3682"/>
    </row>
    <row r="6" spans="1:29" ht="15.75" thickBot="1">
      <c r="A6" s="360"/>
      <c r="B6" s="361"/>
      <c r="C6" s="3732" t="s">
        <v>1919</v>
      </c>
      <c r="D6" s="3733"/>
      <c r="E6" s="3734" t="s">
        <v>1919</v>
      </c>
      <c r="F6" s="3735"/>
      <c r="G6" s="3732" t="s">
        <v>1919</v>
      </c>
      <c r="H6" s="3733"/>
      <c r="I6" s="3732" t="s">
        <v>1919</v>
      </c>
      <c r="J6" s="3733"/>
      <c r="K6" s="559" t="s">
        <v>1678</v>
      </c>
      <c r="L6" s="2714"/>
      <c r="M6" s="2715"/>
      <c r="N6" s="2715"/>
      <c r="O6" s="2715"/>
      <c r="P6" s="3692"/>
      <c r="Q6" s="3693"/>
      <c r="R6" s="3696"/>
      <c r="S6" s="3697"/>
      <c r="T6" s="3698"/>
      <c r="U6" s="3699"/>
      <c r="V6" s="3700"/>
      <c r="W6" s="3700"/>
      <c r="X6" s="1354"/>
      <c r="Y6" s="3698"/>
      <c r="Z6" s="3699"/>
      <c r="AA6" s="3683"/>
      <c r="AB6" s="3683"/>
      <c r="AC6" s="3683"/>
    </row>
    <row r="7" spans="1:29" s="108" customFormat="1" ht="15.75" thickBot="1">
      <c r="A7" s="362" t="s">
        <v>1679</v>
      </c>
      <c r="B7" s="363"/>
      <c r="C7" s="364">
        <f>'数据-取费表'!B2</f>
        <v>45108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5" t="s">
        <v>1683</v>
      </c>
      <c r="Q8" s="3706"/>
      <c r="R8" s="701" t="s">
        <v>14</v>
      </c>
      <c r="S8" s="702">
        <f t="shared" si="0"/>
        <v>0</v>
      </c>
      <c r="T8" s="701" t="s">
        <v>14</v>
      </c>
      <c r="U8" s="702">
        <f t="shared" si="1"/>
        <v>0</v>
      </c>
      <c r="V8" s="701" t="s">
        <v>14</v>
      </c>
      <c r="W8" s="702">
        <f t="shared" si="2"/>
        <v>0</v>
      </c>
      <c r="X8" s="703"/>
      <c r="Y8" s="3705" t="s">
        <v>1683</v>
      </c>
      <c r="Z8" s="3706"/>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9" t="s">
        <v>1686</v>
      </c>
      <c r="Q9" s="1342"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116</v>
      </c>
      <c r="G10" s="383"/>
      <c r="H10" s="127">
        <f>ROUND(100/'数据-取费表'!G16,0)</f>
        <v>116</v>
      </c>
      <c r="I10" s="383"/>
      <c r="J10" s="127">
        <f>ROUND(100/'数据-取费表'!G16,0)</f>
        <v>116</v>
      </c>
      <c r="K10" s="620"/>
      <c r="L10" s="2718"/>
      <c r="M10" s="2719"/>
      <c r="N10" s="2719"/>
      <c r="O10" s="2772"/>
      <c r="P10" s="3669"/>
      <c r="Q10" s="1342" t="str">
        <f t="shared" si="6"/>
        <v>土地使用年限（年）</v>
      </c>
      <c r="R10" s="701" t="s">
        <v>14</v>
      </c>
      <c r="S10" s="702">
        <f t="shared" si="0"/>
        <v>116</v>
      </c>
      <c r="T10" s="701" t="s">
        <v>14</v>
      </c>
      <c r="U10" s="702">
        <f t="shared" si="1"/>
        <v>116</v>
      </c>
      <c r="V10" s="701" t="s">
        <v>14</v>
      </c>
      <c r="W10" s="702">
        <f t="shared" si="2"/>
        <v>116</v>
      </c>
      <c r="X10" s="703"/>
      <c r="Y10" s="3544"/>
      <c r="Z10" s="52" t="str">
        <f t="shared" si="7"/>
        <v>土地使用年限（年）</v>
      </c>
      <c r="AA10" s="704">
        <f t="shared" si="3"/>
        <v>0.86206896551724133</v>
      </c>
      <c r="AB10" s="704">
        <f t="shared" si="4"/>
        <v>0.86206896551724133</v>
      </c>
      <c r="AC10" s="704">
        <f t="shared" si="5"/>
        <v>0.86206896551724133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9"/>
      <c r="Q11" s="1342"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9"/>
      <c r="Q12" s="1342">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9"/>
      <c r="Q13" s="1342">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9"/>
      <c r="Q14" s="1342">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1" t="s">
        <v>1691</v>
      </c>
      <c r="Q15" s="1351" t="str">
        <f t="shared" si="6"/>
        <v>产业集聚程度</v>
      </c>
      <c r="R15" s="705" t="s">
        <v>14</v>
      </c>
      <c r="S15" s="706">
        <f t="shared" si="0"/>
        <v>100</v>
      </c>
      <c r="T15" s="705" t="s">
        <v>14</v>
      </c>
      <c r="U15" s="706">
        <f t="shared" si="1"/>
        <v>100</v>
      </c>
      <c r="V15" s="705" t="s">
        <v>14</v>
      </c>
      <c r="W15" s="706">
        <f t="shared" si="2"/>
        <v>100</v>
      </c>
      <c r="X15" s="1354"/>
      <c r="Y15" s="367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72"/>
      <c r="Q16" s="1351"/>
      <c r="R16" s="705"/>
      <c r="S16" s="706"/>
      <c r="T16" s="705"/>
      <c r="U16" s="706"/>
      <c r="V16" s="705"/>
      <c r="W16" s="706"/>
      <c r="X16" s="1354"/>
      <c r="Y16" s="3672"/>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2"/>
      <c r="Q17" s="1351" t="str">
        <f>B17</f>
        <v>交通便捷度</v>
      </c>
      <c r="R17" s="705" t="s">
        <v>14</v>
      </c>
      <c r="S17" s="706">
        <f>F17</f>
        <v>100</v>
      </c>
      <c r="T17" s="705" t="s">
        <v>14</v>
      </c>
      <c r="U17" s="706">
        <f>H17</f>
        <v>100</v>
      </c>
      <c r="V17" s="705" t="s">
        <v>14</v>
      </c>
      <c r="W17" s="706">
        <f>J17</f>
        <v>100</v>
      </c>
      <c r="X17" s="1354"/>
      <c r="Y17" s="367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72"/>
      <c r="Q18" s="1351"/>
      <c r="R18" s="705"/>
      <c r="S18" s="706"/>
      <c r="T18" s="705"/>
      <c r="U18" s="706"/>
      <c r="V18" s="705"/>
      <c r="W18" s="706"/>
      <c r="X18" s="1354"/>
      <c r="Y18" s="3672"/>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2"/>
      <c r="Q19" s="1351" t="str">
        <f t="shared" ref="Q19:Q33" si="8">B19</f>
        <v>区域土地利用方向</v>
      </c>
      <c r="R19" s="705" t="s">
        <v>14</v>
      </c>
      <c r="S19" s="706">
        <f>F19</f>
        <v>100</v>
      </c>
      <c r="T19" s="705" t="s">
        <v>14</v>
      </c>
      <c r="U19" s="706">
        <f>H19</f>
        <v>100</v>
      </c>
      <c r="V19" s="705" t="s">
        <v>14</v>
      </c>
      <c r="W19" s="706">
        <f>J19</f>
        <v>100</v>
      </c>
      <c r="X19" s="1354"/>
      <c r="Y19" s="367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72"/>
      <c r="Q20" s="1351"/>
      <c r="R20" s="705"/>
      <c r="S20" s="706"/>
      <c r="T20" s="705"/>
      <c r="U20" s="706"/>
      <c r="V20" s="705"/>
      <c r="W20" s="706"/>
      <c r="X20" s="1354"/>
      <c r="Y20" s="3672"/>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2"/>
      <c r="Q21" s="1351" t="str">
        <f t="shared" si="8"/>
        <v>环境状况</v>
      </c>
      <c r="R21" s="705" t="s">
        <v>14</v>
      </c>
      <c r="S21" s="706">
        <f>F21</f>
        <v>100</v>
      </c>
      <c r="T21" s="705" t="s">
        <v>14</v>
      </c>
      <c r="U21" s="706">
        <f>H21</f>
        <v>100</v>
      </c>
      <c r="V21" s="705" t="s">
        <v>14</v>
      </c>
      <c r="W21" s="706">
        <f>J21</f>
        <v>100</v>
      </c>
      <c r="X21" s="1354"/>
      <c r="Y21" s="367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72"/>
      <c r="Q22" s="1351"/>
      <c r="R22" s="705"/>
      <c r="S22" s="706"/>
      <c r="T22" s="705"/>
      <c r="U22" s="706"/>
      <c r="V22" s="705"/>
      <c r="W22" s="706"/>
      <c r="X22" s="1354"/>
      <c r="Y22" s="3672"/>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2"/>
      <c r="Q23" s="1342" t="str">
        <f t="shared" si="8"/>
        <v>公共配套设施</v>
      </c>
      <c r="R23" s="701" t="s">
        <v>14</v>
      </c>
      <c r="S23" s="702">
        <f>F23</f>
        <v>100</v>
      </c>
      <c r="T23" s="701" t="s">
        <v>14</v>
      </c>
      <c r="U23" s="702">
        <f>H23</f>
        <v>100</v>
      </c>
      <c r="V23" s="701" t="s">
        <v>14</v>
      </c>
      <c r="W23" s="702">
        <f>J23</f>
        <v>100</v>
      </c>
      <c r="X23" s="703"/>
      <c r="Y23" s="367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72"/>
      <c r="Q24" s="1342"/>
      <c r="R24" s="701"/>
      <c r="S24" s="702"/>
      <c r="T24" s="701"/>
      <c r="U24" s="702"/>
      <c r="V24" s="701"/>
      <c r="W24" s="702"/>
      <c r="X24" s="703"/>
      <c r="Y24" s="3672"/>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2"/>
      <c r="Q25" s="1342" t="str">
        <f t="shared" ref="Q25" si="9">B25</f>
        <v>基础设施水平</v>
      </c>
      <c r="R25" s="701" t="s">
        <v>14</v>
      </c>
      <c r="S25" s="702">
        <f>F25</f>
        <v>100</v>
      </c>
      <c r="T25" s="701" t="s">
        <v>14</v>
      </c>
      <c r="U25" s="702">
        <f>H25</f>
        <v>100</v>
      </c>
      <c r="V25" s="701" t="s">
        <v>14</v>
      </c>
      <c r="W25" s="702">
        <f>J25</f>
        <v>100</v>
      </c>
      <c r="X25" s="703"/>
      <c r="Y25" s="367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72"/>
      <c r="Q26" s="1342"/>
      <c r="R26" s="701"/>
      <c r="S26" s="702"/>
      <c r="T26" s="701"/>
      <c r="U26" s="702"/>
      <c r="V26" s="701"/>
      <c r="W26" s="702"/>
      <c r="X26" s="703"/>
      <c r="Y26" s="367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2"/>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72"/>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2"/>
      <c r="Q28" s="1351" t="str">
        <f t="shared" si="8"/>
        <v>毗邻道路的类型与等级</v>
      </c>
      <c r="R28" s="705" t="s">
        <v>14</v>
      </c>
      <c r="S28" s="706">
        <f t="shared" si="10"/>
        <v>100</v>
      </c>
      <c r="T28" s="705" t="s">
        <v>14</v>
      </c>
      <c r="U28" s="706">
        <f t="shared" si="11"/>
        <v>100</v>
      </c>
      <c r="V28" s="705" t="s">
        <v>14</v>
      </c>
      <c r="W28" s="706">
        <f t="shared" si="12"/>
        <v>100</v>
      </c>
      <c r="X28" s="1354"/>
      <c r="Y28" s="367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72"/>
      <c r="Q29" s="1351"/>
      <c r="R29" s="705"/>
      <c r="S29" s="706"/>
      <c r="T29" s="705"/>
      <c r="U29" s="706"/>
      <c r="V29" s="705"/>
      <c r="W29" s="706"/>
      <c r="X29" s="1354"/>
      <c r="Y29" s="3672"/>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2"/>
      <c r="Q30" s="1351" t="str">
        <f t="shared" si="8"/>
        <v>土地级别</v>
      </c>
      <c r="R30" s="705" t="s">
        <v>14</v>
      </c>
      <c r="S30" s="706">
        <f t="shared" si="10"/>
        <v>100</v>
      </c>
      <c r="T30" s="705" t="s">
        <v>14</v>
      </c>
      <c r="U30" s="706">
        <f t="shared" si="11"/>
        <v>100</v>
      </c>
      <c r="V30" s="705" t="s">
        <v>14</v>
      </c>
      <c r="W30" s="706">
        <f t="shared" si="12"/>
        <v>100</v>
      </c>
      <c r="X30" s="1354"/>
      <c r="Y30" s="367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2"/>
      <c r="Q31" s="1351">
        <f t="shared" si="8"/>
        <v>111</v>
      </c>
      <c r="R31" s="705" t="s">
        <v>14</v>
      </c>
      <c r="S31" s="706">
        <f t="shared" si="10"/>
        <v>100</v>
      </c>
      <c r="T31" s="705" t="s">
        <v>14</v>
      </c>
      <c r="U31" s="706">
        <f t="shared" si="11"/>
        <v>100</v>
      </c>
      <c r="V31" s="705" t="s">
        <v>14</v>
      </c>
      <c r="W31" s="706">
        <f t="shared" si="12"/>
        <v>100</v>
      </c>
      <c r="X31" s="1354"/>
      <c r="Y31" s="367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7" t="s">
        <v>1696</v>
      </c>
      <c r="Q32" s="1351">
        <f t="shared" si="8"/>
        <v>111</v>
      </c>
      <c r="R32" s="705" t="s">
        <v>14</v>
      </c>
      <c r="S32" s="706">
        <f t="shared" si="10"/>
        <v>100</v>
      </c>
      <c r="T32" s="705" t="s">
        <v>14</v>
      </c>
      <c r="U32" s="706">
        <f t="shared" si="11"/>
        <v>100</v>
      </c>
      <c r="V32" s="705" t="s">
        <v>14</v>
      </c>
      <c r="W32" s="706">
        <f t="shared" si="12"/>
        <v>100</v>
      </c>
      <c r="X32" s="1354"/>
      <c r="Y32" s="3676"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6"/>
      <c r="Q33" s="1351">
        <f t="shared" si="8"/>
        <v>111</v>
      </c>
      <c r="R33" s="708" t="s">
        <v>14</v>
      </c>
      <c r="S33" s="709">
        <f t="shared" si="10"/>
        <v>100</v>
      </c>
      <c r="T33" s="708" t="s">
        <v>14</v>
      </c>
      <c r="U33" s="709">
        <f t="shared" si="11"/>
        <v>100</v>
      </c>
      <c r="V33" s="708" t="s">
        <v>14</v>
      </c>
      <c r="W33" s="709">
        <f t="shared" si="12"/>
        <v>100</v>
      </c>
      <c r="X33" s="710"/>
      <c r="Y33" s="3676"/>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6"/>
      <c r="Q34" s="1351" t="str">
        <f>B34</f>
        <v>宗地面积</v>
      </c>
      <c r="R34" s="705" t="s">
        <v>14</v>
      </c>
      <c r="S34" s="706" t="e">
        <f t="shared" si="10"/>
        <v>#N/A</v>
      </c>
      <c r="T34" s="705" t="s">
        <v>14</v>
      </c>
      <c r="U34" s="706" t="e">
        <f t="shared" si="11"/>
        <v>#N/A</v>
      </c>
      <c r="V34" s="705" t="s">
        <v>14</v>
      </c>
      <c r="W34" s="706" t="e">
        <f t="shared" si="12"/>
        <v>#N/A</v>
      </c>
      <c r="X34" s="1354"/>
      <c r="Y34" s="367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76"/>
      <c r="Q35" s="1351" t="str">
        <f t="shared" ref="Q35:Q40" si="14">B35</f>
        <v>宗地形状</v>
      </c>
      <c r="R35" s="705" t="s">
        <v>14</v>
      </c>
      <c r="S35" s="706">
        <f t="shared" si="10"/>
        <v>100</v>
      </c>
      <c r="T35" s="705" t="s">
        <v>14</v>
      </c>
      <c r="U35" s="706">
        <f t="shared" si="11"/>
        <v>100</v>
      </c>
      <c r="V35" s="705" t="s">
        <v>14</v>
      </c>
      <c r="W35" s="706">
        <f t="shared" si="12"/>
        <v>100</v>
      </c>
      <c r="X35" s="1354"/>
      <c r="Y35" s="367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6"/>
      <c r="Q36" s="1351" t="str">
        <f t="shared" si="14"/>
        <v>宗地开发程度</v>
      </c>
      <c r="R36" s="701" t="s">
        <v>14</v>
      </c>
      <c r="S36" s="702">
        <f t="shared" si="10"/>
        <v>100</v>
      </c>
      <c r="T36" s="701" t="s">
        <v>14</v>
      </c>
      <c r="U36" s="702">
        <f t="shared" si="11"/>
        <v>100</v>
      </c>
      <c r="V36" s="701" t="s">
        <v>14</v>
      </c>
      <c r="W36" s="702">
        <f t="shared" si="12"/>
        <v>100</v>
      </c>
      <c r="X36" s="703"/>
      <c r="Y36" s="3676"/>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76" t="s">
        <v>1696</v>
      </c>
      <c r="Q37" s="1351" t="str">
        <f t="shared" si="14"/>
        <v>工程地质条件</v>
      </c>
      <c r="R37" s="705" t="s">
        <v>14</v>
      </c>
      <c r="S37" s="706">
        <f t="shared" si="10"/>
        <v>100</v>
      </c>
      <c r="T37" s="705" t="s">
        <v>14</v>
      </c>
      <c r="U37" s="706">
        <f t="shared" si="11"/>
        <v>100</v>
      </c>
      <c r="V37" s="705" t="s">
        <v>14</v>
      </c>
      <c r="W37" s="706">
        <f t="shared" si="12"/>
        <v>100</v>
      </c>
      <c r="X37" s="1354"/>
      <c r="Y37" s="3676"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6"/>
      <c r="Q38" s="1351">
        <f t="shared" si="14"/>
        <v>111</v>
      </c>
      <c r="R38" s="705" t="s">
        <v>14</v>
      </c>
      <c r="S38" s="706">
        <f t="shared" si="10"/>
        <v>100</v>
      </c>
      <c r="T38" s="705" t="s">
        <v>14</v>
      </c>
      <c r="U38" s="706">
        <f t="shared" si="11"/>
        <v>100</v>
      </c>
      <c r="V38" s="705" t="s">
        <v>14</v>
      </c>
      <c r="W38" s="706">
        <f t="shared" si="12"/>
        <v>100</v>
      </c>
      <c r="X38" s="1354"/>
      <c r="Y38" s="3676"/>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6"/>
      <c r="Q39" s="1351">
        <f t="shared" si="14"/>
        <v>111</v>
      </c>
      <c r="R39" s="705" t="s">
        <v>14</v>
      </c>
      <c r="S39" s="706">
        <f t="shared" si="10"/>
        <v>100</v>
      </c>
      <c r="T39" s="705" t="s">
        <v>14</v>
      </c>
      <c r="U39" s="706">
        <f t="shared" si="11"/>
        <v>100</v>
      </c>
      <c r="V39" s="705" t="s">
        <v>14</v>
      </c>
      <c r="W39" s="706">
        <f t="shared" si="12"/>
        <v>100</v>
      </c>
      <c r="X39" s="1354"/>
      <c r="Y39" s="3676"/>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6"/>
      <c r="Q40" s="1351">
        <f t="shared" si="14"/>
        <v>111</v>
      </c>
      <c r="R40" s="708" t="s">
        <v>14</v>
      </c>
      <c r="S40" s="709">
        <f t="shared" si="10"/>
        <v>100</v>
      </c>
      <c r="T40" s="708" t="s">
        <v>14</v>
      </c>
      <c r="U40" s="709">
        <f t="shared" si="11"/>
        <v>100</v>
      </c>
      <c r="V40" s="708" t="s">
        <v>14</v>
      </c>
      <c r="W40" s="709">
        <f t="shared" si="12"/>
        <v>100</v>
      </c>
      <c r="X40" s="710"/>
      <c r="Y40" s="3676"/>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669" t="str">
        <f>A41</f>
        <v>成交单价</v>
      </c>
      <c r="Q41" s="3669"/>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69" t="str">
        <f>A42</f>
        <v>比较价值（元/平方米）</v>
      </c>
      <c r="Q42" s="3669"/>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66" t="str">
        <f>A43</f>
        <v>估价对象XX用房的比较价值（楼面单价，元/平方米）</v>
      </c>
      <c r="Q43" s="3667"/>
      <c r="R43" s="3730" t="e">
        <f>ROUND(IF(D42="简单平均",AVERAGE(R42:W42),R42*F42+T42*H42+V42*J42),0)</f>
        <v>#DIV/0!</v>
      </c>
      <c r="S43" s="3730"/>
      <c r="T43" s="3730"/>
      <c r="U43" s="3730"/>
      <c r="V43" s="3730"/>
      <c r="W43" s="373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84" t="s">
        <v>1887</v>
      </c>
      <c r="H50" s="3731"/>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104.4</v>
      </c>
      <c r="F51" s="639" t="e">
        <f t="shared" ref="F51:F60" si="15">ROUND(B51*E51/10000,0)</f>
        <v>#DIV/0!</v>
      </c>
      <c r="G51" s="3680"/>
      <c r="H51" s="3669"/>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v>
      </c>
      <c r="D56" s="945">
        <v>0.25</v>
      </c>
      <c r="E56" s="217">
        <f>'数据-汇总表'!E11</f>
        <v>0</v>
      </c>
      <c r="F56" s="639" t="e">
        <f t="shared" si="15"/>
        <v>#DIV/0!</v>
      </c>
      <c r="G56" s="1986" t="s">
        <v>1896</v>
      </c>
      <c r="H56" s="887" t="str">
        <f>项目基本情况!C37</f>
        <v>八级</v>
      </c>
      <c r="I56" s="773">
        <f>SUMIF(修正!A57:A68,H56,修正!E57:E68)</f>
        <v>0.2</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v>
      </c>
      <c r="D57" s="945">
        <v>0.25</v>
      </c>
      <c r="E57" s="217">
        <f>'数据-汇总表'!E12</f>
        <v>0</v>
      </c>
      <c r="F57" s="639" t="e">
        <f t="shared" si="15"/>
        <v>#DIV/0!</v>
      </c>
      <c r="G57" s="892" t="s">
        <v>1898</v>
      </c>
      <c r="H57" s="887" t="str">
        <f>IF(G57="商业",项目基本情况!B37,IF(G57="办公",项目基本情况!C37,IF(G57="住宅",项目基本情况!D37,项目基本情况!E37)))</f>
        <v>八级</v>
      </c>
      <c r="I57" s="773">
        <f>SUMIF(修正!A57:A68,H57,修正!F57:F68)</f>
        <v>0.2</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v>
      </c>
      <c r="D60" s="945">
        <v>0.25</v>
      </c>
      <c r="E60" s="217">
        <f>'数据-汇总表'!E15</f>
        <v>0</v>
      </c>
      <c r="F60" s="639" t="e">
        <f t="shared" si="15"/>
        <v>#DIV/0!</v>
      </c>
      <c r="G60" s="1987" t="s">
        <v>1896</v>
      </c>
      <c r="H60" s="897" t="str">
        <f>项目基本情况!C37</f>
        <v>八级</v>
      </c>
      <c r="I60" s="773">
        <f>SUMIF(修正!A57:A68,H60,修正!G57:G68)</f>
        <v>0.1</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67</v>
      </c>
      <c r="C2" s="2144" t="s">
        <v>2074</v>
      </c>
      <c r="D2" s="2144" t="s">
        <v>2075</v>
      </c>
      <c r="E2" s="2611">
        <f ca="1">SUMIF(E6:E13,"&lt;&gt;#ref!",E6:E13)</f>
        <v>104.4</v>
      </c>
      <c r="F2" s="2792"/>
      <c r="G2" s="2792"/>
      <c r="H2" s="2792"/>
      <c r="I2" s="2792"/>
      <c r="J2" s="2792"/>
      <c r="K2" s="2792"/>
      <c r="L2" s="2792"/>
      <c r="M2" s="2792"/>
      <c r="N2" s="2792"/>
      <c r="O2" s="2792"/>
      <c r="P2" s="2792"/>
    </row>
    <row r="3" spans="1:16" ht="15.75">
      <c r="A3" s="2144" t="s">
        <v>2076</v>
      </c>
      <c r="B3" s="2601">
        <f ca="1">ROUND(B2*10000/E2,0)</f>
        <v>6418</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67</v>
      </c>
      <c r="C6" s="2144" t="s">
        <v>2074</v>
      </c>
      <c r="D6" s="2792"/>
      <c r="E6" s="2611">
        <f ca="1">SUMIF(INDIRECT("'"&amp;A6&amp;"'"&amp;"!C:C"),"建筑面积",INDIRECT("'"&amp;A6&amp;"'"&amp;"!D:D"))</f>
        <v>104.4</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38" sqref="H3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104.4</v>
      </c>
      <c r="E1" s="1994"/>
      <c r="F1" s="1994"/>
      <c r="G1" s="1994"/>
      <c r="H1" s="1994"/>
      <c r="I1" s="1994"/>
      <c r="J1" s="1994"/>
      <c r="K1" s="1118"/>
      <c r="L1" s="1995" t="s">
        <v>1928</v>
      </c>
      <c r="M1" s="863">
        <f>SUMPRODUCT((区片价!B5:B9=I2)*(区片价!C3:G3=E2)*(区片价!C5:G9))</f>
        <v>0</v>
      </c>
      <c r="N1" s="866">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67</v>
      </c>
      <c r="C2" s="1998" t="s">
        <v>1935</v>
      </c>
      <c r="D2" s="1999" t="s">
        <v>1936</v>
      </c>
      <c r="E2" s="3421" t="s">
        <v>21</v>
      </c>
      <c r="F2" s="1999" t="s">
        <v>1937</v>
      </c>
      <c r="G2" s="2000" t="str">
        <f>IF(E2="商业",项目基本情况!B37,IF(E2="办公",项目基本情况!C37,IF(E2="住宅",项目基本情况!D37,IF(E2="工业",项目基本情况!E37,项目基本情况!F37))))</f>
        <v>八级</v>
      </c>
      <c r="H2" s="1999" t="s">
        <v>1938</v>
      </c>
      <c r="I2" s="2000" t="str">
        <f>IF(E2="商业",项目基本情况!B38,IF(E2="办公",项目基本情况!C38,IF(E2="住宅",项目基本情况!D38,IF(E2="工业",项目基本情况!E38,项目基本情况!F38))))</f>
        <v>Ⅷ-平1</v>
      </c>
      <c r="J2" s="2001"/>
      <c r="K2" s="1118"/>
      <c r="L2" s="2002" t="s">
        <v>1939</v>
      </c>
      <c r="M2" s="864">
        <f>SUMPRODUCT((区片价!B10:B29=I2)*(区片价!C3:G3=E2)*(区片价!C10:G29))</f>
        <v>0</v>
      </c>
      <c r="N2" s="866">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9955</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6418</v>
      </c>
      <c r="C3" s="1998" t="s">
        <v>1941</v>
      </c>
      <c r="D3" s="1999" t="s">
        <v>1942</v>
      </c>
      <c r="E3" s="3419" t="s">
        <v>3382</v>
      </c>
      <c r="F3" s="2003" t="s">
        <v>3383</v>
      </c>
      <c r="G3" s="752">
        <f>IF(F3="宗地容积率",'数据-汇总表'!I4,IF(F3="估价对象容积率",'数据-汇总表'!I6,'数据-汇总表'!I7))</f>
        <v>2</v>
      </c>
      <c r="H3" s="170" t="s">
        <v>1943</v>
      </c>
      <c r="I3" s="775"/>
      <c r="J3" s="2001" t="s">
        <v>1944</v>
      </c>
      <c r="K3" s="1118"/>
      <c r="L3" s="2002" t="s">
        <v>1945</v>
      </c>
      <c r="M3" s="864">
        <f>SUMPRODUCT((区片价!B30:B54=I2)*(区片价!C3:G3=E2)*(区片价!C30:G54))</f>
        <v>0</v>
      </c>
      <c r="N3" s="866">
        <f>SUMPRODUCT((因素修正幅度!B30:B54=I2)*(因素修正幅度!C3:G3=E2)*(因素修正幅度!C30:G54))</f>
        <v>0</v>
      </c>
      <c r="O3" s="1118"/>
      <c r="P3" s="1118"/>
      <c r="Q3" s="1118"/>
      <c r="R3" s="1211">
        <v>2</v>
      </c>
      <c r="S3" s="3360">
        <f>ROUND(SUMPRODUCT((B106:B110=R3)*(C105:N105=G2)*(C106:N110)),4)</f>
        <v>1.1883999999999999</v>
      </c>
      <c r="T3" s="3360">
        <f t="shared" si="0"/>
        <v>7673</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43"/>
      <c r="B4" s="3744"/>
      <c r="C4" s="3744"/>
      <c r="D4" s="3745"/>
      <c r="E4" s="3745"/>
      <c r="F4" s="3745"/>
      <c r="G4" s="3745"/>
      <c r="H4" s="3745"/>
      <c r="I4" s="3745"/>
      <c r="J4" s="3746"/>
      <c r="K4" s="1118"/>
      <c r="L4" s="2002" t="s">
        <v>1946</v>
      </c>
      <c r="M4" s="864">
        <f>SUMPRODUCT((区片价!B55:B86=I2)*(区片价!C3:G3=E2)*(区片价!C55:G86))</f>
        <v>0</v>
      </c>
      <c r="N4" s="866">
        <f>SUMPRODUCT((因素修正幅度!B55:B86=I2)*(因素修正幅度!C3:G3=E2)*(因素修正幅度!C55:G86))</f>
        <v>0</v>
      </c>
      <c r="O4" s="1118"/>
      <c r="P4" s="1118"/>
      <c r="Q4" s="1118"/>
      <c r="R4" s="1211">
        <v>3</v>
      </c>
      <c r="S4" s="3360">
        <f>ROUND(SUMPRODUCT((B106:B110=R4)*(C105:N105=G2)*(C106:N110)),4)</f>
        <v>0.96940000000000004</v>
      </c>
      <c r="T4" s="3360">
        <f t="shared" si="0"/>
        <v>6259</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6880</v>
      </c>
      <c r="D5" s="1338">
        <f>ROUND(C6*C17+C20,0)</f>
        <v>6880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8"/>
      <c r="P5" s="1118"/>
      <c r="Q5" s="1118"/>
      <c r="R5" s="1211">
        <v>4</v>
      </c>
      <c r="S5" s="3360">
        <f>ROUND(SUMPRODUCT((B106:B110=R5)*(C105:N105=G2)*(C106:N110)),4)</f>
        <v>0.82299999999999995</v>
      </c>
      <c r="T5" s="3360">
        <f t="shared" si="0"/>
        <v>5314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6880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8"/>
      <c r="P6" s="1118"/>
      <c r="Q6" s="1118"/>
      <c r="R6" s="1211">
        <v>5</v>
      </c>
      <c r="S6" s="3360">
        <f>ROUND(SUMPRODUCT((B106:B110=R6)*(C105:N105=G2)*(C106:N110)),4)</f>
        <v>0.74980000000000002</v>
      </c>
      <c r="T6" s="3360">
        <f t="shared" si="0"/>
        <v>4841</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3242</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八级</v>
      </c>
      <c r="Y7" s="1213" t="s">
        <v>1956</v>
      </c>
      <c r="Z7" s="1214">
        <f>G3</f>
        <v>2</v>
      </c>
      <c r="AA7" s="1215"/>
      <c r="AB7" s="1215"/>
      <c r="AC7" s="1216"/>
      <c r="AD7" s="1217"/>
      <c r="AE7" s="1217"/>
      <c r="AF7" s="1217"/>
      <c r="AG7" s="1217"/>
      <c r="AH7" s="1217"/>
      <c r="AI7" s="1217"/>
      <c r="AJ7" s="1218"/>
    </row>
    <row r="8" spans="1:36" ht="15">
      <c r="A8" s="3298"/>
      <c r="B8" s="170" t="s">
        <v>1957</v>
      </c>
      <c r="C8" s="2025"/>
      <c r="D8" s="756" t="s">
        <v>112</v>
      </c>
      <c r="E8" s="757" t="e">
        <f>ROUND(C11/E7,4)</f>
        <v>#DIV/0!</v>
      </c>
      <c r="F8" s="2026" t="s">
        <v>1958</v>
      </c>
      <c r="G8" s="2027"/>
      <c r="H8" s="2027"/>
      <c r="I8" s="2027"/>
      <c r="J8" s="2028"/>
      <c r="K8" s="1118"/>
      <c r="L8" s="2002" t="s">
        <v>1959</v>
      </c>
      <c r="M8" s="864">
        <f>SUMPRODUCT((区片价!B234:B276=I2)*(区片价!C3:G3=E2)*(区片价!C234:G276))</f>
        <v>6880</v>
      </c>
      <c r="N8" s="866">
        <f>SUMPRODUCT((因素修正幅度!B234:B276=I2)*(因素修正幅度!C3:G3=E2)*(因素修正幅度!C234:G276))</f>
        <v>0.111</v>
      </c>
      <c r="O8" s="1118"/>
      <c r="P8" s="1118"/>
      <c r="Q8" s="1118"/>
      <c r="R8" s="1211">
        <v>7</v>
      </c>
      <c r="S8" s="1212"/>
      <c r="T8" s="3360">
        <f t="shared" si="0"/>
        <v>0</v>
      </c>
      <c r="U8" s="1212"/>
      <c r="V8" s="3360">
        <f t="shared" si="1"/>
        <v>0</v>
      </c>
      <c r="W8" s="3740" t="s">
        <v>1960</v>
      </c>
      <c r="X8" s="374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8"/>
      <c r="L9" s="2002" t="s">
        <v>1975</v>
      </c>
      <c r="M9" s="864">
        <f>SUMPRODUCT((区片价!B277:B326=I2)*(区片价!C3:G3=E2)*(区片价!C277:G326))</f>
        <v>0</v>
      </c>
      <c r="N9" s="866">
        <f>SUMPRODUCT((因素修正幅度!B277:B326=I2)*(因素修正幅度!C3:G3=E2)*(因素修正幅度!C277:G326))</f>
        <v>0</v>
      </c>
      <c r="O9" s="1118"/>
      <c r="P9" s="1118"/>
      <c r="Q9" s="1118"/>
      <c r="R9" s="1211">
        <v>8</v>
      </c>
      <c r="S9" s="1212"/>
      <c r="T9" s="3360">
        <f t="shared" si="0"/>
        <v>0</v>
      </c>
      <c r="U9" s="1212"/>
      <c r="V9" s="3360">
        <f t="shared" si="1"/>
        <v>0</v>
      </c>
      <c r="W9" s="3742"/>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60">
        <f t="shared" si="0"/>
        <v>0</v>
      </c>
      <c r="U10" s="1212"/>
      <c r="V10" s="3360">
        <f t="shared" si="1"/>
        <v>0</v>
      </c>
      <c r="W10" s="374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8"/>
      <c r="L11" s="2002"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3243</v>
      </c>
      <c r="B12" s="3304" t="s">
        <v>3244</v>
      </c>
      <c r="C12" s="3305">
        <v>1</v>
      </c>
      <c r="D12" s="3306" t="s">
        <v>3245</v>
      </c>
      <c r="E12" s="3307" t="s">
        <v>3246</v>
      </c>
      <c r="F12" s="3308"/>
      <c r="G12" s="3309"/>
      <c r="H12" s="3309"/>
      <c r="I12" s="3309"/>
      <c r="J12" s="3310"/>
      <c r="K12" s="1118"/>
      <c r="L12" s="2038"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3247</v>
      </c>
      <c r="B13" s="2033" t="s">
        <v>1982</v>
      </c>
      <c r="C13" s="755">
        <f>ROUND(C16*D16*E16*F16*G16*H16*I16*J16,4)</f>
        <v>1</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3248</v>
      </c>
      <c r="G14" s="3311" t="s">
        <v>3248</v>
      </c>
      <c r="H14" s="3311" t="s">
        <v>3248</v>
      </c>
      <c r="I14" s="3311" t="s">
        <v>3248</v>
      </c>
      <c r="J14" s="3311" t="s">
        <v>3248</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3249</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v>1</v>
      </c>
      <c r="D16" s="3317">
        <v>1</v>
      </c>
      <c r="E16" s="3317">
        <v>1</v>
      </c>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0.93120000000000003</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3254</v>
      </c>
      <c r="E19" s="3337"/>
      <c r="F19" s="3338" t="s">
        <v>3257</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47" t="s">
        <v>3259</v>
      </c>
      <c r="B20" s="167" t="s">
        <v>1994</v>
      </c>
      <c r="C20" s="3324">
        <f>ROUND(IF(F21="与级别开发程度一致",0,(G21-E21)/C21),0)</f>
        <v>0</v>
      </c>
      <c r="D20" s="3340" t="s">
        <v>1998</v>
      </c>
      <c r="E20" s="3341"/>
      <c r="F20" s="3753" t="s">
        <v>1995</v>
      </c>
      <c r="G20" s="3754"/>
      <c r="H20" s="3325" t="s">
        <v>3410</v>
      </c>
      <c r="I20" s="3325" t="s">
        <v>3411</v>
      </c>
      <c r="J20" s="3326" t="s">
        <v>3412</v>
      </c>
      <c r="K20" s="2046" t="s">
        <v>3413</v>
      </c>
      <c r="L20" s="2046" t="s">
        <v>3414</v>
      </c>
      <c r="M20" s="2046" t="s">
        <v>3415</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48"/>
      <c r="B21" s="2163" t="s">
        <v>1997</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3393</v>
      </c>
      <c r="G21" s="2156">
        <f>SUM(H21:O21)</f>
        <v>185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053" t="s">
        <v>2002</v>
      </c>
      <c r="E23" s="761">
        <v>44197</v>
      </c>
      <c r="F23" s="2053" t="s">
        <v>2003</v>
      </c>
      <c r="G23" s="762">
        <f>'数据-取费表'!B2</f>
        <v>45108</v>
      </c>
      <c r="H23" s="3342" t="s">
        <v>3260</v>
      </c>
      <c r="I23" s="3343" t="str">
        <f>IF(H23="季度增幅（自定义）",SUMIF(N25:N28,E2,O25:O28),"")</f>
        <v/>
      </c>
      <c r="J23" s="3445" t="s">
        <v>3392</v>
      </c>
      <c r="K23" s="1124"/>
      <c r="L23" s="2054" t="s">
        <v>2004</v>
      </c>
      <c r="M23" s="1327">
        <f>ROUND(SUMIF(地价!B2:G2,E2,地价!B16:G16),0)</f>
        <v>350</v>
      </c>
      <c r="N23" s="2055" t="s">
        <v>2005</v>
      </c>
      <c r="O23" s="763">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4">
        <f>ROUND(POWER(1+G24,J24-I24)*(POWER(1+G24,I24)-1)/(POWER(1+G24,J24)-1),4)</f>
        <v>0.87970000000000004</v>
      </c>
      <c r="D24" s="2059" t="s">
        <v>2007</v>
      </c>
      <c r="E24" s="1334">
        <f>存贷款利率!E23/100</f>
        <v>4.3499999999999997E-2</v>
      </c>
      <c r="F24" s="2059" t="s">
        <v>1999</v>
      </c>
      <c r="G24" s="768">
        <f>SUMIF(M30:Q30,E2,M33:Q33)</f>
        <v>5.5E-2</v>
      </c>
      <c r="H24" s="2059" t="s">
        <v>2008</v>
      </c>
      <c r="I24" s="769">
        <f>SUMIF('数据-取费表'!C6:C15,E2,'数据-取费表'!F6:F15)/COUNTIF('数据-取费表'!C6:C15,E2)</f>
        <v>31.95</v>
      </c>
      <c r="J24" s="770">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3339</v>
      </c>
      <c r="C25" s="771">
        <f>IF(B25="容积率修正",IF(G3&lt;10,D26,J26),C27)</f>
        <v>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3261</v>
      </c>
      <c r="D26" s="1351">
        <f>IF(E26=G26,F26,IF(G3&lt;10,ROUND(F26+(H26-F26)*(G3-E26)/(G26-E26),4),"——"))</f>
        <v>1</v>
      </c>
      <c r="E26" s="752">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3262</v>
      </c>
      <c r="J26" s="772"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60">
        <f>SUMIF(A47:A101,E2,B47:B101)</f>
        <v>1.0434000000000001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5"/>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67</v>
      </c>
      <c r="D30" s="2082"/>
      <c r="E30" s="2045"/>
      <c r="F30" s="2083"/>
      <c r="G30" s="2045"/>
      <c r="H30" s="2045"/>
      <c r="I30" s="2045"/>
      <c r="J30" s="2084"/>
      <c r="K30" s="1118"/>
      <c r="L30" s="3350" t="s">
        <v>1936</v>
      </c>
      <c r="M30" s="3351" t="s">
        <v>1990</v>
      </c>
      <c r="N30" s="3351" t="s">
        <v>1991</v>
      </c>
      <c r="O30" s="3351" t="s">
        <v>1992</v>
      </c>
      <c r="P30" s="3351" t="s">
        <v>1993</v>
      </c>
      <c r="Q30" s="3354"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6">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6456</v>
      </c>
      <c r="D33" s="2097">
        <f>'数据-汇总表'!F19</f>
        <v>104.4</v>
      </c>
      <c r="E33" s="773">
        <f>ROUND(C33*D33/10000,0)</f>
        <v>67</v>
      </c>
      <c r="F33" s="3345" t="s">
        <v>3264</v>
      </c>
      <c r="G33" s="2098"/>
      <c r="H33" s="2098"/>
      <c r="I33" s="2098"/>
      <c r="J33" s="2099"/>
      <c r="K33" s="1118"/>
      <c r="L33" s="3348" t="s">
        <v>3267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1614</v>
      </c>
      <c r="D34" s="2102"/>
      <c r="E34" s="773">
        <f>ROUND(IF(B25="楼层修正",SUM(V2:V16)*M40,C34*D34/10000),0)</f>
        <v>0</v>
      </c>
      <c r="F34" s="2103" t="s">
        <v>2032</v>
      </c>
      <c r="G34" s="2104"/>
      <c r="H34" s="2104"/>
      <c r="I34" s="2104"/>
      <c r="J34" s="2105"/>
      <c r="K34" s="1118"/>
      <c r="L34" s="3348" t="s">
        <v>3268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3269</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1"/>
      <c r="B37" s="2112" t="s">
        <v>2036</v>
      </c>
      <c r="C37" s="175">
        <f>ROUND(D5*C22*C23*C24*C28*F37,0)</f>
        <v>3228</v>
      </c>
      <c r="D37" s="2097"/>
      <c r="E37" s="171">
        <f>ROUND(C37*D37/10000,0)</f>
        <v>0</v>
      </c>
      <c r="F37" s="171">
        <f>SUMIF(修正!A57:A68,G2,修正!B57:B68)</f>
        <v>0.5</v>
      </c>
      <c r="G37" s="171">
        <f>ROUND(IF(E2="工业",C37*$M$42,C37*$M$41),0)</f>
        <v>807</v>
      </c>
      <c r="H37" s="171">
        <f>D37</f>
        <v>0</v>
      </c>
      <c r="I37" s="171">
        <f>ROUND(G37*H37/10000,0)</f>
        <v>0</v>
      </c>
      <c r="J37" s="3011"/>
      <c r="K37" s="3358" t="s">
        <v>3270</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2"/>
      <c r="B38" s="2040" t="s">
        <v>2037</v>
      </c>
      <c r="C38" s="175">
        <f>ROUND(D5*C22*C23*C24*C28*F38,0)</f>
        <v>1291</v>
      </c>
      <c r="D38" s="2097"/>
      <c r="E38" s="171">
        <f t="shared" ref="E38:E42" si="4">ROUND(C38*D38/10000,0)</f>
        <v>0</v>
      </c>
      <c r="F38" s="171">
        <f>SUMIF(修正!A57:A68,G2,修正!C57:C68)</f>
        <v>0.2</v>
      </c>
      <c r="G38" s="171">
        <f>ROUND(IF(E2="工业",C38*$M$42,C38*$M$41),0)</f>
        <v>323</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2"/>
      <c r="B39" s="2040" t="s">
        <v>3263</v>
      </c>
      <c r="C39" s="175">
        <f>ROUND(D5*C22*C23*C24*C28*F39,0)</f>
        <v>1291</v>
      </c>
      <c r="D39" s="2097"/>
      <c r="E39" s="171">
        <f t="shared" si="4"/>
        <v>0</v>
      </c>
      <c r="F39" s="171">
        <f>SUMIF(修正!A57:A68,G2,修正!D57:D68)</f>
        <v>0.2</v>
      </c>
      <c r="G39" s="171">
        <f>ROUND(IF(E2="工业",C39*$M$42,C39*$M$41),0)</f>
        <v>323</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1291</v>
      </c>
      <c r="D40" s="2097"/>
      <c r="E40" s="171">
        <f t="shared" si="4"/>
        <v>0</v>
      </c>
      <c r="F40" s="175">
        <f>SUMIF(修正!A57:A68,G2,修正!E57:E68)</f>
        <v>0.2</v>
      </c>
      <c r="G40" s="171">
        <f>ROUND(IF(E2="工业",C40*$M$42,C40*$M$41),0)</f>
        <v>323</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4">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5"/>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3273</v>
      </c>
      <c r="B52" s="2133">
        <f>估价对象房地状况!C19</f>
        <v>0</v>
      </c>
      <c r="C52" s="2043"/>
      <c r="D52" s="1064">
        <f t="shared" si="7"/>
        <v>0</v>
      </c>
      <c r="E52" s="745"/>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5"/>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5"/>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5"/>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5"/>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5"/>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6"/>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1.0434000000000001</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3389</v>
      </c>
      <c r="D61" s="1064">
        <f t="shared" ref="D61:D69" si="12">SUMIF($J$60:$N$60,C61,J61:N61)</f>
        <v>0</v>
      </c>
      <c r="E61" s="744">
        <f>ROUND(SUM(D61:D69),4)</f>
        <v>4.3400000000000001E-2</v>
      </c>
      <c r="F61" s="1813">
        <f>IF(E2="办公",SUMIF(L1:L12,G2,N1:N12),"——")</f>
        <v>0.111</v>
      </c>
      <c r="G61" s="1062">
        <f>H61</f>
        <v>1.38E-2</v>
      </c>
      <c r="H61" s="1065">
        <f t="shared" ref="H61:H69" si="13">IFERROR(ROUNDDOWN($F$61*I61/2,4),"——")</f>
        <v>1.38E-2</v>
      </c>
      <c r="I61" s="3366">
        <v>0.25</v>
      </c>
      <c r="J61" s="1063">
        <f t="shared" ref="J61:J69" si="14">K61+$G61</f>
        <v>2.76E-2</v>
      </c>
      <c r="K61" s="1063">
        <f t="shared" ref="K61:K69" si="15">$L61+$G61</f>
        <v>1.38E-2</v>
      </c>
      <c r="L61" s="1063">
        <v>0</v>
      </c>
      <c r="M61" s="1063">
        <f t="shared" ref="M61:N69" si="16">L61-$G61</f>
        <v>-1.38E-2</v>
      </c>
      <c r="N61" s="1063">
        <f t="shared" si="16"/>
        <v>-2.76E-2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3390</v>
      </c>
      <c r="D62" s="1064">
        <f t="shared" si="12"/>
        <v>1.44E-2</v>
      </c>
      <c r="E62" s="745"/>
      <c r="F62" s="1813"/>
      <c r="G62" s="1062">
        <f t="shared" ref="G62:G69" si="17">H62</f>
        <v>1.44E-2</v>
      </c>
      <c r="H62" s="1065">
        <f t="shared" si="13"/>
        <v>1.44E-2</v>
      </c>
      <c r="I62" s="3366">
        <v>0.26</v>
      </c>
      <c r="J62" s="1063">
        <f t="shared" si="14"/>
        <v>2.8799999999999999E-2</v>
      </c>
      <c r="K62" s="1063">
        <f t="shared" si="15"/>
        <v>1.44E-2</v>
      </c>
      <c r="L62" s="1063">
        <v>0</v>
      </c>
      <c r="M62" s="1063">
        <f t="shared" si="16"/>
        <v>-1.44E-2</v>
      </c>
      <c r="N62" s="1063">
        <f t="shared" si="16"/>
        <v>-2.8799999999999999E-2</v>
      </c>
      <c r="AA62" s="1119"/>
      <c r="AB62" s="1119"/>
      <c r="AC62" s="1119"/>
      <c r="AD62" s="1119"/>
      <c r="AE62" s="1119"/>
      <c r="AF62" s="1119"/>
      <c r="AG62" s="1119"/>
      <c r="AH62" s="1119"/>
      <c r="AI62" s="1119"/>
      <c r="AJ62" s="1119"/>
      <c r="AK62" s="1119"/>
    </row>
    <row r="63" spans="1:37" s="1118" customFormat="1" ht="36">
      <c r="A63" s="3368" t="s">
        <v>3273</v>
      </c>
      <c r="B63" s="2133">
        <f>估价对象房地状况!C19</f>
        <v>0</v>
      </c>
      <c r="C63" s="2043" t="s">
        <v>3390</v>
      </c>
      <c r="D63" s="1064">
        <f t="shared" si="12"/>
        <v>6.1000000000000004E-3</v>
      </c>
      <c r="E63" s="745"/>
      <c r="F63" s="1813"/>
      <c r="G63" s="1062">
        <f t="shared" si="17"/>
        <v>6.1000000000000004E-3</v>
      </c>
      <c r="H63" s="1065">
        <f t="shared" si="13"/>
        <v>6.1000000000000004E-3</v>
      </c>
      <c r="I63" s="3366">
        <v>0.11</v>
      </c>
      <c r="J63" s="1063">
        <f t="shared" si="14"/>
        <v>1.2200000000000001E-2</v>
      </c>
      <c r="K63" s="1063">
        <f t="shared" si="15"/>
        <v>6.1000000000000004E-3</v>
      </c>
      <c r="L63" s="1063">
        <v>0</v>
      </c>
      <c r="M63" s="1063">
        <f t="shared" si="16"/>
        <v>-6.1000000000000004E-3</v>
      </c>
      <c r="N63" s="1063">
        <f t="shared" si="16"/>
        <v>-1.2200000000000001E-2</v>
      </c>
      <c r="AA63" s="1119"/>
      <c r="AB63" s="1119"/>
      <c r="AC63" s="1119"/>
      <c r="AD63" s="1119"/>
      <c r="AE63" s="1119"/>
      <c r="AF63" s="1119"/>
      <c r="AG63" s="1119"/>
      <c r="AH63" s="1119"/>
      <c r="AI63" s="1119"/>
      <c r="AJ63" s="1119"/>
      <c r="AK63" s="1119"/>
    </row>
    <row r="64" spans="1:37" s="1118" customFormat="1" ht="36.75">
      <c r="A64" s="2129" t="s">
        <v>2054</v>
      </c>
      <c r="B64" s="2134" t="s">
        <v>2055</v>
      </c>
      <c r="C64" s="2043" t="s">
        <v>3390</v>
      </c>
      <c r="D64" s="1064">
        <f t="shared" si="12"/>
        <v>2.7000000000000001E-3</v>
      </c>
      <c r="E64" s="745"/>
      <c r="F64" s="1813"/>
      <c r="G64" s="1062">
        <f t="shared" si="17"/>
        <v>2.7000000000000001E-3</v>
      </c>
      <c r="H64" s="1065">
        <f t="shared" si="13"/>
        <v>2.7000000000000001E-3</v>
      </c>
      <c r="I64" s="3366">
        <v>0.05</v>
      </c>
      <c r="J64" s="1063">
        <f t="shared" si="14"/>
        <v>5.4000000000000003E-3</v>
      </c>
      <c r="K64" s="1063">
        <f t="shared" si="15"/>
        <v>2.7000000000000001E-3</v>
      </c>
      <c r="L64" s="1063">
        <v>0</v>
      </c>
      <c r="M64" s="1063">
        <f t="shared" si="16"/>
        <v>-2.7000000000000001E-3</v>
      </c>
      <c r="N64" s="1063">
        <f t="shared" si="16"/>
        <v>-5.4000000000000003E-3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3389</v>
      </c>
      <c r="D65" s="1064">
        <f t="shared" si="12"/>
        <v>0</v>
      </c>
      <c r="E65" s="745"/>
      <c r="F65" s="1813"/>
      <c r="G65" s="1062">
        <f t="shared" si="17"/>
        <v>2.7000000000000001E-3</v>
      </c>
      <c r="H65" s="1065">
        <f t="shared" si="13"/>
        <v>2.7000000000000001E-3</v>
      </c>
      <c r="I65" s="3366">
        <v>0.05</v>
      </c>
      <c r="J65" s="1063">
        <f t="shared" si="14"/>
        <v>5.4000000000000003E-3</v>
      </c>
      <c r="K65" s="1063">
        <f t="shared" si="15"/>
        <v>2.7000000000000001E-3</v>
      </c>
      <c r="L65" s="1063">
        <v>0</v>
      </c>
      <c r="M65" s="1063">
        <f t="shared" si="16"/>
        <v>-2.7000000000000001E-3</v>
      </c>
      <c r="N65" s="1063">
        <f t="shared" si="16"/>
        <v>-5.4000000000000003E-3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3390</v>
      </c>
      <c r="D66" s="1064">
        <f t="shared" si="12"/>
        <v>3.3E-3</v>
      </c>
      <c r="E66" s="745"/>
      <c r="F66" s="1813"/>
      <c r="G66" s="1062">
        <f t="shared" si="17"/>
        <v>3.3E-3</v>
      </c>
      <c r="H66" s="1065">
        <f t="shared" si="13"/>
        <v>3.3E-3</v>
      </c>
      <c r="I66" s="3366">
        <v>0.06</v>
      </c>
      <c r="J66" s="1063">
        <f t="shared" si="14"/>
        <v>6.6E-3</v>
      </c>
      <c r="K66" s="1063">
        <f t="shared" si="15"/>
        <v>3.3E-3</v>
      </c>
      <c r="L66" s="1063">
        <v>0</v>
      </c>
      <c r="M66" s="1063">
        <f t="shared" si="16"/>
        <v>-3.3E-3</v>
      </c>
      <c r="N66" s="1063">
        <f t="shared" si="16"/>
        <v>-6.6E-3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3390</v>
      </c>
      <c r="D67" s="1064">
        <f t="shared" si="12"/>
        <v>3.3E-3</v>
      </c>
      <c r="E67" s="745"/>
      <c r="F67" s="1813"/>
      <c r="G67" s="1062">
        <f t="shared" si="17"/>
        <v>3.3E-3</v>
      </c>
      <c r="H67" s="1065">
        <f t="shared" si="13"/>
        <v>3.3E-3</v>
      </c>
      <c r="I67" s="3366">
        <v>0.06</v>
      </c>
      <c r="J67" s="1063">
        <f t="shared" si="14"/>
        <v>6.6E-3</v>
      </c>
      <c r="K67" s="1063">
        <f t="shared" si="15"/>
        <v>3.3E-3</v>
      </c>
      <c r="L67" s="1063">
        <v>0</v>
      </c>
      <c r="M67" s="1063">
        <f t="shared" si="16"/>
        <v>-3.3E-3</v>
      </c>
      <c r="N67" s="1063">
        <f t="shared" si="16"/>
        <v>-6.6E-3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3391</v>
      </c>
      <c r="D68" s="1064">
        <f t="shared" si="12"/>
        <v>9.7999999999999997E-3</v>
      </c>
      <c r="E68" s="745"/>
      <c r="F68" s="1813"/>
      <c r="G68" s="1062">
        <f t="shared" si="17"/>
        <v>4.8999999999999998E-3</v>
      </c>
      <c r="H68" s="1065">
        <f t="shared" si="13"/>
        <v>4.8999999999999998E-3</v>
      </c>
      <c r="I68" s="3366">
        <v>0.09</v>
      </c>
      <c r="J68" s="1063">
        <f t="shared" si="14"/>
        <v>9.7999999999999997E-3</v>
      </c>
      <c r="K68" s="1063">
        <f t="shared" si="15"/>
        <v>4.8999999999999998E-3</v>
      </c>
      <c r="L68" s="1063">
        <v>0</v>
      </c>
      <c r="M68" s="1063">
        <f t="shared" si="16"/>
        <v>-4.8999999999999998E-3</v>
      </c>
      <c r="N68" s="1063">
        <f t="shared" si="16"/>
        <v>-9.7999999999999997E-3</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3390</v>
      </c>
      <c r="D69" s="1064">
        <f t="shared" si="12"/>
        <v>3.8E-3</v>
      </c>
      <c r="E69" s="746"/>
      <c r="F69" s="1813"/>
      <c r="G69" s="1062">
        <f t="shared" si="17"/>
        <v>3.8E-3</v>
      </c>
      <c r="H69" s="1065">
        <f t="shared" si="13"/>
        <v>3.8E-3</v>
      </c>
      <c r="I69" s="3367">
        <v>7.0000000000000007E-2</v>
      </c>
      <c r="J69" s="1063">
        <f t="shared" si="14"/>
        <v>7.6E-3</v>
      </c>
      <c r="K69" s="1063">
        <f t="shared" si="15"/>
        <v>3.8E-3</v>
      </c>
      <c r="L69" s="1063">
        <v>0</v>
      </c>
      <c r="M69" s="1063">
        <f t="shared" si="16"/>
        <v>-3.8E-3</v>
      </c>
      <c r="N69" s="1063">
        <f t="shared" si="16"/>
        <v>-7.6E-3</v>
      </c>
      <c r="AA69" s="1119"/>
      <c r="AB69" s="1119"/>
      <c r="AC69" s="1119"/>
      <c r="AD69" s="1119"/>
      <c r="AE69" s="1119"/>
      <c r="AF69" s="1119"/>
      <c r="AG69" s="1119"/>
      <c r="AH69" s="1119"/>
      <c r="AI69" s="1119"/>
      <c r="AJ69" s="1119"/>
      <c r="AK69" s="1119"/>
    </row>
    <row r="70" spans="1:37" s="1118" customFormat="1" ht="15">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4">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7"/>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3273</v>
      </c>
      <c r="B74" s="2133">
        <f>估价对象房地状况!C19</f>
        <v>0</v>
      </c>
      <c r="C74" s="2043"/>
      <c r="D74" s="1064">
        <f t="shared" si="18"/>
        <v>0</v>
      </c>
      <c r="E74" s="747"/>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7"/>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7"/>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7"/>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7"/>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7"/>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8"/>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1"/>
      <c r="D81" s="741"/>
      <c r="E81" s="742"/>
      <c r="F81" s="2128"/>
      <c r="G81" s="3"/>
      <c r="H81" s="3"/>
      <c r="I81" s="3"/>
      <c r="J81" s="4"/>
      <c r="K81" s="4"/>
      <c r="L81" s="4"/>
      <c r="M81" s="4"/>
      <c r="N81" s="4"/>
      <c r="Z81" s="1997"/>
      <c r="AA81" s="2052"/>
      <c r="AG81" s="1120"/>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4">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7"/>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3274</v>
      </c>
      <c r="B85" s="2133">
        <f>估价对象房地状况!G17</f>
        <v>0</v>
      </c>
      <c r="C85" s="2043"/>
      <c r="D85" s="1064">
        <f t="shared" si="23"/>
        <v>0</v>
      </c>
      <c r="E85" s="747"/>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7"/>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7"/>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7"/>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7"/>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8"/>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3277</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3273</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3278</v>
      </c>
      <c r="B96" s="3384" t="s">
        <v>3289</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3279</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3280</v>
      </c>
      <c r="B98" s="3385" t="s">
        <v>3290</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3281</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3282</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3283</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49" t="s">
        <v>3298</v>
      </c>
      <c r="B103" s="3749"/>
      <c r="C103" s="3749"/>
      <c r="D103" s="3749"/>
      <c r="E103" s="3749"/>
      <c r="F103" s="3749"/>
      <c r="G103" s="3749"/>
      <c r="H103" s="3749"/>
      <c r="I103" s="3749"/>
      <c r="J103" s="3749"/>
      <c r="K103" s="3389"/>
      <c r="L103" s="3389"/>
      <c r="M103" s="3389"/>
      <c r="N103" s="3389"/>
    </row>
    <row r="104" spans="1:14">
      <c r="A104" s="3750" t="s">
        <v>3299</v>
      </c>
      <c r="B104" s="3750" t="s">
        <v>3300</v>
      </c>
      <c r="C104" s="3390" t="s">
        <v>3301</v>
      </c>
      <c r="D104" s="3391"/>
      <c r="E104" s="3391"/>
      <c r="F104" s="3391"/>
      <c r="G104" s="3391"/>
      <c r="H104" s="3391"/>
      <c r="I104" s="3391"/>
      <c r="J104" s="3392"/>
      <c r="K104" s="3393"/>
      <c r="L104" s="3393"/>
      <c r="M104" s="3393"/>
      <c r="N104" s="3393"/>
    </row>
    <row r="105" spans="1:14">
      <c r="A105" s="3750"/>
      <c r="B105" s="3750"/>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36"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7"/>
      <c r="B111" s="3394" t="s">
        <v>3272</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38"/>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39" t="s">
        <v>3315</v>
      </c>
      <c r="B113" s="3739"/>
      <c r="C113" s="3739"/>
      <c r="D113" s="3739"/>
      <c r="E113" s="3739"/>
      <c r="F113" s="3739"/>
      <c r="G113" s="3739"/>
      <c r="H113" s="3739"/>
      <c r="I113" s="3739"/>
      <c r="J113" s="373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2</v>
      </c>
      <c r="C116" s="3399" t="s">
        <v>3317</v>
      </c>
      <c r="D116" s="3400">
        <f>SUMPRODUCT((A118:A122=F116)*(B117:M117=H116)*B118:M122)</f>
        <v>0.80159999999999998</v>
      </c>
      <c r="E116" s="1999" t="s">
        <v>3318</v>
      </c>
      <c r="F116" s="3401" t="str">
        <f>E2</f>
        <v>办公</v>
      </c>
      <c r="G116" s="1999" t="s">
        <v>3319</v>
      </c>
      <c r="H116" s="3401" t="str">
        <f>G2</f>
        <v>八级</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6">I118</f>
        <v>0.81259999999999999</v>
      </c>
      <c r="K118" s="3387">
        <f t="shared" si="36"/>
        <v>0.81259999999999999</v>
      </c>
      <c r="L118" s="3387">
        <f t="shared" si="36"/>
        <v>0.81259999999999999</v>
      </c>
      <c r="M118" s="3410">
        <f t="shared" si="36"/>
        <v>0.81259999999999999</v>
      </c>
      <c r="N118" s="3397"/>
    </row>
    <row r="119" spans="1:14">
      <c r="A119" s="3409" t="s">
        <v>3333</v>
      </c>
      <c r="B119" s="3387">
        <f>ROUND(0.993-0.0112*B116,4)</f>
        <v>0.97060000000000002</v>
      </c>
      <c r="C119" s="3387">
        <f>B119</f>
        <v>0.97060000000000002</v>
      </c>
      <c r="D119" s="3387">
        <f>ROUND(0.9415-0.0142*B116,4)</f>
        <v>0.91310000000000002</v>
      </c>
      <c r="E119" s="3387">
        <f t="shared" ref="E119:H120" si="37">D119</f>
        <v>0.91310000000000002</v>
      </c>
      <c r="F119" s="3387">
        <f t="shared" si="37"/>
        <v>0.91310000000000002</v>
      </c>
      <c r="G119" s="3387">
        <f t="shared" si="37"/>
        <v>0.91310000000000002</v>
      </c>
      <c r="H119" s="3387">
        <f t="shared" si="37"/>
        <v>0.91310000000000002</v>
      </c>
      <c r="I119" s="3387">
        <f>ROUND(0.838-0.0182*B116,4)</f>
        <v>0.80159999999999998</v>
      </c>
      <c r="J119" s="3387">
        <f t="shared" si="36"/>
        <v>0.80159999999999998</v>
      </c>
      <c r="K119" s="3387">
        <f t="shared" si="36"/>
        <v>0.80159999999999998</v>
      </c>
      <c r="L119" s="3387">
        <f t="shared" si="36"/>
        <v>0.80159999999999998</v>
      </c>
      <c r="M119" s="3410">
        <f t="shared" si="36"/>
        <v>0.80159999999999998</v>
      </c>
      <c r="N119" s="3397"/>
    </row>
    <row r="120" spans="1:14">
      <c r="A120" s="3409" t="s">
        <v>3334</v>
      </c>
      <c r="B120" s="3387">
        <f>ROUND(0.9448-0.0115*B116,4)</f>
        <v>0.92179999999999995</v>
      </c>
      <c r="C120" s="3387">
        <f>B120</f>
        <v>0.92179999999999995</v>
      </c>
      <c r="D120" s="3387">
        <f>ROUND(0.937-0.0145*B116,4)</f>
        <v>0.90800000000000003</v>
      </c>
      <c r="E120" s="3387">
        <f t="shared" si="37"/>
        <v>0.90800000000000003</v>
      </c>
      <c r="F120" s="3387">
        <f t="shared" si="37"/>
        <v>0.90800000000000003</v>
      </c>
      <c r="G120" s="3387">
        <f t="shared" si="37"/>
        <v>0.90800000000000003</v>
      </c>
      <c r="H120" s="3387">
        <f t="shared" si="37"/>
        <v>0.90800000000000003</v>
      </c>
      <c r="I120" s="3387">
        <f>ROUND(0.7965-0.0185*B116,4)</f>
        <v>0.75949999999999995</v>
      </c>
      <c r="J120" s="3387">
        <f t="shared" si="36"/>
        <v>0.75949999999999995</v>
      </c>
      <c r="K120" s="3387">
        <f t="shared" si="36"/>
        <v>0.75949999999999995</v>
      </c>
      <c r="L120" s="3387">
        <f t="shared" si="36"/>
        <v>0.75949999999999995</v>
      </c>
      <c r="M120" s="3410">
        <f t="shared" si="36"/>
        <v>0.75949999999999995</v>
      </c>
      <c r="N120" s="3397"/>
    </row>
    <row r="121" spans="1:14" ht="13.5" thickBot="1">
      <c r="A121" s="3411" t="s">
        <v>3335</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6"/>
        <v>0.55249999999999999</v>
      </c>
      <c r="K121" s="3412">
        <f t="shared" si="36"/>
        <v>0.55249999999999999</v>
      </c>
      <c r="L121" s="3412">
        <f t="shared" si="36"/>
        <v>0.55249999999999999</v>
      </c>
      <c r="M121" s="3413">
        <f t="shared" si="36"/>
        <v>0.55249999999999999</v>
      </c>
      <c r="N121" s="3397"/>
    </row>
    <row r="122" spans="1:14">
      <c r="A122" s="3414" t="s">
        <v>2615</v>
      </c>
      <c r="B122" s="3387">
        <f>ROUND(0.9404-0.0106*B116,4)</f>
        <v>0.91920000000000002</v>
      </c>
      <c r="C122" s="3387">
        <f>B122</f>
        <v>0.91920000000000002</v>
      </c>
      <c r="D122" s="3387">
        <f>ROUND(0.8955-0.0135*B116,4)</f>
        <v>0.86850000000000005</v>
      </c>
      <c r="E122" s="3387">
        <f t="shared" ref="E122:H122" si="38">D122</f>
        <v>0.86850000000000005</v>
      </c>
      <c r="F122" s="3387">
        <f t="shared" si="38"/>
        <v>0.86850000000000005</v>
      </c>
      <c r="G122" s="3387">
        <f t="shared" si="38"/>
        <v>0.86850000000000005</v>
      </c>
      <c r="H122" s="3387">
        <f t="shared" si="38"/>
        <v>0.86850000000000005</v>
      </c>
      <c r="I122" s="3387">
        <f>ROUND(0.7632-0.0166*B116,4)</f>
        <v>0.73</v>
      </c>
      <c r="J122" s="3387">
        <f t="shared" si="36"/>
        <v>0.73</v>
      </c>
      <c r="K122" s="3387">
        <f t="shared" si="36"/>
        <v>0.73</v>
      </c>
      <c r="L122" s="3387">
        <f t="shared" si="36"/>
        <v>0.73</v>
      </c>
      <c r="M122" s="3410">
        <f t="shared" si="36"/>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C1"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8" t="s">
        <v>2084</v>
      </c>
      <c r="D1" s="3759"/>
      <c r="E1" s="3759"/>
      <c r="F1" s="3759"/>
      <c r="G1" s="3759"/>
      <c r="H1" s="3759"/>
      <c r="I1" s="3759"/>
      <c r="J1" s="3759"/>
      <c r="K1" s="3759"/>
      <c r="L1" s="3759"/>
      <c r="M1" s="3759"/>
      <c r="N1" s="3759"/>
      <c r="O1" s="3759"/>
      <c r="P1" s="3759"/>
      <c r="Q1" s="3759"/>
      <c r="R1" s="3759"/>
      <c r="S1" s="3760"/>
      <c r="T1" s="983" t="s">
        <v>2085</v>
      </c>
    </row>
    <row r="2" spans="1:45" s="655" customFormat="1" ht="25.5">
      <c r="A2" s="984"/>
      <c r="B2" s="651" t="s">
        <v>2086</v>
      </c>
      <c r="C2" s="652" t="str">
        <f t="shared" ref="C2:L2" si="0">C3&amp;"(含)"&amp;"-"&amp;D3</f>
        <v>0(含)-50</v>
      </c>
      <c r="D2" s="653" t="str">
        <f t="shared" si="0"/>
        <v>50(含)-90</v>
      </c>
      <c r="E2" s="653" t="str">
        <f t="shared" si="0"/>
        <v>90(含)-120</v>
      </c>
      <c r="F2" s="653" t="str">
        <f t="shared" si="0"/>
        <v>120(含)-150</v>
      </c>
      <c r="G2" s="653" t="str">
        <f t="shared" si="0"/>
        <v>150(含)-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v>
      </c>
      <c r="E3" s="658">
        <v>90</v>
      </c>
      <c r="F3" s="1304">
        <v>120</v>
      </c>
      <c r="G3" s="1304">
        <v>150</v>
      </c>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8">
        <v>94</v>
      </c>
      <c r="G4" s="1308">
        <v>92</v>
      </c>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3449" t="s">
        <v>3401</v>
      </c>
      <c r="D17" s="3450" t="s">
        <v>3402</v>
      </c>
      <c r="E17" s="3450" t="s">
        <v>3403</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98</v>
      </c>
      <c r="E18" s="1022">
        <v>96</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2095</v>
      </c>
      <c r="E19" s="1339"/>
      <c r="F19" s="1339"/>
      <c r="G19" s="1339"/>
      <c r="H19" s="1058"/>
      <c r="I19" s="159"/>
      <c r="J19" s="159"/>
      <c r="K19" s="159"/>
      <c r="L19" s="159"/>
      <c r="M19" s="159"/>
      <c r="N19" s="159"/>
      <c r="O19" s="159"/>
      <c r="P19" s="159"/>
      <c r="Q19" s="159"/>
      <c r="R19" s="718"/>
      <c r="S19" s="129"/>
    </row>
    <row r="20" spans="1:45" ht="16.5" thickBot="1">
      <c r="A20" s="662" t="s">
        <v>2096</v>
      </c>
      <c r="B20" s="294">
        <f ca="1">IF(D20="——",S22,S22-F20)</f>
        <v>650</v>
      </c>
      <c r="C20" s="159"/>
      <c r="D20" s="2150" t="s">
        <v>43</v>
      </c>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f ca="1">ROUND(B20*10000/B22,0)</f>
        <v>15467</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420.24</v>
      </c>
      <c r="C22" s="3755" t="s">
        <v>27</v>
      </c>
      <c r="D22" s="3756"/>
      <c r="E22" s="3756"/>
      <c r="F22" s="3756"/>
      <c r="G22" s="3756"/>
      <c r="H22" s="3756"/>
      <c r="I22" s="3756"/>
      <c r="J22" s="3756"/>
      <c r="K22" s="3756"/>
      <c r="L22" s="3756"/>
      <c r="M22" s="3756"/>
      <c r="N22" s="3756"/>
      <c r="O22" s="3756"/>
      <c r="P22" s="3756"/>
      <c r="Q22" s="3757"/>
      <c r="R22" s="663">
        <f ca="1">ROUND(S22*10000/B22,0)</f>
        <v>15467</v>
      </c>
      <c r="S22" s="21">
        <f ca="1">SUM(S24:S10000)</f>
        <v>650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1107</v>
      </c>
      <c r="B24" s="665">
        <v>104.4</v>
      </c>
      <c r="C24" s="2809">
        <v>1</v>
      </c>
      <c r="D24" s="2810"/>
      <c r="E24" s="2809">
        <v>1</v>
      </c>
      <c r="F24" s="2810"/>
      <c r="G24" s="2809">
        <v>1</v>
      </c>
      <c r="H24" s="2810"/>
      <c r="I24" s="2809">
        <v>1</v>
      </c>
      <c r="J24" s="2810"/>
      <c r="K24" s="2809">
        <v>1</v>
      </c>
      <c r="L24" s="2810"/>
      <c r="M24" s="2809">
        <v>1</v>
      </c>
      <c r="N24" s="2810"/>
      <c r="O24" s="2809">
        <v>1</v>
      </c>
      <c r="P24" s="3451" t="s">
        <v>3404</v>
      </c>
      <c r="Q24" s="2809">
        <v>1</v>
      </c>
      <c r="R24" s="668">
        <f ca="1">结果表!G20</f>
        <v>15621</v>
      </c>
      <c r="S24" s="666">
        <f t="shared" ref="S24:S54" ca="1" si="11">ROUND(R24*B24/10000,0)</f>
        <v>163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1007</v>
      </c>
      <c r="B25" s="54">
        <v>104.4</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3452" t="s">
        <v>3404</v>
      </c>
      <c r="Q25" s="21">
        <f>(SUMIF($17:$17,P25,$18:$18)-SUMIF($17:$17,$P$24,$18:$18)+100)/100</f>
        <v>1</v>
      </c>
      <c r="R25" s="663">
        <f ca="1">IF(B25="",0,ROUND($R$24*C25*E25*G25*I25*K25*M25*O25*Q25,0))</f>
        <v>15621</v>
      </c>
      <c r="S25" s="316">
        <f t="shared" ca="1" si="11"/>
        <v>163</v>
      </c>
    </row>
    <row r="26" spans="1:45">
      <c r="A26" s="150">
        <v>301</v>
      </c>
      <c r="B26" s="54">
        <v>105.72</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3452" t="s">
        <v>3403</v>
      </c>
      <c r="Q26" s="21">
        <f t="shared" ref="Q26:Q89" si="19">(SUMIF($17:$17,P26,$18:$18)-SUMIF($17:$17,$P$24,$18:$18)+100)/100</f>
        <v>0.98</v>
      </c>
      <c r="R26" s="663">
        <f t="shared" ref="R26:R89" ca="1" si="20">IF(B26="",0,ROUND($R$24*C26*E26*G26*I26*K26*M26*O26*Q26,0))</f>
        <v>15309</v>
      </c>
      <c r="S26" s="316">
        <f t="shared" ca="1" si="11"/>
        <v>162</v>
      </c>
    </row>
    <row r="27" spans="1:45">
      <c r="A27" s="150">
        <v>401</v>
      </c>
      <c r="B27" s="54">
        <v>105.72</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3452" t="s">
        <v>3403</v>
      </c>
      <c r="Q27" s="21">
        <f t="shared" si="19"/>
        <v>0.98</v>
      </c>
      <c r="R27" s="663">
        <f t="shared" ca="1" si="20"/>
        <v>15309</v>
      </c>
      <c r="S27" s="316">
        <f t="shared" ca="1" si="11"/>
        <v>162</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0.02</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0.02</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0.02</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0.02</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0.02</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0.02</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0.02</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0.02</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0.02</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0.02</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0.02</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0.02</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0.02</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0.02</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0.02</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0.02</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0.02</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0.02</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0.02</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0.02</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0.02</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0.02</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0.02</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0.02</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0.02</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0.02</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0.02</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0.02</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0.02</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0.02</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0.02</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0.02</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0.02</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0.02</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0.02</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0.02</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0.02</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0.02</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0.02</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0.02</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0.02</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0.02</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0.02</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0.02</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0.02</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0.02</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0.02</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0.02</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0.02</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0.02</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0.02</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0.02</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0.02</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0.02</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0.02</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0.02</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0.02</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0.02</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0.02</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0.02</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0.02</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0.02</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0.02</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0.02</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0.02</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0.02</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0.02</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0.02</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0.02</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0.02</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0.02</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0.02</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0.02</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0.02</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0.02</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0.02</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0.02</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0.02</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0.02</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0.02</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0.02</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0.02</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0.02</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0.02</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0.02</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0.02</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0.02</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0.02</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0.02</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0.02</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0.02</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0.02</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0.02</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0.02</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0.02</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0.02</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0.02</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0.02</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0.02</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0.02</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0.02</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0.02</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0.02</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0.02</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0.02</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0.02</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0.02</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0.02</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0.02</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0.02</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0.02</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0.02</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0.02</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0.02</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0.02</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0.02</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0.02</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0.02</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0.02</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0.02</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0.02</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0.02</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0.02</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0.02</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0.02</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0.02</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0.02</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0.02</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0.02</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0.02</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0.02</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0.02</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0.02</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0.02</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0.02</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0.02</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0.02</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0.02</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0.02</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0.02</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0.02</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0.02</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0.02</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0.02</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0.02</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0.02</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0.02</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0.02</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0.02</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0.02</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0.02</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0.02</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0.02</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0.02</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0.02</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0.02</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0.02</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0.02</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0.02</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0.02</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0.02</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0.02</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0.02</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0.02</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0.02</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0.02</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0.02</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0.02</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0.02</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0.02</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0.02</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0.02</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0.02</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0.02</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0.02</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0.02</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0.02</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0.02</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0.02</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0.02</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0.02</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0.02</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0.02</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0.02</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0.02</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0.02</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0.02</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0.02</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0.02</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0.02</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0.02</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0.02</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0.02</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0.02</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0.02</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0.02</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0.02</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0.02</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0.02</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0.02</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0.02</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0.02</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0.02</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0.02</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0.02</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0.02</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0.02</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0.02</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0.02</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0.02</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0.02</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0.02</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0.02</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0.02</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0.02</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0.02</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0.02</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0.02</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0.02</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0.02</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0.02</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0.02</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0.02</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0.02</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0.02</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0.02</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0.02</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0.02</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0.02</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0.02</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0.02</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0.02</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0.02</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0.02</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0.02</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0.02</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0.02</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0.02</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0.02</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0.02</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0.02</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0.02</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0.02</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0.02</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0.02</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0.02</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0.02</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0.02</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0.02</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0.02</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0.02</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0.02</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0.02</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0.02</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0.02</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0.02</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0.02</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0.02</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0.02</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0.02</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0.02</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0.02</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0.02</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0.02</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0.02</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0.02</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0.02</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0.02</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0.02</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0.02</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0.02</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0.02</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0.02</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0.02</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0.02</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0.02</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0.02</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0.02</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0.02</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0.02</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0.02</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0.02</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0.02</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0.02</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0.02</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0.02</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0.02</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0.02</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0.02</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0.02</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0.02</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0.02</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0.02</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0.02</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0.02</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0.02</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0.02</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0.02</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0.02</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0.02</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0.02</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0.02</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0.02</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0.02</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0.02</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0.02</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0.02</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0.02</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0.02</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0.02</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0.02</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0.02</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0.02</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0.02</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0.02</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0.02</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0.02</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0.02</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0.02</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0.02</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0.02</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0.02</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0.02</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0.02</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0.02</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0.02</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0.02</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0.02</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0.02</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0.02</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0.02</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0.02</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0.02</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0.02</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0.02</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0.02</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0.02</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0.02</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0.02</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0.02</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0.02</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0.02</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0.02</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0.02</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0.02</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0.02</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0.02</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0.02</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0.02</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0.02</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0.02</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0.02</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0.02</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0.02</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0.02</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0.02</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0.02</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0.02</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0.02</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0.02</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0.02</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0.02</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0.02</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0.02</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0.02</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0.02</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0.02</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0.02</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0.02</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0.02</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0.02</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0.02</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0.02</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0.02</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0.02</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0.02</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0.02</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0.02</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0.02</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0.02</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0.02</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0.02</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0.02</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0.02</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0.02</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0.02</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0.02</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0.02</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0.02</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0.02</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0.02</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0.02</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0.02</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0.02</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0.02</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0.02</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0.02</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0.02</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0.02</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0.02</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0.02</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0.02</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0.02</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0.02</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0.02</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0.02</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0.02</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0.02</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0.02</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0.02</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0.02</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0.02</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0.02</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0.02</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0.02</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0.02</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0.02</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0.02</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0.02</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0.02</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0.02</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0.02</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0.02</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0.02</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0.02</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0.02</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0.02</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0.02</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0.02</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0.02</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0.02</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0.02</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0.02</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0.02</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0.02</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0.02</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0.02</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0.02</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0.02</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0.02</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0.02</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0.02</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0.02</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0.02</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0.02</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0.02</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0.02</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0.02</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0.02</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0.02</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0.02</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0.02</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0.02</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0.02</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0.02</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0.02</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0.02</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0.02</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0.02</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0.02</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0.02</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0.02</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0.02</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0.02</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0.02</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0.02</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0.02</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0.02</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0.02</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0.02</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0.02</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0.02</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0.02</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0.02</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0.02</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0.02</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0.02</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0.02</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0.02</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0.02</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0.02</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0.02</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0.02</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0.02</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0.02</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0.02</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0.02</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0.02</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0.02</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0.02</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0.02</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0.02</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0.02</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0.02</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0.02</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0.02</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0.02</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0" t="s">
        <v>2610</v>
      </c>
      <c r="B20" s="3765" t="s">
        <v>2631</v>
      </c>
      <c r="C20" s="3102" t="s">
        <v>2442</v>
      </c>
      <c r="D20" s="3103"/>
      <c r="E20" s="3104">
        <v>1</v>
      </c>
      <c r="F20" s="3105" t="s">
        <v>2443</v>
      </c>
      <c r="G20" s="3105"/>
    </row>
    <row r="21" spans="1:13" ht="19.5" customHeight="1">
      <c r="A21" s="3771"/>
      <c r="B21" s="3764"/>
      <c r="C21" s="3106" t="s">
        <v>2444</v>
      </c>
      <c r="D21" s="3107"/>
      <c r="E21" s="3108">
        <v>1</v>
      </c>
      <c r="F21" s="3105" t="s">
        <v>2445</v>
      </c>
      <c r="G21" s="3105"/>
    </row>
    <row r="22" spans="1:13" ht="19.5" customHeight="1">
      <c r="A22" s="3771"/>
      <c r="B22" s="3764"/>
      <c r="C22" s="3106" t="s">
        <v>2446</v>
      </c>
      <c r="D22" s="3107"/>
      <c r="E22" s="3108">
        <v>0.9</v>
      </c>
      <c r="F22" s="3105" t="s">
        <v>2447</v>
      </c>
      <c r="G22" s="3105"/>
    </row>
    <row r="23" spans="1:13" ht="19.5" customHeight="1">
      <c r="A23" s="3771"/>
      <c r="B23" s="3764"/>
      <c r="C23" s="3106" t="s">
        <v>2448</v>
      </c>
      <c r="D23" s="3107"/>
      <c r="E23" s="3108">
        <v>0.9</v>
      </c>
      <c r="F23" s="3105" t="s">
        <v>2449</v>
      </c>
      <c r="G23" s="3105"/>
    </row>
    <row r="24" spans="1:13" ht="19.5" customHeight="1">
      <c r="A24" s="3771"/>
      <c r="B24" s="3764"/>
      <c r="C24" s="3106" t="s">
        <v>2450</v>
      </c>
      <c r="D24" s="3107"/>
      <c r="E24" s="3108">
        <v>0.8</v>
      </c>
      <c r="F24" s="3105" t="s">
        <v>2451</v>
      </c>
      <c r="G24" s="3105"/>
    </row>
    <row r="25" spans="1:13" ht="19.5" customHeight="1" thickBot="1">
      <c r="A25" s="3772"/>
      <c r="B25" s="3766"/>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7" t="s">
        <v>2634</v>
      </c>
      <c r="B27" s="3765" t="s">
        <v>2615</v>
      </c>
      <c r="C27" s="3102" t="s">
        <v>2455</v>
      </c>
      <c r="D27" s="3103"/>
      <c r="E27" s="3104">
        <v>1</v>
      </c>
      <c r="F27" s="3105" t="s">
        <v>2456</v>
      </c>
      <c r="G27" s="3105"/>
    </row>
    <row r="28" spans="1:13" ht="19.5" customHeight="1">
      <c r="A28" s="3768"/>
      <c r="B28" s="3764"/>
      <c r="C28" s="3106" t="s">
        <v>2457</v>
      </c>
      <c r="D28" s="3107"/>
      <c r="E28" s="3108">
        <v>1</v>
      </c>
      <c r="F28" s="3105" t="s">
        <v>2458</v>
      </c>
      <c r="G28" s="3105"/>
    </row>
    <row r="29" spans="1:13" ht="19.5" customHeight="1">
      <c r="A29" s="3768"/>
      <c r="B29" s="3764"/>
      <c r="C29" s="3106" t="s">
        <v>2459</v>
      </c>
      <c r="D29" s="3107"/>
      <c r="E29" s="3108">
        <v>0.8</v>
      </c>
      <c r="F29" s="3105" t="s">
        <v>2460</v>
      </c>
      <c r="G29" s="3105"/>
    </row>
    <row r="30" spans="1:13" ht="19.5" customHeight="1">
      <c r="A30" s="3768"/>
      <c r="B30" s="3764"/>
      <c r="C30" s="3106" t="s">
        <v>2461</v>
      </c>
      <c r="D30" s="3107"/>
      <c r="E30" s="3108">
        <v>0.8</v>
      </c>
      <c r="F30" s="3105" t="s">
        <v>2462</v>
      </c>
      <c r="G30" s="3105"/>
    </row>
    <row r="31" spans="1:13" ht="19.5" customHeight="1">
      <c r="A31" s="3768"/>
      <c r="B31" s="3764"/>
      <c r="C31" s="3106" t="s">
        <v>2463</v>
      </c>
      <c r="D31" s="3107"/>
      <c r="E31" s="3108">
        <v>0.8</v>
      </c>
      <c r="F31" s="3105" t="s">
        <v>2464</v>
      </c>
      <c r="G31" s="3105"/>
    </row>
    <row r="32" spans="1:13" ht="19.5" customHeight="1">
      <c r="A32" s="3768"/>
      <c r="B32" s="3764"/>
      <c r="C32" s="3106" t="s">
        <v>2465</v>
      </c>
      <c r="D32" s="3107"/>
      <c r="E32" s="3108">
        <v>0.7</v>
      </c>
      <c r="F32" s="3105" t="s">
        <v>2466</v>
      </c>
      <c r="G32" s="3105"/>
    </row>
    <row r="33" spans="1:7" ht="19.5" customHeight="1">
      <c r="A33" s="3768"/>
      <c r="B33" s="3764"/>
      <c r="C33" s="3106" t="s">
        <v>2467</v>
      </c>
      <c r="D33" s="3107"/>
      <c r="E33" s="3108">
        <v>0.8</v>
      </c>
      <c r="F33" s="3105" t="s">
        <v>2468</v>
      </c>
      <c r="G33" s="3105"/>
    </row>
    <row r="34" spans="1:7" ht="19.5" customHeight="1">
      <c r="A34" s="3768"/>
      <c r="B34" s="3764"/>
      <c r="C34" s="3106" t="s">
        <v>2469</v>
      </c>
      <c r="D34" s="3107"/>
      <c r="E34" s="3108">
        <v>0.6</v>
      </c>
      <c r="F34" s="3105" t="s">
        <v>2470</v>
      </c>
      <c r="G34" s="3105"/>
    </row>
    <row r="35" spans="1:7" ht="19.5" customHeight="1">
      <c r="A35" s="3768"/>
      <c r="B35" s="3764"/>
      <c r="C35" s="3106" t="s">
        <v>2471</v>
      </c>
      <c r="D35" s="3107"/>
      <c r="E35" s="3108">
        <v>0.2</v>
      </c>
      <c r="F35" s="3105" t="s">
        <v>2472</v>
      </c>
      <c r="G35" s="3105"/>
    </row>
    <row r="36" spans="1:7" ht="19.5" customHeight="1">
      <c r="A36" s="3768"/>
      <c r="B36" s="3764"/>
      <c r="C36" s="3106" t="s">
        <v>2473</v>
      </c>
      <c r="D36" s="3107"/>
      <c r="E36" s="3108">
        <v>0.2</v>
      </c>
      <c r="F36" s="3105" t="s">
        <v>2474</v>
      </c>
      <c r="G36" s="3105"/>
    </row>
    <row r="37" spans="1:7" ht="19.5" customHeight="1">
      <c r="A37" s="3768"/>
      <c r="B37" s="3762" t="s">
        <v>2635</v>
      </c>
      <c r="C37" s="3106" t="s">
        <v>2475</v>
      </c>
      <c r="D37" s="3107"/>
      <c r="E37" s="3108">
        <v>0.6</v>
      </c>
      <c r="F37" s="3105" t="s">
        <v>2476</v>
      </c>
      <c r="G37" s="3105"/>
    </row>
    <row r="38" spans="1:7" ht="19.5" customHeight="1">
      <c r="A38" s="3768"/>
      <c r="B38" s="3764"/>
      <c r="C38" s="3106" t="s">
        <v>2477</v>
      </c>
      <c r="D38" s="3107"/>
      <c r="E38" s="3108">
        <v>0.6</v>
      </c>
      <c r="F38" s="3105" t="s">
        <v>2478</v>
      </c>
      <c r="G38" s="3105"/>
    </row>
    <row r="39" spans="1:7" ht="19.5" customHeight="1" thickBot="1">
      <c r="A39" s="3769"/>
      <c r="B39" s="3766"/>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0" t="s">
        <v>2613</v>
      </c>
      <c r="B41" s="3765" t="s">
        <v>2637</v>
      </c>
      <c r="C41" s="3102" t="s">
        <v>2482</v>
      </c>
      <c r="D41" s="3103"/>
      <c r="E41" s="3104">
        <v>1</v>
      </c>
      <c r="F41" s="3105" t="s">
        <v>2483</v>
      </c>
      <c r="G41" s="3105"/>
    </row>
    <row r="42" spans="1:7" ht="19.5" customHeight="1">
      <c r="A42" s="3771"/>
      <c r="B42" s="3764"/>
      <c r="C42" s="3106" t="s">
        <v>2484</v>
      </c>
      <c r="D42" s="3107"/>
      <c r="E42" s="3108">
        <v>1</v>
      </c>
      <c r="F42" s="3105" t="s">
        <v>2485</v>
      </c>
      <c r="G42" s="3105"/>
    </row>
    <row r="43" spans="1:7" ht="19.5" customHeight="1">
      <c r="A43" s="3771"/>
      <c r="B43" s="3763"/>
      <c r="C43" s="3106" t="s">
        <v>2486</v>
      </c>
      <c r="D43" s="3107"/>
      <c r="E43" s="3108">
        <v>1.5</v>
      </c>
      <c r="F43" s="3105" t="s">
        <v>2487</v>
      </c>
      <c r="G43" s="3105"/>
    </row>
    <row r="44" spans="1:7" ht="19.5" customHeight="1">
      <c r="A44" s="3771"/>
      <c r="B44" s="3117" t="s">
        <v>2638</v>
      </c>
      <c r="C44" s="3106" t="s">
        <v>2639</v>
      </c>
      <c r="D44" s="3107"/>
      <c r="E44" s="3108">
        <v>2</v>
      </c>
      <c r="F44" s="3105" t="s">
        <v>2488</v>
      </c>
      <c r="G44" s="3105"/>
    </row>
    <row r="45" spans="1:7" ht="19.5" customHeight="1">
      <c r="A45" s="3771"/>
      <c r="B45" s="3762" t="s">
        <v>2640</v>
      </c>
      <c r="C45" s="3106" t="s">
        <v>2489</v>
      </c>
      <c r="D45" s="3107"/>
      <c r="E45" s="3108">
        <v>1</v>
      </c>
      <c r="F45" s="3105" t="s">
        <v>2490</v>
      </c>
      <c r="G45" s="3105"/>
    </row>
    <row r="46" spans="1:7" ht="19.5" customHeight="1">
      <c r="A46" s="3771"/>
      <c r="B46" s="3764"/>
      <c r="C46" s="3106" t="s">
        <v>2491</v>
      </c>
      <c r="D46" s="3107"/>
      <c r="E46" s="3108">
        <v>1</v>
      </c>
      <c r="F46" s="3105" t="s">
        <v>2492</v>
      </c>
      <c r="G46" s="3105"/>
    </row>
    <row r="47" spans="1:7" ht="19.5" customHeight="1">
      <c r="A47" s="3771"/>
      <c r="B47" s="3764"/>
      <c r="C47" s="3106" t="s">
        <v>2493</v>
      </c>
      <c r="D47" s="3107"/>
      <c r="E47" s="3108">
        <v>1</v>
      </c>
      <c r="F47" s="3105" t="s">
        <v>2494</v>
      </c>
      <c r="G47" s="3105"/>
    </row>
    <row r="48" spans="1:7" ht="19.5" customHeight="1">
      <c r="A48" s="3771"/>
      <c r="B48" s="3764"/>
      <c r="C48" s="3106" t="s">
        <v>2495</v>
      </c>
      <c r="D48" s="3107"/>
      <c r="E48" s="3108">
        <v>1</v>
      </c>
      <c r="F48" s="3105" t="s">
        <v>2496</v>
      </c>
      <c r="G48" s="3105"/>
    </row>
    <row r="49" spans="1:7" ht="19.5" customHeight="1">
      <c r="A49" s="3771"/>
      <c r="B49" s="3764"/>
      <c r="C49" s="3106" t="s">
        <v>2497</v>
      </c>
      <c r="D49" s="3107"/>
      <c r="E49" s="3108">
        <v>1</v>
      </c>
      <c r="F49" s="3105" t="s">
        <v>2498</v>
      </c>
      <c r="G49" s="3105"/>
    </row>
    <row r="50" spans="1:7" ht="19.5" customHeight="1">
      <c r="A50" s="3771"/>
      <c r="B50" s="3764"/>
      <c r="C50" s="3106" t="s">
        <v>2499</v>
      </c>
      <c r="D50" s="3107"/>
      <c r="E50" s="3108">
        <v>1</v>
      </c>
      <c r="F50" s="3105" t="s">
        <v>2500</v>
      </c>
      <c r="G50" s="3105"/>
    </row>
    <row r="51" spans="1:7" ht="19.5" customHeight="1" thickBot="1">
      <c r="A51" s="3772"/>
      <c r="B51" s="3766"/>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2" t="s">
        <v>2654</v>
      </c>
      <c r="C73" s="3091" t="s">
        <v>2655</v>
      </c>
      <c r="D73" s="3091" t="s">
        <v>2656</v>
      </c>
      <c r="E73" s="3117">
        <v>0.2</v>
      </c>
      <c r="F73" s="3117">
        <v>25</v>
      </c>
    </row>
    <row r="74" spans="1:7" ht="24">
      <c r="A74" s="3117">
        <v>2</v>
      </c>
      <c r="B74" s="3764"/>
      <c r="C74" s="3091" t="s">
        <v>2657</v>
      </c>
      <c r="D74" s="3091" t="s">
        <v>2658</v>
      </c>
      <c r="E74" s="3117">
        <v>0.2</v>
      </c>
      <c r="F74" s="3117">
        <v>25</v>
      </c>
    </row>
    <row r="75" spans="1:7" ht="24">
      <c r="A75" s="3117">
        <v>3</v>
      </c>
      <c r="B75" s="3764"/>
      <c r="C75" s="3091" t="s">
        <v>2659</v>
      </c>
      <c r="D75" s="3091" t="s">
        <v>2660</v>
      </c>
      <c r="E75" s="3117">
        <v>0.2</v>
      </c>
      <c r="F75" s="3117">
        <v>25</v>
      </c>
    </row>
    <row r="76" spans="1:7" ht="13.5">
      <c r="A76" s="3117">
        <v>4</v>
      </c>
      <c r="B76" s="3764"/>
      <c r="C76" s="3091" t="s">
        <v>2661</v>
      </c>
      <c r="D76" s="3091" t="s">
        <v>2662</v>
      </c>
      <c r="E76" s="3117">
        <v>0.15</v>
      </c>
      <c r="F76" s="3117">
        <v>20</v>
      </c>
    </row>
    <row r="77" spans="1:7" ht="24">
      <c r="A77" s="3117">
        <v>5</v>
      </c>
      <c r="B77" s="3764"/>
      <c r="C77" s="3091" t="s">
        <v>2663</v>
      </c>
      <c r="D77" s="3091" t="s">
        <v>2664</v>
      </c>
      <c r="E77" s="3117">
        <v>0.15</v>
      </c>
      <c r="F77" s="3117">
        <v>20</v>
      </c>
    </row>
    <row r="78" spans="1:7" ht="24">
      <c r="A78" s="3117">
        <v>6</v>
      </c>
      <c r="B78" s="3764"/>
      <c r="C78" s="3091" t="s">
        <v>2665</v>
      </c>
      <c r="D78" s="3091" t="s">
        <v>2666</v>
      </c>
      <c r="E78" s="3117">
        <v>0.15</v>
      </c>
      <c r="F78" s="3117">
        <v>20</v>
      </c>
    </row>
    <row r="79" spans="1:7" ht="24">
      <c r="A79" s="3117">
        <v>7</v>
      </c>
      <c r="B79" s="3764"/>
      <c r="C79" s="3091" t="s">
        <v>2667</v>
      </c>
      <c r="D79" s="3091" t="s">
        <v>2668</v>
      </c>
      <c r="E79" s="3117">
        <v>0.15</v>
      </c>
      <c r="F79" s="3117">
        <v>20</v>
      </c>
    </row>
    <row r="80" spans="1:7" ht="24">
      <c r="A80" s="3117">
        <v>8</v>
      </c>
      <c r="B80" s="3764"/>
      <c r="C80" s="3091" t="s">
        <v>2669</v>
      </c>
      <c r="D80" s="3091" t="s">
        <v>2670</v>
      </c>
      <c r="E80" s="3117">
        <v>0.1</v>
      </c>
      <c r="F80" s="3117">
        <v>15</v>
      </c>
    </row>
    <row r="81" spans="1:6" ht="24">
      <c r="A81" s="3117">
        <v>9</v>
      </c>
      <c r="B81" s="3764"/>
      <c r="C81" s="3091" t="s">
        <v>2671</v>
      </c>
      <c r="D81" s="3091" t="s">
        <v>2672</v>
      </c>
      <c r="E81" s="3117">
        <v>0.1</v>
      </c>
      <c r="F81" s="3117">
        <v>15</v>
      </c>
    </row>
    <row r="82" spans="1:6" ht="24">
      <c r="A82" s="3117">
        <v>10</v>
      </c>
      <c r="B82" s="3764"/>
      <c r="C82" s="3091" t="s">
        <v>2673</v>
      </c>
      <c r="D82" s="3091" t="s">
        <v>2674</v>
      </c>
      <c r="E82" s="3117">
        <v>0.1</v>
      </c>
      <c r="F82" s="3117">
        <v>15</v>
      </c>
    </row>
    <row r="83" spans="1:6" ht="24">
      <c r="A83" s="3117">
        <v>11</v>
      </c>
      <c r="B83" s="3764"/>
      <c r="C83" s="3091" t="s">
        <v>2675</v>
      </c>
      <c r="D83" s="3091" t="s">
        <v>2676</v>
      </c>
      <c r="E83" s="3117">
        <v>0.1</v>
      </c>
      <c r="F83" s="3117">
        <v>15</v>
      </c>
    </row>
    <row r="84" spans="1:6" ht="24">
      <c r="A84" s="3117">
        <v>12</v>
      </c>
      <c r="B84" s="3764"/>
      <c r="C84" s="3091" t="s">
        <v>2677</v>
      </c>
      <c r="D84" s="3091" t="s">
        <v>2678</v>
      </c>
      <c r="E84" s="3117">
        <v>0.1</v>
      </c>
      <c r="F84" s="3117">
        <v>15</v>
      </c>
    </row>
    <row r="85" spans="1:6" ht="13.5">
      <c r="A85" s="3117">
        <v>13</v>
      </c>
      <c r="B85" s="3764"/>
      <c r="C85" s="3091" t="s">
        <v>2679</v>
      </c>
      <c r="D85" s="3091" t="s">
        <v>2680</v>
      </c>
      <c r="E85" s="3117">
        <v>0.1</v>
      </c>
      <c r="F85" s="3117">
        <v>15</v>
      </c>
    </row>
    <row r="86" spans="1:6" ht="13.5">
      <c r="A86" s="3117">
        <v>14</v>
      </c>
      <c r="B86" s="3764"/>
      <c r="C86" s="3091" t="s">
        <v>2681</v>
      </c>
      <c r="D86" s="3091" t="s">
        <v>2682</v>
      </c>
      <c r="E86" s="3117">
        <v>0.1</v>
      </c>
      <c r="F86" s="3117">
        <v>15</v>
      </c>
    </row>
    <row r="87" spans="1:6" ht="13.5">
      <c r="A87" s="3117">
        <v>15</v>
      </c>
      <c r="B87" s="3764"/>
      <c r="C87" s="3091" t="s">
        <v>2683</v>
      </c>
      <c r="D87" s="3091" t="s">
        <v>2684</v>
      </c>
      <c r="E87" s="3117">
        <v>0.1</v>
      </c>
      <c r="F87" s="3117">
        <v>15</v>
      </c>
    </row>
    <row r="88" spans="1:6" ht="24">
      <c r="A88" s="3117">
        <v>16</v>
      </c>
      <c r="B88" s="3764"/>
      <c r="C88" s="3091" t="s">
        <v>2685</v>
      </c>
      <c r="D88" s="3091" t="s">
        <v>2686</v>
      </c>
      <c r="E88" s="3117">
        <v>0.1</v>
      </c>
      <c r="F88" s="3117">
        <v>15</v>
      </c>
    </row>
    <row r="89" spans="1:6" ht="24">
      <c r="A89" s="3117">
        <v>17</v>
      </c>
      <c r="B89" s="3763"/>
      <c r="C89" s="3091" t="s">
        <v>2687</v>
      </c>
      <c r="D89" s="3091" t="s">
        <v>2688</v>
      </c>
      <c r="E89" s="3117">
        <v>0.1</v>
      </c>
      <c r="F89" s="3117">
        <v>15</v>
      </c>
    </row>
    <row r="90" spans="1:6" ht="13.5">
      <c r="A90" s="3117">
        <v>18</v>
      </c>
      <c r="B90" s="3762" t="s">
        <v>2689</v>
      </c>
      <c r="C90" s="3091" t="s">
        <v>2690</v>
      </c>
      <c r="D90" s="3091" t="s">
        <v>2691</v>
      </c>
      <c r="E90" s="3117">
        <v>0.2</v>
      </c>
      <c r="F90" s="3117">
        <v>25</v>
      </c>
    </row>
    <row r="91" spans="1:6" ht="24">
      <c r="A91" s="3117">
        <v>19</v>
      </c>
      <c r="B91" s="3764"/>
      <c r="C91" s="3091" t="s">
        <v>2692</v>
      </c>
      <c r="D91" s="3091" t="s">
        <v>2693</v>
      </c>
      <c r="E91" s="3117">
        <v>0.2</v>
      </c>
      <c r="F91" s="3117">
        <v>25</v>
      </c>
    </row>
    <row r="92" spans="1:6" ht="13.5">
      <c r="A92" s="3117">
        <v>20</v>
      </c>
      <c r="B92" s="3764"/>
      <c r="C92" s="3091" t="s">
        <v>2694</v>
      </c>
      <c r="D92" s="3091" t="s">
        <v>2695</v>
      </c>
      <c r="E92" s="3117">
        <v>0.15</v>
      </c>
      <c r="F92" s="3117">
        <v>20</v>
      </c>
    </row>
    <row r="93" spans="1:6" ht="13.5">
      <c r="A93" s="3117">
        <v>21</v>
      </c>
      <c r="B93" s="3764"/>
      <c r="C93" s="3091" t="s">
        <v>2696</v>
      </c>
      <c r="D93" s="3091" t="s">
        <v>2697</v>
      </c>
      <c r="E93" s="3117">
        <v>0.15</v>
      </c>
      <c r="F93" s="3117">
        <v>20</v>
      </c>
    </row>
    <row r="94" spans="1:6" ht="13.5">
      <c r="A94" s="3117">
        <v>22</v>
      </c>
      <c r="B94" s="3764"/>
      <c r="C94" s="3091" t="s">
        <v>2698</v>
      </c>
      <c r="D94" s="3091" t="s">
        <v>2699</v>
      </c>
      <c r="E94" s="3117">
        <v>0.15</v>
      </c>
      <c r="F94" s="3117">
        <v>20</v>
      </c>
    </row>
    <row r="95" spans="1:6" ht="36">
      <c r="A95" s="3117">
        <v>23</v>
      </c>
      <c r="B95" s="3764"/>
      <c r="C95" s="3091" t="s">
        <v>2700</v>
      </c>
      <c r="D95" s="3091" t="s">
        <v>2701</v>
      </c>
      <c r="E95" s="3117">
        <v>0.15</v>
      </c>
      <c r="F95" s="3117">
        <v>20</v>
      </c>
    </row>
    <row r="96" spans="1:6" ht="13.5">
      <c r="A96" s="3117">
        <v>24</v>
      </c>
      <c r="B96" s="3764"/>
      <c r="C96" s="3091" t="s">
        <v>2702</v>
      </c>
      <c r="D96" s="3091" t="s">
        <v>2703</v>
      </c>
      <c r="E96" s="3117">
        <v>0.1</v>
      </c>
      <c r="F96" s="3117">
        <v>15</v>
      </c>
    </row>
    <row r="97" spans="1:6" ht="13.5">
      <c r="A97" s="3117">
        <v>25</v>
      </c>
      <c r="B97" s="3764"/>
      <c r="C97" s="3091" t="s">
        <v>2704</v>
      </c>
      <c r="D97" s="3091" t="s">
        <v>2705</v>
      </c>
      <c r="E97" s="3117">
        <v>0.1</v>
      </c>
      <c r="F97" s="3117">
        <v>15</v>
      </c>
    </row>
    <row r="98" spans="1:6" ht="24">
      <c r="A98" s="3117">
        <v>26</v>
      </c>
      <c r="B98" s="3764"/>
      <c r="C98" s="3091" t="s">
        <v>2706</v>
      </c>
      <c r="D98" s="3091" t="s">
        <v>2707</v>
      </c>
      <c r="E98" s="3117">
        <v>0.1</v>
      </c>
      <c r="F98" s="3117">
        <v>15</v>
      </c>
    </row>
    <row r="99" spans="1:6" ht="24">
      <c r="A99" s="3117">
        <v>27</v>
      </c>
      <c r="B99" s="3764"/>
      <c r="C99" s="3091" t="s">
        <v>2708</v>
      </c>
      <c r="D99" s="3091" t="s">
        <v>2709</v>
      </c>
      <c r="E99" s="3117">
        <v>0.1</v>
      </c>
      <c r="F99" s="3117">
        <v>15</v>
      </c>
    </row>
    <row r="100" spans="1:6" ht="13.5">
      <c r="A100" s="3117">
        <v>28</v>
      </c>
      <c r="B100" s="3764"/>
      <c r="C100" s="3091" t="s">
        <v>2710</v>
      </c>
      <c r="D100" s="3091" t="s">
        <v>2711</v>
      </c>
      <c r="E100" s="3117">
        <v>0.1</v>
      </c>
      <c r="F100" s="3117">
        <v>15</v>
      </c>
    </row>
    <row r="101" spans="1:6" ht="13.5">
      <c r="A101" s="3117">
        <v>29</v>
      </c>
      <c r="B101" s="3764"/>
      <c r="C101" s="3091" t="s">
        <v>2712</v>
      </c>
      <c r="D101" s="3091" t="s">
        <v>2713</v>
      </c>
      <c r="E101" s="3117">
        <v>0.1</v>
      </c>
      <c r="F101" s="3117">
        <v>15</v>
      </c>
    </row>
    <row r="102" spans="1:6" ht="13.5">
      <c r="A102" s="3117">
        <v>30</v>
      </c>
      <c r="B102" s="3764"/>
      <c r="C102" s="3091" t="s">
        <v>2714</v>
      </c>
      <c r="D102" s="3091" t="s">
        <v>2715</v>
      </c>
      <c r="E102" s="3117">
        <v>0.1</v>
      </c>
      <c r="F102" s="3117">
        <v>15</v>
      </c>
    </row>
    <row r="103" spans="1:6" ht="24">
      <c r="A103" s="3117">
        <v>31</v>
      </c>
      <c r="B103" s="3764"/>
      <c r="C103" s="3091" t="s">
        <v>2716</v>
      </c>
      <c r="D103" s="3091" t="s">
        <v>2717</v>
      </c>
      <c r="E103" s="3117">
        <v>0.1</v>
      </c>
      <c r="F103" s="3117">
        <v>15</v>
      </c>
    </row>
    <row r="104" spans="1:6" ht="24">
      <c r="A104" s="3117">
        <v>32</v>
      </c>
      <c r="B104" s="3764"/>
      <c r="C104" s="3091" t="s">
        <v>2718</v>
      </c>
      <c r="D104" s="3091" t="s">
        <v>2719</v>
      </c>
      <c r="E104" s="3117">
        <v>0.1</v>
      </c>
      <c r="F104" s="3117">
        <v>15</v>
      </c>
    </row>
    <row r="105" spans="1:6" ht="24">
      <c r="A105" s="3117">
        <v>33</v>
      </c>
      <c r="B105" s="3764"/>
      <c r="C105" s="3091" t="s">
        <v>2720</v>
      </c>
      <c r="D105" s="3091" t="s">
        <v>2721</v>
      </c>
      <c r="E105" s="3117">
        <v>0.1</v>
      </c>
      <c r="F105" s="3117">
        <v>15</v>
      </c>
    </row>
    <row r="106" spans="1:6" ht="24">
      <c r="A106" s="3117">
        <v>34</v>
      </c>
      <c r="B106" s="3763"/>
      <c r="C106" s="3091" t="s">
        <v>2722</v>
      </c>
      <c r="D106" s="3091" t="s">
        <v>2723</v>
      </c>
      <c r="E106" s="3117">
        <v>0.1</v>
      </c>
      <c r="F106" s="3117">
        <v>15</v>
      </c>
    </row>
    <row r="107" spans="1:6" ht="24">
      <c r="A107" s="3117">
        <v>35</v>
      </c>
      <c r="B107" s="3762" t="s">
        <v>2724</v>
      </c>
      <c r="C107" s="3117" t="s">
        <v>2725</v>
      </c>
      <c r="D107" s="3091" t="s">
        <v>2726</v>
      </c>
      <c r="E107" s="3117">
        <v>0.15</v>
      </c>
      <c r="F107" s="3117">
        <v>20</v>
      </c>
    </row>
    <row r="108" spans="1:6" ht="13.5">
      <c r="A108" s="3117">
        <v>36</v>
      </c>
      <c r="B108" s="3764"/>
      <c r="C108" s="3117" t="s">
        <v>2727</v>
      </c>
      <c r="D108" s="3091" t="s">
        <v>2728</v>
      </c>
      <c r="E108" s="3117">
        <v>0.15</v>
      </c>
      <c r="F108" s="3117">
        <v>20</v>
      </c>
    </row>
    <row r="109" spans="1:6" ht="13.5">
      <c r="A109" s="3117">
        <v>37</v>
      </c>
      <c r="B109" s="3764"/>
      <c r="C109" s="3117" t="s">
        <v>2729</v>
      </c>
      <c r="D109" s="3091" t="s">
        <v>2730</v>
      </c>
      <c r="E109" s="3117">
        <v>0.15</v>
      </c>
      <c r="F109" s="3117">
        <v>20</v>
      </c>
    </row>
    <row r="110" spans="1:6" ht="13.5">
      <c r="A110" s="3117">
        <v>38</v>
      </c>
      <c r="B110" s="3764"/>
      <c r="C110" s="3117" t="s">
        <v>2731</v>
      </c>
      <c r="D110" s="3091" t="s">
        <v>2732</v>
      </c>
      <c r="E110" s="3117">
        <v>0.1</v>
      </c>
      <c r="F110" s="3117">
        <v>15</v>
      </c>
    </row>
    <row r="111" spans="1:6" ht="24">
      <c r="A111" s="3117">
        <v>39</v>
      </c>
      <c r="B111" s="3764"/>
      <c r="C111" s="3117" t="s">
        <v>2733</v>
      </c>
      <c r="D111" s="3091" t="s">
        <v>2734</v>
      </c>
      <c r="E111" s="3117">
        <v>0.1</v>
      </c>
      <c r="F111" s="3117">
        <v>15</v>
      </c>
    </row>
    <row r="112" spans="1:6" ht="24">
      <c r="A112" s="3117">
        <v>40</v>
      </c>
      <c r="B112" s="3763"/>
      <c r="C112" s="3117" t="s">
        <v>2735</v>
      </c>
      <c r="D112" s="3091" t="s">
        <v>2736</v>
      </c>
      <c r="E112" s="3117">
        <v>0.1</v>
      </c>
      <c r="F112" s="3117">
        <v>15</v>
      </c>
    </row>
    <row r="113" spans="1:6" ht="13.5">
      <c r="A113" s="3117">
        <v>41</v>
      </c>
      <c r="B113" s="3761" t="s">
        <v>2737</v>
      </c>
      <c r="C113" s="3117" t="s">
        <v>2738</v>
      </c>
      <c r="D113" s="3091" t="s">
        <v>2739</v>
      </c>
      <c r="E113" s="3117">
        <v>0.1</v>
      </c>
      <c r="F113" s="3117">
        <v>15</v>
      </c>
    </row>
    <row r="114" spans="1:6" ht="13.5">
      <c r="A114" s="3117">
        <v>42</v>
      </c>
      <c r="B114" s="3761"/>
      <c r="C114" s="3117" t="s">
        <v>2740</v>
      </c>
      <c r="D114" s="3091" t="s">
        <v>2741</v>
      </c>
      <c r="E114" s="3117">
        <v>0.1</v>
      </c>
      <c r="F114" s="3117">
        <v>15</v>
      </c>
    </row>
    <row r="115" spans="1:6" ht="24">
      <c r="A115" s="3117">
        <v>43</v>
      </c>
      <c r="B115" s="3761"/>
      <c r="C115" s="3117" t="s">
        <v>2742</v>
      </c>
      <c r="D115" s="3091" t="s">
        <v>2743</v>
      </c>
      <c r="E115" s="3117">
        <v>0.1</v>
      </c>
      <c r="F115" s="3117">
        <v>15</v>
      </c>
    </row>
    <row r="116" spans="1:6" ht="13.5">
      <c r="A116" s="3117">
        <v>44</v>
      </c>
      <c r="B116" s="3762" t="s">
        <v>2744</v>
      </c>
      <c r="C116" s="3117" t="s">
        <v>2745</v>
      </c>
      <c r="D116" s="3091" t="s">
        <v>2746</v>
      </c>
      <c r="E116" s="3117">
        <v>0.1</v>
      </c>
      <c r="F116" s="3117">
        <v>15</v>
      </c>
    </row>
    <row r="117" spans="1:6" ht="24">
      <c r="A117" s="3117">
        <v>45</v>
      </c>
      <c r="B117" s="3763"/>
      <c r="C117" s="3091" t="s">
        <v>2747</v>
      </c>
      <c r="D117" s="3091" t="s">
        <v>2748</v>
      </c>
      <c r="E117" s="3117">
        <v>0.1</v>
      </c>
      <c r="F117" s="3117">
        <v>15</v>
      </c>
    </row>
    <row r="118" spans="1:6" ht="24">
      <c r="A118" s="3117">
        <v>46</v>
      </c>
      <c r="B118" s="3762" t="s">
        <v>2749</v>
      </c>
      <c r="C118" s="3117" t="s">
        <v>2750</v>
      </c>
      <c r="D118" s="3091" t="s">
        <v>2751</v>
      </c>
      <c r="E118" s="3117">
        <v>0.1</v>
      </c>
      <c r="F118" s="3117">
        <v>15</v>
      </c>
    </row>
    <row r="119" spans="1:6" ht="24">
      <c r="A119" s="3117">
        <v>47</v>
      </c>
      <c r="B119" s="3763"/>
      <c r="C119" s="3117" t="s">
        <v>2752</v>
      </c>
      <c r="D119" s="3091" t="s">
        <v>2753</v>
      </c>
      <c r="E119" s="3117">
        <v>0.1</v>
      </c>
      <c r="F119" s="3117">
        <v>15</v>
      </c>
    </row>
    <row r="120" spans="1:6" ht="13.5">
      <c r="A120" s="3117">
        <v>48</v>
      </c>
      <c r="B120" s="3762" t="s">
        <v>2754</v>
      </c>
      <c r="C120" s="3117" t="s">
        <v>2755</v>
      </c>
      <c r="D120" s="3091" t="s">
        <v>2756</v>
      </c>
      <c r="E120" s="3117">
        <v>0.1</v>
      </c>
      <c r="F120" s="3117">
        <v>15</v>
      </c>
    </row>
    <row r="121" spans="1:6" ht="13.5">
      <c r="A121" s="3117">
        <v>49</v>
      </c>
      <c r="B121" s="3763"/>
      <c r="C121" s="3117" t="s">
        <v>2757</v>
      </c>
      <c r="D121" s="3091" t="s">
        <v>2758</v>
      </c>
      <c r="E121" s="3117">
        <v>0.1</v>
      </c>
      <c r="F121" s="3117">
        <v>15</v>
      </c>
    </row>
    <row r="122" spans="1:6" ht="24">
      <c r="A122" s="3117">
        <v>50</v>
      </c>
      <c r="B122" s="3761" t="s">
        <v>2759</v>
      </c>
      <c r="C122" s="3117" t="s">
        <v>2760</v>
      </c>
      <c r="D122" s="3091" t="s">
        <v>2761</v>
      </c>
      <c r="E122" s="3117">
        <v>0.1</v>
      </c>
      <c r="F122" s="3117">
        <v>15</v>
      </c>
    </row>
    <row r="123" spans="1:6" ht="24">
      <c r="A123" s="3117">
        <v>51</v>
      </c>
      <c r="B123" s="3761"/>
      <c r="C123" s="3117" t="s">
        <v>2762</v>
      </c>
      <c r="D123" s="3091" t="s">
        <v>2763</v>
      </c>
      <c r="E123" s="3117">
        <v>0.1</v>
      </c>
      <c r="F123" s="3117">
        <v>15</v>
      </c>
    </row>
    <row r="124" spans="1:6" ht="24">
      <c r="A124" s="3117">
        <v>52</v>
      </c>
      <c r="B124" s="3761" t="s">
        <v>2764</v>
      </c>
      <c r="C124" s="3117" t="s">
        <v>2765</v>
      </c>
      <c r="D124" s="3091" t="s">
        <v>2766</v>
      </c>
      <c r="E124" s="3117">
        <v>0.1</v>
      </c>
      <c r="F124" s="3117">
        <v>15</v>
      </c>
    </row>
    <row r="125" spans="1:6" ht="24">
      <c r="A125" s="3117">
        <v>53</v>
      </c>
      <c r="B125" s="3761"/>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1" t="s">
        <v>2772</v>
      </c>
      <c r="C127" s="3117" t="s">
        <v>2773</v>
      </c>
      <c r="D127" s="3091" t="s">
        <v>2774</v>
      </c>
      <c r="E127" s="3117">
        <v>0.1</v>
      </c>
      <c r="F127" s="3117">
        <v>15</v>
      </c>
    </row>
    <row r="128" spans="1:6" ht="13.5">
      <c r="A128" s="3117">
        <v>56</v>
      </c>
      <c r="B128" s="3761"/>
      <c r="C128" s="3117" t="s">
        <v>2775</v>
      </c>
      <c r="D128" s="3091" t="s">
        <v>2776</v>
      </c>
      <c r="E128" s="3117">
        <v>0.1</v>
      </c>
      <c r="F128" s="3117">
        <v>15</v>
      </c>
    </row>
    <row r="129" spans="1:6" ht="24">
      <c r="A129" s="3117">
        <v>57</v>
      </c>
      <c r="B129" s="3761"/>
      <c r="C129" s="3117" t="s">
        <v>2777</v>
      </c>
      <c r="D129" s="3091" t="s">
        <v>2778</v>
      </c>
      <c r="E129" s="3117">
        <v>0.1</v>
      </c>
      <c r="F129" s="3117">
        <v>15</v>
      </c>
    </row>
    <row r="130" spans="1:6" ht="24">
      <c r="A130" s="3117">
        <v>58</v>
      </c>
      <c r="B130" s="3761" t="s">
        <v>2779</v>
      </c>
      <c r="C130" s="3117" t="s">
        <v>2780</v>
      </c>
      <c r="D130" s="3091" t="s">
        <v>2781</v>
      </c>
      <c r="E130" s="3117">
        <v>0.1</v>
      </c>
      <c r="F130" s="3117">
        <v>15</v>
      </c>
    </row>
    <row r="131" spans="1:6" ht="13.5">
      <c r="A131" s="3117">
        <v>59</v>
      </c>
      <c r="B131" s="3761"/>
      <c r="C131" s="3117" t="s">
        <v>2782</v>
      </c>
      <c r="D131" s="3091" t="s">
        <v>2783</v>
      </c>
      <c r="E131" s="3117">
        <v>0.1</v>
      </c>
      <c r="F131" s="3117">
        <v>15</v>
      </c>
    </row>
    <row r="132" spans="1:6" ht="13.5">
      <c r="A132" s="3117">
        <v>60</v>
      </c>
      <c r="B132" s="3762" t="s">
        <v>2784</v>
      </c>
      <c r="C132" s="3117" t="s">
        <v>2785</v>
      </c>
      <c r="D132" s="3091" t="s">
        <v>2786</v>
      </c>
      <c r="E132" s="3117">
        <v>0.1</v>
      </c>
      <c r="F132" s="3117">
        <v>15</v>
      </c>
    </row>
    <row r="133" spans="1:6" ht="13.5">
      <c r="A133" s="3117">
        <v>61</v>
      </c>
      <c r="B133" s="3763"/>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1" t="s">
        <v>2792</v>
      </c>
      <c r="C135" s="3117" t="s">
        <v>2793</v>
      </c>
      <c r="D135" s="3091" t="s">
        <v>2794</v>
      </c>
      <c r="E135" s="3117">
        <v>0.1</v>
      </c>
      <c r="F135" s="3117">
        <v>15</v>
      </c>
    </row>
    <row r="136" spans="1:6" ht="13.5">
      <c r="A136" s="3117">
        <v>64</v>
      </c>
      <c r="B136" s="3761"/>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0.9103</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28219</v>
      </c>
      <c r="C2" s="2" t="s">
        <v>106</v>
      </c>
      <c r="D2" s="199"/>
      <c r="E2" s="199"/>
      <c r="F2" s="199"/>
      <c r="G2" s="199"/>
    </row>
    <row r="3" spans="1:7" s="200" customFormat="1" ht="18" customHeight="1" thickBot="1">
      <c r="A3" s="203" t="s">
        <v>58</v>
      </c>
      <c r="B3" s="204">
        <f ca="1">ROUND(B2*10000/'数据-汇总表'!E3,0)</f>
        <v>2702969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104.4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104.4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3">
        <f ca="1">ROUND(SUM(C23:C25),0)</f>
        <v>1504</v>
      </c>
      <c r="D22" s="235">
        <f ca="1">C26</f>
        <v>1.1000000000000001E-3</v>
      </c>
      <c r="E22" s="236" t="s">
        <v>99</v>
      </c>
      <c r="F22" s="237">
        <f ca="1">'数据-取费表'!B40</f>
        <v>3.5499999999999997E-2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1489</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1.1000000000000001E-3</v>
      </c>
      <c r="D26" s="238"/>
      <c r="E26" s="241"/>
      <c r="F26" s="239"/>
      <c r="G26" s="243"/>
    </row>
    <row r="27" spans="1:7" s="214" customFormat="1" ht="24.75">
      <c r="A27" s="777" t="s">
        <v>342</v>
      </c>
      <c r="B27" s="244" t="s">
        <v>85</v>
      </c>
      <c r="C27" s="245">
        <f>C28</f>
        <v>3154</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28159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47</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2</v>
      </c>
      <c r="D37" s="217">
        <f>'数据-汇总表'!E3</f>
        <v>104.4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1.1000000000000001E-3</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1.1000000000000001E-3</v>
      </c>
      <c r="D44" s="238"/>
      <c r="E44" s="238"/>
      <c r="F44" s="239"/>
      <c r="G44" s="3639"/>
    </row>
    <row r="45" spans="1:7" s="214" customFormat="1" ht="13.5" customHeight="1">
      <c r="A45" s="777" t="s">
        <v>341</v>
      </c>
      <c r="B45" s="244" t="s">
        <v>85</v>
      </c>
      <c r="C45" s="245">
        <f>C46</f>
        <v>8</v>
      </c>
      <c r="D45" s="235">
        <f>C47</f>
        <v>4.4999999999999997E-3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69</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60</v>
      </c>
      <c r="D51" s="232"/>
      <c r="E51" s="232"/>
      <c r="F51" s="264"/>
      <c r="G51" s="234" t="s">
        <v>37</v>
      </c>
    </row>
    <row r="52" spans="1:7" s="208" customFormat="1" ht="16.5" thickBot="1">
      <c r="A52" s="265" t="s">
        <v>38</v>
      </c>
      <c r="B52" s="266"/>
      <c r="C52" s="267">
        <f ca="1">C31+C51</f>
        <v>28219</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2"/>
      <c r="B4" s="3458" t="s">
        <v>917</v>
      </c>
      <c r="C4" s="3458"/>
      <c r="D4" s="3458"/>
      <c r="E4" s="1492"/>
    </row>
    <row r="5" spans="1:5" ht="16.5" thickTop="1">
      <c r="A5" s="1490"/>
      <c r="B5" s="3456" t="s">
        <v>909</v>
      </c>
      <c r="C5" s="1493" t="s">
        <v>910</v>
      </c>
      <c r="D5" s="850">
        <f ca="1">结果表!H101</f>
        <v>163</v>
      </c>
      <c r="E5" s="1490"/>
    </row>
    <row r="6" spans="1:5" ht="15.75">
      <c r="A6" s="1490"/>
      <c r="B6" s="3456"/>
      <c r="C6" s="1493" t="s">
        <v>911</v>
      </c>
      <c r="D6" s="850" t="str">
        <f ca="1">NUMBERSTRING(INT(D5*10000),2)&amp;"元整"</f>
        <v>壹佰陆拾叁万元整</v>
      </c>
      <c r="E6" s="1490"/>
    </row>
    <row r="7" spans="1:5" ht="15.75">
      <c r="A7" s="1490"/>
      <c r="B7" s="3461"/>
      <c r="C7" s="1494" t="s">
        <v>912</v>
      </c>
      <c r="D7" s="851">
        <f ca="1">结果表!H102</f>
        <v>15621</v>
      </c>
      <c r="E7" s="1490"/>
    </row>
    <row r="8" spans="1:5" ht="15.75">
      <c r="A8" s="1490"/>
      <c r="B8" s="3462" t="str">
        <f>结果表!E103</f>
        <v>2.估价师知悉的法定优先受偿款</v>
      </c>
      <c r="C8" s="1495" t="s">
        <v>913</v>
      </c>
      <c r="D8" s="851">
        <f>结果表!H103</f>
        <v>0</v>
      </c>
      <c r="E8" s="1490"/>
    </row>
    <row r="9" spans="1:5" ht="15.75">
      <c r="A9" s="1490"/>
      <c r="B9" s="3464"/>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55" t="str">
        <f>结果表!E107</f>
        <v>3.房地产抵押价值</v>
      </c>
      <c r="C13" s="1498" t="s">
        <v>910</v>
      </c>
      <c r="D13" s="853">
        <f ca="1">结果表!H107</f>
        <v>163</v>
      </c>
      <c r="E13" s="1490"/>
    </row>
    <row r="14" spans="1:5" ht="15.75">
      <c r="A14" s="1490"/>
      <c r="B14" s="3456"/>
      <c r="C14" s="1493" t="s">
        <v>911</v>
      </c>
      <c r="D14" s="850" t="str">
        <f ca="1">NUMBERSTRING(INT(D13*10000),2)&amp;"元整"</f>
        <v>壹佰陆拾叁万元整</v>
      </c>
      <c r="E14" s="1490"/>
    </row>
    <row r="15" spans="1:5" ht="15">
      <c r="A15" s="1490"/>
      <c r="B15" s="3461"/>
      <c r="C15" s="1494" t="s">
        <v>921</v>
      </c>
      <c r="D15" s="859">
        <f ca="1">结果表!H108</f>
        <v>15621</v>
      </c>
      <c r="E15" s="1490"/>
    </row>
    <row r="16" spans="1:5" ht="15">
      <c r="A16" s="1490"/>
      <c r="B16" s="3462" t="str">
        <f>结果表!E109</f>
        <v>——</v>
      </c>
      <c r="C16" s="1498" t="s">
        <v>922</v>
      </c>
      <c r="D16" s="1499" t="str">
        <f>结果表!H109</f>
        <v>——</v>
      </c>
      <c r="E16" s="1490"/>
    </row>
    <row r="17" spans="1:5" ht="15.75">
      <c r="A17" s="1490"/>
      <c r="B17" s="3463"/>
      <c r="C17" s="1493" t="s">
        <v>923</v>
      </c>
      <c r="D17" s="850" t="e">
        <f>NUMBERSTRING(INT(D16*10000),2)&amp;"元整"</f>
        <v>#VALUE!</v>
      </c>
      <c r="E17" s="1490"/>
    </row>
    <row r="18" spans="1:5" ht="15">
      <c r="A18" s="1490"/>
      <c r="B18" s="3464"/>
      <c r="C18" s="1494" t="s">
        <v>912</v>
      </c>
      <c r="D18" s="859" t="str">
        <f>结果表!H110</f>
        <v>——</v>
      </c>
      <c r="E18" s="1490"/>
    </row>
    <row r="19" spans="1:5" ht="15.75">
      <c r="A19" s="1490"/>
      <c r="B19" s="3455" t="str">
        <f>结果表!E111</f>
        <v>——</v>
      </c>
      <c r="C19" s="1498" t="s">
        <v>910</v>
      </c>
      <c r="D19" s="851" t="str">
        <f>结果表!H111</f>
        <v>——</v>
      </c>
      <c r="E19" s="1490"/>
    </row>
    <row r="20" spans="1:5" ht="15.75">
      <c r="A20" s="1490"/>
      <c r="B20" s="3456"/>
      <c r="C20" s="1493" t="s">
        <v>923</v>
      </c>
      <c r="D20" s="850" t="e">
        <f>NUMBERSTRING(INT(D19*10000),2)&amp;"元整"</f>
        <v>#VALUE!</v>
      </c>
      <c r="E20" s="1490"/>
    </row>
    <row r="21" spans="1:5" ht="15.75" thickBot="1">
      <c r="A21" s="1490"/>
      <c r="B21" s="3457"/>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5" t="s">
        <v>2844</v>
      </c>
      <c r="B1" s="3775"/>
      <c r="C1" s="3775"/>
      <c r="D1" s="3775"/>
      <c r="E1" s="3775"/>
      <c r="F1" s="3775"/>
      <c r="G1" s="3776"/>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73"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74"/>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7" t="s">
        <v>3186</v>
      </c>
      <c r="B1" s="3777"/>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778" t="s">
        <v>3237</v>
      </c>
      <c r="B1" s="3778"/>
      <c r="C1" s="3778"/>
      <c r="D1" s="3778"/>
      <c r="E1" s="3778"/>
      <c r="F1" s="3779"/>
    </row>
    <row r="2" spans="1:6" ht="15">
      <c r="A2" s="3290" t="s">
        <v>3238</v>
      </c>
      <c r="B2" s="3291"/>
      <c r="C2" s="3291"/>
      <c r="D2" s="3291"/>
      <c r="E2" s="3291"/>
      <c r="F2" s="3291"/>
    </row>
    <row r="3" spans="1:6" ht="15">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45108</v>
      </c>
      <c r="B1" s="3209" t="s">
        <v>2843</v>
      </c>
      <c r="C1" s="3210"/>
      <c r="D1" s="3210"/>
      <c r="E1" s="3210"/>
      <c r="F1" s="3210"/>
      <c r="G1" s="3210"/>
      <c r="H1" s="3210"/>
      <c r="I1" s="3210"/>
      <c r="J1" s="3164"/>
      <c r="K1" s="3210" t="s">
        <v>454</v>
      </c>
      <c r="L1" s="3210"/>
      <c r="M1" s="3210"/>
      <c r="N1" s="3210"/>
      <c r="O1" s="3210"/>
      <c r="P1" s="3210"/>
      <c r="Q1" s="3164"/>
      <c r="R1" s="3780" t="s">
        <v>456</v>
      </c>
      <c r="S1" s="3781"/>
      <c r="T1" s="3781"/>
      <c r="U1" s="3781"/>
      <c r="V1" s="3781"/>
      <c r="W1" s="3781"/>
      <c r="X1" s="3164"/>
      <c r="Y1" s="3780" t="s">
        <v>457</v>
      </c>
      <c r="Z1" s="3781"/>
      <c r="AA1" s="3781"/>
      <c r="AB1" s="3781"/>
      <c r="AC1" s="3781"/>
      <c r="AD1" s="3781"/>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3372</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3375</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3370</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80" t="s">
        <v>2831</v>
      </c>
      <c r="S21" s="3781"/>
      <c r="T21" s="3781"/>
      <c r="U21" s="3781"/>
      <c r="V21" s="3781"/>
      <c r="W21" s="3781"/>
      <c r="X21" s="3164"/>
      <c r="Y21" s="3780" t="s">
        <v>2832</v>
      </c>
      <c r="Z21" s="3781"/>
      <c r="AA21" s="3781"/>
      <c r="AB21" s="3781"/>
      <c r="AC21" s="3781"/>
      <c r="AD21" s="3781"/>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3372</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3375</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8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45108</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45097</v>
      </c>
      <c r="D13" s="2821">
        <v>3.55</v>
      </c>
      <c r="E13" s="2821">
        <f>D13</f>
        <v>3.55</v>
      </c>
      <c r="F13" s="2821">
        <f>D13</f>
        <v>3.55</v>
      </c>
      <c r="G13" s="2821">
        <f>D13</f>
        <v>3.55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44795</v>
      </c>
      <c r="D14" s="2816">
        <v>3.65</v>
      </c>
      <c r="E14" s="2816">
        <v>3.65</v>
      </c>
      <c r="F14" s="2816">
        <v>3.65</v>
      </c>
      <c r="G14" s="2816">
        <v>3.65</v>
      </c>
      <c r="H14" s="2816">
        <v>4.3</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44701</v>
      </c>
      <c r="D15" s="2816">
        <v>3.7</v>
      </c>
      <c r="E15" s="2816">
        <f>D15</f>
        <v>3.7</v>
      </c>
      <c r="F15" s="2816">
        <f>D15</f>
        <v>3.7</v>
      </c>
      <c r="G15" s="2816">
        <f>D15</f>
        <v>3.7</v>
      </c>
      <c r="H15" s="2816">
        <v>4.45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44581</v>
      </c>
      <c r="D16" s="2816">
        <v>3.7</v>
      </c>
      <c r="E16" s="2816">
        <f>D16</f>
        <v>3.7</v>
      </c>
      <c r="F16" s="2816">
        <f>D16</f>
        <v>3.7</v>
      </c>
      <c r="G16" s="2816">
        <f>D16</f>
        <v>3.7</v>
      </c>
      <c r="H16" s="2816">
        <v>4.5999999999999996</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44550</v>
      </c>
      <c r="D17" s="2816">
        <v>3.8</v>
      </c>
      <c r="E17" s="2816">
        <f>D17</f>
        <v>3.8</v>
      </c>
      <c r="F17" s="2816">
        <f>D17</f>
        <v>3.8</v>
      </c>
      <c r="G17" s="2816">
        <f>D17</f>
        <v>3.8</v>
      </c>
      <c r="H17" s="2816">
        <v>4.6500000000000004</v>
      </c>
      <c r="I17" s="2816"/>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43881</v>
      </c>
      <c r="D19" s="2816">
        <v>4.05</v>
      </c>
      <c r="E19" s="2816">
        <v>4.05</v>
      </c>
      <c r="F19" s="2816">
        <v>4.05</v>
      </c>
      <c r="G19" s="2816">
        <v>4.05</v>
      </c>
      <c r="H19" s="2816">
        <v>4.75</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43789</v>
      </c>
      <c r="D20" s="2816">
        <v>4.1500000000000004</v>
      </c>
      <c r="E20" s="2816">
        <v>4.1500000000000004</v>
      </c>
      <c r="F20" s="2816">
        <v>4.1500000000000004</v>
      </c>
      <c r="G20" s="2816">
        <v>4.1500000000000004</v>
      </c>
      <c r="H20" s="2816">
        <v>4.8</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43728</v>
      </c>
      <c r="D21" s="2816">
        <v>4.2</v>
      </c>
      <c r="E21" s="2816">
        <v>4.2</v>
      </c>
      <c r="F21" s="2816">
        <v>4.2</v>
      </c>
      <c r="G21" s="2816">
        <v>4.2</v>
      </c>
      <c r="H21" s="2816">
        <v>4.8499999999999996</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t="s">
        <v>2312</v>
      </c>
      <c r="C22" s="2818">
        <v>43697</v>
      </c>
      <c r="D22" s="2819">
        <v>4.25</v>
      </c>
      <c r="E22" s="2819">
        <v>4.25</v>
      </c>
      <c r="F22" s="2819">
        <v>4.25</v>
      </c>
      <c r="G22" s="2819">
        <v>4.25</v>
      </c>
      <c r="H22" s="2819">
        <v>4.8499999999999996</v>
      </c>
      <c r="I22" s="2819"/>
      <c r="J22" s="281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23"/>
      <c r="C23" s="2824">
        <v>42301</v>
      </c>
      <c r="D23" s="2825">
        <v>4.3499999999999996</v>
      </c>
      <c r="E23" s="2825">
        <v>4.3499999999999996</v>
      </c>
      <c r="F23" s="2825">
        <v>4.75</v>
      </c>
      <c r="G23" s="2825">
        <v>4.75</v>
      </c>
      <c r="H23" s="2825">
        <v>4.9000000000000004</v>
      </c>
      <c r="I23" s="2825"/>
      <c r="J23" s="282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G12"/>
  <sheetViews>
    <sheetView topLeftCell="C1" workbookViewId="0">
      <selection activeCell="H28" sqref="H28"/>
    </sheetView>
  </sheetViews>
  <sheetFormatPr defaultRowHeight="13.5"/>
  <cols>
    <col min="4" max="4" width="6.5" customWidth="1"/>
    <col min="6" max="6" width="11.875" customWidth="1"/>
    <col min="7" max="7" width="10.625" customWidth="1"/>
  </cols>
  <sheetData>
    <row r="6" spans="4:7">
      <c r="D6" s="3793" t="s">
        <v>3409</v>
      </c>
      <c r="E6" s="3793"/>
      <c r="F6" s="3793"/>
      <c r="G6" s="3793"/>
    </row>
    <row r="7" spans="4:7">
      <c r="D7" s="3453" t="s">
        <v>3405</v>
      </c>
      <c r="E7" s="3453" t="s">
        <v>3406</v>
      </c>
      <c r="F7" s="3453" t="s">
        <v>3407</v>
      </c>
      <c r="G7" s="3453" t="s">
        <v>3408</v>
      </c>
    </row>
    <row r="8" spans="4:7">
      <c r="D8" s="3453">
        <v>1107</v>
      </c>
      <c r="E8" s="3453">
        <f>典型户型修正!B24</f>
        <v>104.4</v>
      </c>
      <c r="F8" s="3453">
        <v>15600</v>
      </c>
      <c r="G8" s="3453">
        <f>ROUND(E8*F8/10000,4)</f>
        <v>162.864</v>
      </c>
    </row>
    <row r="9" spans="4:7">
      <c r="D9" s="3453">
        <v>1007</v>
      </c>
      <c r="E9" s="3453">
        <f>典型户型修正!B25</f>
        <v>104.4</v>
      </c>
      <c r="F9" s="3453">
        <v>15600</v>
      </c>
      <c r="G9" s="3453">
        <f t="shared" ref="G9:G11" si="0">ROUND(E9*F9/10000,4)</f>
        <v>162.864</v>
      </c>
    </row>
    <row r="10" spans="4:7">
      <c r="D10" s="3453">
        <v>401</v>
      </c>
      <c r="E10" s="3453">
        <f>典型户型修正!B26</f>
        <v>105.72</v>
      </c>
      <c r="F10" s="3453">
        <v>15300</v>
      </c>
      <c r="G10" s="3453">
        <f t="shared" si="0"/>
        <v>161.7516</v>
      </c>
    </row>
    <row r="11" spans="4:7">
      <c r="D11" s="3453">
        <v>301</v>
      </c>
      <c r="E11" s="3453">
        <f>典型户型修正!B27</f>
        <v>105.72</v>
      </c>
      <c r="F11" s="3453">
        <v>15300</v>
      </c>
      <c r="G11" s="3453">
        <f t="shared" si="0"/>
        <v>161.7516</v>
      </c>
    </row>
    <row r="12" spans="4:7">
      <c r="E12">
        <f>SUM(E8:E11)</f>
        <v>420.24</v>
      </c>
    </row>
  </sheetData>
  <mergeCells count="1">
    <mergeCell ref="D6:G6"/>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4" t="s">
        <v>925</v>
      </c>
      <c r="E3" s="854" t="s">
        <v>931</v>
      </c>
      <c r="F3" s="854" t="s">
        <v>925</v>
      </c>
      <c r="G3" s="854" t="s">
        <v>926</v>
      </c>
      <c r="H3" s="854" t="s">
        <v>925</v>
      </c>
      <c r="I3" s="854" t="s">
        <v>926</v>
      </c>
    </row>
    <row r="4" spans="1:9" ht="15">
      <c r="A4" s="1504" t="str">
        <f>项目基本情况!S2</f>
        <v>北京市房地产</v>
      </c>
      <c r="B4" s="854">
        <f>项目基本情况!C17</f>
        <v>104.4</v>
      </c>
      <c r="C4" s="854">
        <f>项目基本情况!C18</f>
        <v>0</v>
      </c>
      <c r="D4" s="854">
        <f>结果表!D118</f>
        <v>0</v>
      </c>
      <c r="E4" s="854">
        <f>结果表!E118</f>
        <v>0</v>
      </c>
      <c r="F4" s="854">
        <f>结果表!F118</f>
        <v>0</v>
      </c>
      <c r="G4" s="854">
        <f>结果表!G118</f>
        <v>0</v>
      </c>
      <c r="H4" s="854">
        <f ca="1">结果表!H118</f>
        <v>163</v>
      </c>
      <c r="I4" s="854">
        <f ca="1">结果表!I118</f>
        <v>15621</v>
      </c>
    </row>
    <row r="5" spans="1:9" ht="30" customHeight="1">
      <c r="A5" s="3468" t="s">
        <v>927</v>
      </c>
      <c r="B5" s="3468"/>
      <c r="C5" s="3468"/>
      <c r="D5" s="3468" t="str">
        <f>结果表!D119</f>
        <v>零元整</v>
      </c>
      <c r="E5" s="3468"/>
      <c r="F5" s="3468" t="str">
        <f>结果表!F119</f>
        <v>零元整</v>
      </c>
      <c r="G5" s="3468"/>
      <c r="H5" s="3468" t="str">
        <f ca="1">结果表!H119</f>
        <v>壹佰陆拾叁万元整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f ca="1">结果表!D122</f>
        <v>163</v>
      </c>
      <c r="E8" s="3467"/>
      <c r="F8" s="3467"/>
      <c r="G8" s="3467"/>
      <c r="H8" s="3467"/>
      <c r="I8" s="3467"/>
    </row>
    <row r="9" spans="1:9" ht="15">
      <c r="A9" s="3468" t="s">
        <v>927</v>
      </c>
      <c r="B9" s="3468"/>
      <c r="C9" s="3468"/>
      <c r="D9" s="3468" t="str">
        <f ca="1">结果表!D123</f>
        <v>壹佰陆拾叁万元整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0" t="s">
        <v>949</v>
      </c>
      <c r="B1" s="3480"/>
      <c r="C1" s="3480"/>
      <c r="D1" s="3480"/>
    </row>
    <row r="2" spans="1:4" ht="18">
      <c r="A2" s="3481" t="s">
        <v>933</v>
      </c>
      <c r="B2" s="3481"/>
      <c r="C2" s="3481"/>
      <c r="D2" s="348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1" t="s">
        <v>939</v>
      </c>
      <c r="B6" s="3481"/>
      <c r="C6" s="3481"/>
      <c r="D6" s="3481"/>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8" t="s">
        <v>956</v>
      </c>
      <c r="B15" s="3483" t="s">
        <v>109</v>
      </c>
      <c r="C15" s="3484"/>
    </row>
    <row r="16" spans="1:7" ht="13.5">
      <c r="A16" s="3489"/>
      <c r="B16" s="3483" t="s">
        <v>42</v>
      </c>
      <c r="C16" s="3484"/>
    </row>
    <row r="17" spans="1:3" ht="13.5">
      <c r="A17" s="3489"/>
      <c r="B17" s="3486" t="s">
        <v>957</v>
      </c>
      <c r="C17" s="1531" t="s">
        <v>956</v>
      </c>
    </row>
    <row r="18" spans="1:3" ht="13.5">
      <c r="A18" s="3489"/>
      <c r="B18" s="3486"/>
      <c r="C18" s="1531" t="s">
        <v>958</v>
      </c>
    </row>
    <row r="19" spans="1:3" ht="13.5">
      <c r="A19" s="3489"/>
      <c r="B19" s="3486"/>
      <c r="C19" s="1531" t="s">
        <v>959</v>
      </c>
    </row>
    <row r="20" spans="1:3" ht="13.5">
      <c r="A20" s="3490"/>
      <c r="B20" s="3485" t="s">
        <v>960</v>
      </c>
      <c r="C20" s="3484"/>
    </row>
    <row r="21" spans="1:3" ht="13.5">
      <c r="A21" s="1532" t="s">
        <v>961</v>
      </c>
      <c r="B21" s="1533"/>
      <c r="C21" s="1534"/>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1" t="s">
        <v>967</v>
      </c>
    </row>
    <row r="26" spans="1:3" ht="13.5">
      <c r="A26" s="3487"/>
      <c r="B26" s="3486"/>
      <c r="C26" s="1531" t="s">
        <v>968</v>
      </c>
    </row>
    <row r="27" spans="1:3" ht="13.5">
      <c r="A27" s="3487"/>
      <c r="B27" s="3486"/>
      <c r="C27" s="1531" t="s">
        <v>969</v>
      </c>
    </row>
    <row r="28" spans="1:3" ht="13.5">
      <c r="A28" s="3487"/>
      <c r="B28" s="3486"/>
      <c r="C28" s="1531" t="s">
        <v>970</v>
      </c>
    </row>
    <row r="29" spans="1:3" ht="13.5">
      <c r="A29" s="3487"/>
      <c r="B29" s="3486"/>
      <c r="C29" s="1531" t="s">
        <v>971</v>
      </c>
    </row>
    <row r="30" spans="1:3" ht="13.5">
      <c r="A30" s="3487"/>
      <c r="B30" s="3486"/>
      <c r="C30" s="1531" t="s">
        <v>972</v>
      </c>
    </row>
    <row r="31" spans="1:3" ht="13.5">
      <c r="A31" s="3487"/>
      <c r="B31" s="3486"/>
      <c r="C31" s="1531" t="s">
        <v>973</v>
      </c>
    </row>
    <row r="32" spans="1:3" ht="13.5">
      <c r="A32" s="3487"/>
      <c r="B32" s="3486"/>
      <c r="C32" s="1531" t="s">
        <v>974</v>
      </c>
    </row>
    <row r="33" spans="1:3" ht="13.5">
      <c r="A33" s="3487"/>
      <c r="B33" s="348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45110</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1" t="s">
        <v>2159</v>
      </c>
      <c r="B17" s="3491"/>
      <c r="C17" s="3491"/>
      <c r="D17" s="3491"/>
      <c r="E17" s="3491"/>
      <c r="F17" s="3491"/>
      <c r="G17" s="3491"/>
      <c r="H17" s="3491"/>
    </row>
    <row r="18" spans="1:8" ht="24" customHeight="1">
      <c r="A18" s="3492" t="s">
        <v>2160</v>
      </c>
      <c r="B18" s="3492"/>
      <c r="C18" s="3492"/>
      <c r="D18" s="2342"/>
      <c r="E18" s="3493" t="s">
        <v>2161</v>
      </c>
      <c r="F18" s="3492"/>
      <c r="G18" s="3492"/>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2023-07-03T05:36:23Z</dcterms:modified>
</cp:coreProperties>
</file>