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住宅" sheetId="21" r:id="rId23"/>
    <sheet name="收益法-住宅" sheetId="15" r:id="rId24"/>
    <sheet name="收益法 (元)" sheetId="67" state="hidden" r:id="rId25"/>
    <sheet name="收益法（汇总）" sheetId="70" state="hidden" r:id="rId26"/>
    <sheet name="酒店收入计算" sheetId="66" state="hidden" r:id="rId27"/>
    <sheet name="比较法-商业" sheetId="33" r:id="rId28"/>
    <sheet name="收益法-商业" sheetId="77"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扣减值" sheetId="79" r:id="rId47"/>
    <sheet name="现房案例" sheetId="80" r:id="rId48"/>
    <sheet name="商业案例"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8">'收益法-商业'!$A$1:$AK$69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6" i="33" l="1"/>
  <c r="G36" i="33"/>
  <c r="E36" i="33"/>
  <c r="E5" i="81"/>
  <c r="C5" i="81"/>
  <c r="E4" i="81"/>
  <c r="E6" i="81" s="1"/>
  <c r="C4" i="81"/>
  <c r="C6" i="81" s="1"/>
  <c r="G7" i="21"/>
  <c r="C36" i="33" l="1"/>
  <c r="C37" i="21"/>
  <c r="A120" i="78"/>
  <c r="H111" i="78"/>
  <c r="D126" i="78" s="1"/>
  <c r="D127" i="78" s="1"/>
  <c r="E111" i="78"/>
  <c r="A126" i="78" s="1"/>
  <c r="E109" i="78"/>
  <c r="A124" i="78" s="1"/>
  <c r="E107" i="78"/>
  <c r="A122" i="78" s="1"/>
  <c r="H106" i="78"/>
  <c r="H103" i="78" s="1"/>
  <c r="D120" i="78" s="1"/>
  <c r="H105" i="78"/>
  <c r="H104" i="78"/>
  <c r="D101" i="78"/>
  <c r="C101" i="78"/>
  <c r="C91" i="78"/>
  <c r="E90" i="78"/>
  <c r="D89" i="78"/>
  <c r="C89" i="78"/>
  <c r="C87" i="78" s="1"/>
  <c r="H77" i="78"/>
  <c r="D77" i="78"/>
  <c r="C76"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F33" i="78"/>
  <c r="D27" i="78"/>
  <c r="C25" i="78"/>
  <c r="C24" i="78"/>
  <c r="D17" i="78"/>
  <c r="C17" i="78"/>
  <c r="L4" i="78"/>
  <c r="K4" i="78"/>
  <c r="H1" i="78"/>
  <c r="Y7" i="1"/>
  <c r="Y6" i="1"/>
  <c r="N7" i="1"/>
  <c r="N6" i="1"/>
  <c r="F20" i="6"/>
  <c r="F19" i="6"/>
  <c r="C20" i="6"/>
  <c r="C19" i="6"/>
  <c r="Q72" i="77"/>
  <c r="Q59" i="77"/>
  <c r="K59" i="77"/>
  <c r="P74" i="77" s="1"/>
  <c r="Q58" i="77"/>
  <c r="Q51" i="77"/>
  <c r="J50" i="77"/>
  <c r="M47" i="77"/>
  <c r="D46" i="77"/>
  <c r="F33" i="77"/>
  <c r="F61" i="77" s="1"/>
  <c r="F23" i="77"/>
  <c r="F21" i="77"/>
  <c r="F20" i="77"/>
  <c r="M19" i="77"/>
  <c r="F18" i="77"/>
  <c r="F17" i="77"/>
  <c r="F15" i="77"/>
  <c r="D3" i="4"/>
  <c r="D34" i="78"/>
  <c r="D35" i="78"/>
  <c r="C18" i="78" l="1"/>
  <c r="D18" i="78" s="1"/>
  <c r="K120" i="78"/>
  <c r="D121" i="78"/>
  <c r="C92" i="78"/>
  <c r="C94" i="78"/>
  <c r="H109" i="78"/>
  <c r="H112" i="78"/>
  <c r="D23" i="77"/>
  <c r="D22" i="77"/>
  <c r="D24" i="77"/>
  <c r="P61" i="77"/>
  <c r="F24" i="12"/>
  <c r="D124" i="78" l="1"/>
  <c r="D125" i="78" s="1"/>
  <c r="H110" i="78"/>
  <c r="F7" i="69"/>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AB8" i="71" s="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Y8" i="71" s="1"/>
  <c r="Z8" i="71" s="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Y15" i="71"/>
  <c r="Z15" i="71"/>
  <c r="AB15" i="71"/>
  <c r="X16" i="71"/>
  <c r="AA16" i="71"/>
  <c r="X17" i="71"/>
  <c r="AA17" i="71"/>
  <c r="X18" i="71"/>
  <c r="AA18" i="71"/>
  <c r="C20" i="71"/>
  <c r="C21"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AA10" i="71" s="1"/>
  <c r="E41" i="71"/>
  <c r="E42" i="71" s="1"/>
  <c r="U42" i="71" s="1"/>
  <c r="E45" i="71"/>
  <c r="E46" i="71"/>
  <c r="U46" i="71" s="1"/>
  <c r="E49" i="71"/>
  <c r="E50" i="71" s="1"/>
  <c r="U50" i="71" s="1"/>
  <c r="U54" i="71"/>
  <c r="E53" i="71"/>
  <c r="Q14" i="71"/>
  <c r="AB11" i="71" s="1"/>
  <c r="C41" i="71"/>
  <c r="D40" i="71"/>
  <c r="C45" i="71"/>
  <c r="D44" i="71"/>
  <c r="C49" i="71"/>
  <c r="D48" i="71"/>
  <c r="N53" i="71"/>
  <c r="B52" i="71"/>
  <c r="T54" i="71"/>
  <c r="O54" i="71"/>
  <c r="D54" i="71"/>
  <c r="C53" i="71"/>
  <c r="Q54" i="71"/>
  <c r="C57" i="71"/>
  <c r="E57" i="71"/>
  <c r="E56" i="71" s="1"/>
  <c r="D58" i="71"/>
  <c r="C61" i="71"/>
  <c r="E61" i="71"/>
  <c r="E60" i="71" s="1"/>
  <c r="D62" i="71"/>
  <c r="C65" i="71"/>
  <c r="E65" i="71"/>
  <c r="E64" i="71" s="1"/>
  <c r="D66" i="71"/>
  <c r="C69" i="71"/>
  <c r="C73" i="71"/>
  <c r="T14" i="71"/>
  <c r="C13" i="71"/>
  <c r="S14" i="71"/>
  <c r="F14" i="71"/>
  <c r="F13" i="71" s="1"/>
  <c r="F12" i="71" s="1"/>
  <c r="AB12" i="71"/>
  <c r="AB14" i="71"/>
  <c r="E14" i="71"/>
  <c r="E13" i="71"/>
  <c r="E12" i="71" s="1"/>
  <c r="AA3" i="71"/>
  <c r="AA11" i="71"/>
  <c r="AA12" i="71"/>
  <c r="AA13" i="71"/>
  <c r="AA14" i="71"/>
  <c r="D14" i="71"/>
  <c r="U14" i="71"/>
  <c r="C52" i="71"/>
  <c r="O53" i="71"/>
  <c r="D53" i="71"/>
  <c r="C50" i="71"/>
  <c r="D50" i="71" s="1"/>
  <c r="D49" i="71"/>
  <c r="D69" i="71"/>
  <c r="C68" i="71"/>
  <c r="D68" i="71"/>
  <c r="D61" i="71"/>
  <c r="C60" i="71"/>
  <c r="D60" i="71" s="1"/>
  <c r="N51" i="71"/>
  <c r="N52" i="71"/>
  <c r="D73" i="71"/>
  <c r="C72" i="71"/>
  <c r="D72" i="71"/>
  <c r="D65" i="71"/>
  <c r="C64" i="71"/>
  <c r="D64" i="71" s="1"/>
  <c r="D57" i="71"/>
  <c r="C56" i="71"/>
  <c r="D56" i="71"/>
  <c r="C46" i="71"/>
  <c r="D45" i="71"/>
  <c r="C42" i="71"/>
  <c r="D41" i="71"/>
  <c r="P53" i="71"/>
  <c r="E52" i="71"/>
  <c r="P51" i="71" s="1"/>
  <c r="C38" i="71"/>
  <c r="D37" i="71"/>
  <c r="C26" i="71"/>
  <c r="D25" i="71"/>
  <c r="C18" i="71"/>
  <c r="D17" i="71"/>
  <c r="C12" i="71"/>
  <c r="D12" i="71"/>
  <c r="D13" i="71"/>
  <c r="V14" i="71"/>
  <c r="P52" i="71"/>
  <c r="O52" i="71"/>
  <c r="D52" i="71"/>
  <c r="O51" i="71"/>
  <c r="T18" i="71"/>
  <c r="D18" i="71"/>
  <c r="T26" i="71"/>
  <c r="D26" i="71"/>
  <c r="T38" i="71"/>
  <c r="D38" i="71"/>
  <c r="T42" i="71"/>
  <c r="D42" i="71"/>
  <c r="T46" i="71"/>
  <c r="D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G83" i="21" s="1"/>
  <c r="H1" i="69"/>
  <c r="AC25" i="40"/>
  <c r="W25" i="40"/>
  <c r="AB25" i="40"/>
  <c r="U25" i="40"/>
  <c r="AB29" i="39"/>
  <c r="U29" i="39"/>
  <c r="W29" i="39"/>
  <c r="W18" i="36"/>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J21" i="21"/>
  <c r="AC21" i="21" s="1"/>
  <c r="C40" i="69"/>
  <c r="F38" i="68"/>
  <c r="E37" i="68"/>
  <c r="F36" i="68"/>
  <c r="F35" i="68"/>
  <c r="F21" i="68"/>
  <c r="C21" i="68" s="1"/>
  <c r="F20" i="68"/>
  <c r="E10" i="68"/>
  <c r="E9" i="68"/>
  <c r="C7" i="68"/>
  <c r="C5" i="68" s="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G8" i="1" s="1"/>
  <c r="F9" i="1"/>
  <c r="F10" i="1"/>
  <c r="G10" i="1" s="1"/>
  <c r="F11" i="1"/>
  <c r="F12" i="1"/>
  <c r="G12" i="1" s="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J19" i="33"/>
  <c r="AC19" i="33" s="1"/>
  <c r="J15" i="33"/>
  <c r="AC15" i="33" s="1"/>
  <c r="F11" i="33"/>
  <c r="AA11" i="33" s="1"/>
  <c r="W40" i="33"/>
  <c r="U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AA14" i="37"/>
  <c r="AC13" i="36"/>
  <c r="W13" i="36"/>
  <c r="S11" i="36"/>
  <c r="W11" i="36"/>
  <c r="W11" i="35"/>
  <c r="AB46" i="34"/>
  <c r="AC30" i="34"/>
  <c r="AA14" i="34"/>
  <c r="S45" i="33"/>
  <c r="AB45" i="33"/>
  <c r="AB31"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c r="I107" i="37" s="1"/>
  <c r="J107" i="37"/>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4"/>
  <c r="C59" i="34" s="1"/>
  <c r="D59" i="34" s="1"/>
  <c r="E59" i="34" s="1"/>
  <c r="F59" i="34" s="1"/>
  <c r="G59" i="34" s="1"/>
  <c r="H59" i="34" s="1"/>
  <c r="I59" i="34" s="1"/>
  <c r="J59" i="34" s="1"/>
  <c r="W35" i="40"/>
  <c r="A118" i="9"/>
  <c r="A4" i="52"/>
  <c r="B41" i="72" s="1"/>
  <c r="J11" i="39"/>
  <c r="W11" i="39" s="1"/>
  <c r="F11" i="39"/>
  <c r="AA11" i="39" s="1"/>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c r="M6" i="43"/>
  <c r="M11" i="43"/>
  <c r="D17" i="43"/>
  <c r="F39" i="43"/>
  <c r="I17" i="43"/>
  <c r="F35" i="43"/>
  <c r="J17" i="43"/>
  <c r="F6" i="1"/>
  <c r="U17" i="39"/>
  <c r="S14" i="35"/>
  <c r="U35" i="21"/>
  <c r="AC35" i="21"/>
  <c r="U10" i="21"/>
  <c r="G9"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S10" i="1"/>
  <c r="AQ10" i="1" s="1"/>
  <c r="B10" i="1"/>
  <c r="E10" i="1" s="1"/>
  <c r="D1" i="66"/>
  <c r="E10" i="66" s="1"/>
  <c r="AZ80" i="3"/>
  <c r="AZ84" i="3"/>
  <c r="AZ88" i="3"/>
  <c r="AZ107" i="3"/>
  <c r="AZ111" i="3"/>
  <c r="K12" i="1"/>
  <c r="M12" i="1" s="1"/>
  <c r="O12" i="1" s="1"/>
  <c r="P12" i="1" s="1"/>
  <c r="S13" i="1"/>
  <c r="AR13" i="1" s="1"/>
  <c r="S11" i="1"/>
  <c r="AQ11" i="1" s="1"/>
  <c r="S9" i="1"/>
  <c r="AR9" i="1" s="1"/>
  <c r="J51" i="67"/>
  <c r="C42" i="1"/>
  <c r="C31" i="12" s="1"/>
  <c r="H100" i="43"/>
  <c r="C30" i="66"/>
  <c r="E26" i="66"/>
  <c r="B41" i="1"/>
  <c r="S22" i="31"/>
  <c r="R22" i="31"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29" i="33"/>
  <c r="AB29" i="33"/>
  <c r="W38" i="33"/>
  <c r="H41" i="33"/>
  <c r="U41" i="33" s="1"/>
  <c r="F121" i="33"/>
  <c r="G121" i="33"/>
  <c r="H121" i="33" s="1"/>
  <c r="I121" i="33" s="1"/>
  <c r="J121" i="33" s="1"/>
  <c r="K121" i="33" s="1"/>
  <c r="L121" i="33" s="1"/>
  <c r="M121" i="33" s="1"/>
  <c r="U42" i="33"/>
  <c r="F36" i="33"/>
  <c r="G111" i="33"/>
  <c r="G108" i="33"/>
  <c r="H108" i="33"/>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U27" i="33" s="1"/>
  <c r="F87" i="33"/>
  <c r="H25" i="33"/>
  <c r="U25" i="33" s="1"/>
  <c r="F25" i="33"/>
  <c r="AA25" i="33" s="1"/>
  <c r="J23" i="33"/>
  <c r="AC23" i="33" s="1"/>
  <c r="F85" i="33"/>
  <c r="G85" i="33" s="1"/>
  <c r="H23" i="33"/>
  <c r="AB23" i="33" s="1"/>
  <c r="F81" i="33"/>
  <c r="F19" i="33"/>
  <c r="S19" i="33" s="1"/>
  <c r="F79" i="33"/>
  <c r="G79" i="33" s="1"/>
  <c r="S15" i="33"/>
  <c r="W15" i="33"/>
  <c r="U9" i="33"/>
  <c r="J10" i="33"/>
  <c r="W10" i="33" s="1"/>
  <c r="H10" i="33"/>
  <c r="AB10" i="33" s="1"/>
  <c r="AC11" i="33"/>
  <c r="AB14" i="33"/>
  <c r="W36" i="21"/>
  <c r="W41" i="21"/>
  <c r="AA36" i="21"/>
  <c r="AC40" i="21"/>
  <c r="J15" i="21"/>
  <c r="W15" i="21" s="1"/>
  <c r="F23" i="21"/>
  <c r="S23" i="21" s="1"/>
  <c r="E85" i="21"/>
  <c r="AC11" i="21"/>
  <c r="AA14" i="21"/>
  <c r="AB8" i="21"/>
  <c r="S8" i="21"/>
  <c r="M3" i="43"/>
  <c r="N10" i="43"/>
  <c r="M1" i="43"/>
  <c r="M8" i="43"/>
  <c r="N8" i="43"/>
  <c r="N9" i="43"/>
  <c r="D120" i="9"/>
  <c r="F34" i="67"/>
  <c r="F62" i="67" s="1"/>
  <c r="M20" i="67"/>
  <c r="F34" i="15"/>
  <c r="F62" i="15" s="1"/>
  <c r="G13" i="3"/>
  <c r="G5" i="3" s="1"/>
  <c r="B3" i="3" s="1"/>
  <c r="BA13" i="3"/>
  <c r="AZ13" i="3" s="1"/>
  <c r="E10" i="6"/>
  <c r="BA5" i="3"/>
  <c r="E11" i="6"/>
  <c r="E61" i="39" s="1"/>
  <c r="BL17" i="3"/>
  <c r="AZ17" i="3" s="1"/>
  <c r="BL13" i="3"/>
  <c r="BL5" i="3" s="1"/>
  <c r="E65" i="39"/>
  <c r="J56" i="9"/>
  <c r="J57" i="9" s="1"/>
  <c r="J59" i="9" s="1"/>
  <c r="J61" i="9" s="1"/>
  <c r="A24" i="51"/>
  <c r="B18" i="72" s="1"/>
  <c r="U29" i="34"/>
  <c r="E14" i="6"/>
  <c r="E64" i="39" s="1"/>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5"/>
  <c r="C7" i="40"/>
  <c r="C63" i="40" s="1"/>
  <c r="D63" i="40" s="1"/>
  <c r="E63" i="40" s="1"/>
  <c r="E65" i="40" s="1"/>
  <c r="G19" i="43"/>
  <c r="T35" i="4"/>
  <c r="A19" i="51" s="1"/>
  <c r="B14" i="72"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W39" i="21"/>
  <c r="AC14" i="21"/>
  <c r="W30" i="21"/>
  <c r="S46" i="21"/>
  <c r="H45" i="21"/>
  <c r="U45" i="21" s="1"/>
  <c r="F29" i="21"/>
  <c r="S29" i="21" s="1"/>
  <c r="F13" i="21"/>
  <c r="AA13" i="21" s="1"/>
  <c r="AC38" i="21"/>
  <c r="H32" i="21"/>
  <c r="AB32" i="21" s="1"/>
  <c r="H9" i="21"/>
  <c r="U9" i="21" s="1"/>
  <c r="J9" i="21"/>
  <c r="J32" i="21"/>
  <c r="AC32" i="21" s="1"/>
  <c r="F32" i="21"/>
  <c r="AA32" i="21" s="1"/>
  <c r="AA31" i="21"/>
  <c r="U17" i="21"/>
  <c r="S19" i="21"/>
  <c r="S9" i="21"/>
  <c r="AA9" i="21"/>
  <c r="K141" i="21"/>
  <c r="K144" i="21"/>
  <c r="K143" i="21"/>
  <c r="U27" i="21"/>
  <c r="AB44" i="21"/>
  <c r="AA30" i="21"/>
  <c r="W13" i="21"/>
  <c r="W42" i="21"/>
  <c r="AC45" i="21"/>
  <c r="F10" i="21"/>
  <c r="S10" i="21" s="1"/>
  <c r="K145" i="21"/>
  <c r="W25" i="21"/>
  <c r="AA29" i="21"/>
  <c r="W31" i="21"/>
  <c r="S1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M6" i="1"/>
  <c r="O6" i="1" s="1"/>
  <c r="P6" i="1" s="1"/>
  <c r="F30" i="68"/>
  <c r="F30" i="11"/>
  <c r="C48" i="11" s="1"/>
  <c r="F28" i="67"/>
  <c r="F31" i="12"/>
  <c r="F32" i="67"/>
  <c r="F60" i="67" s="1"/>
  <c r="F30" i="69"/>
  <c r="F32" i="15"/>
  <c r="F60" i="15" s="1"/>
  <c r="M18" i="15"/>
  <c r="E63" i="39"/>
  <c r="T13" i="1"/>
  <c r="C77" i="9"/>
  <c r="C74" i="9" s="1"/>
  <c r="AA39" i="40"/>
  <c r="S39" i="40"/>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W35" i="33"/>
  <c r="H111" i="33"/>
  <c r="I111" i="33" s="1"/>
  <c r="J111" i="33" s="1"/>
  <c r="K111" i="33" s="1"/>
  <c r="L111" i="33" s="1"/>
  <c r="M111" i="33" s="1"/>
  <c r="J36" i="33"/>
  <c r="AC36" i="33" s="1"/>
  <c r="H36" i="33"/>
  <c r="U36" i="33" s="1"/>
  <c r="S36" i="33"/>
  <c r="AA36" i="33"/>
  <c r="J27" i="33"/>
  <c r="W27" i="33" s="1"/>
  <c r="AB25" i="33"/>
  <c r="G87" i="33"/>
  <c r="H87" i="33" s="1"/>
  <c r="I87" i="33" s="1"/>
  <c r="J87" i="33" s="1"/>
  <c r="K87" i="33" s="1"/>
  <c r="L87" i="33" s="1"/>
  <c r="M87" i="33" s="1"/>
  <c r="J25" i="33"/>
  <c r="AC25" i="33" s="1"/>
  <c r="F23" i="33"/>
  <c r="AA23" i="33" s="1"/>
  <c r="W23" i="33"/>
  <c r="H19" i="33"/>
  <c r="U19" i="33" s="1"/>
  <c r="G81" i="33"/>
  <c r="H17" i="33"/>
  <c r="U17" i="33" s="1"/>
  <c r="J23" i="21"/>
  <c r="W23" i="21" s="1"/>
  <c r="F85" i="21"/>
  <c r="G85" i="21" s="1"/>
  <c r="H23" i="21"/>
  <c r="U23" i="21" s="1"/>
  <c r="D6" i="52"/>
  <c r="D121" i="9"/>
  <c r="D7" i="52"/>
  <c r="K120" i="9"/>
  <c r="B21" i="31"/>
  <c r="O19" i="43"/>
  <c r="F48" i="35"/>
  <c r="G48" i="35" s="1"/>
  <c r="H48" i="35" s="1"/>
  <c r="C65" i="40"/>
  <c r="B5" i="62"/>
  <c r="B73" i="72" s="1"/>
  <c r="AP7" i="1"/>
  <c r="AA33" i="21"/>
  <c r="W9" i="21"/>
  <c r="AC9" i="21"/>
  <c r="U32" i="21"/>
  <c r="A18" i="62"/>
  <c r="B64" i="72" s="1"/>
  <c r="U32" i="39"/>
  <c r="AB32" i="39"/>
  <c r="W32" i="39"/>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D65" i="40"/>
  <c r="F1" i="67"/>
  <c r="Q52" i="67"/>
  <c r="AC11" i="37"/>
  <c r="W11" i="37"/>
  <c r="AC11" i="34"/>
  <c r="C13" i="12"/>
  <c r="F34" i="11"/>
  <c r="F11" i="12"/>
  <c r="F34" i="68"/>
  <c r="F63" i="40"/>
  <c r="F65" i="40" s="1"/>
  <c r="AE8" i="1"/>
  <c r="AG6" i="1"/>
  <c r="H109" i="9"/>
  <c r="H110" i="9"/>
  <c r="D18" i="53" s="1"/>
  <c r="B35" i="72" s="1"/>
  <c r="D124" i="9"/>
  <c r="H14" i="74" s="1"/>
  <c r="B7" i="74" s="1"/>
  <c r="D16" i="53"/>
  <c r="B34" i="72" s="1"/>
  <c r="D17" i="53"/>
  <c r="B36" i="72" s="1"/>
  <c r="H112" i="9"/>
  <c r="D21" i="53" s="1"/>
  <c r="B39" i="72" s="1"/>
  <c r="H111" i="9"/>
  <c r="D126" i="9" s="1"/>
  <c r="D127" i="9" s="1"/>
  <c r="D13" i="52" s="1"/>
  <c r="D59" i="9"/>
  <c r="M55" i="9"/>
  <c r="I14" i="74"/>
  <c r="B8" i="74" s="1"/>
  <c r="D12" i="52"/>
  <c r="AD3" i="71"/>
  <c r="F42" i="15"/>
  <c r="D35" i="9"/>
  <c r="F8" i="15"/>
  <c r="M22" i="15"/>
  <c r="AO10" i="1"/>
  <c r="F26" i="15"/>
  <c r="M8" i="15"/>
  <c r="L48" i="67"/>
  <c r="F7" i="15"/>
  <c r="C76" i="67"/>
  <c r="E7" i="76"/>
  <c r="M23" i="15"/>
  <c r="F42" i="67"/>
  <c r="D2" i="36"/>
  <c r="F9" i="67"/>
  <c r="F43" i="15"/>
  <c r="D2" i="37"/>
  <c r="M29" i="67"/>
  <c r="F36" i="15"/>
  <c r="F40" i="15"/>
  <c r="M6" i="15"/>
  <c r="M28" i="15"/>
  <c r="F16" i="67"/>
  <c r="B8" i="76"/>
  <c r="E11" i="76"/>
  <c r="J15" i="15"/>
  <c r="M23" i="67"/>
  <c r="D34" i="9"/>
  <c r="M24" i="15"/>
  <c r="F9" i="15"/>
  <c r="J15" i="67"/>
  <c r="E9" i="76"/>
  <c r="F20" i="31"/>
  <c r="D3" i="73"/>
  <c r="E2" i="68"/>
  <c r="F26" i="67"/>
  <c r="F41" i="67"/>
  <c r="L48" i="15"/>
  <c r="F5" i="73"/>
  <c r="M9" i="15"/>
  <c r="F4" i="73"/>
  <c r="F37" i="15"/>
  <c r="M24" i="67"/>
  <c r="B12" i="76"/>
  <c r="L47" i="67"/>
  <c r="F6" i="73"/>
  <c r="B13" i="76"/>
  <c r="M27" i="67"/>
  <c r="D4" i="73"/>
  <c r="F6" i="15"/>
  <c r="D7" i="73"/>
  <c r="F13" i="67"/>
  <c r="M22" i="67"/>
  <c r="F6" i="67"/>
  <c r="D2" i="34"/>
  <c r="C76" i="15"/>
  <c r="AO8" i="1"/>
  <c r="E13" i="76"/>
  <c r="B9" i="76"/>
  <c r="F16" i="15"/>
  <c r="E8" i="76"/>
  <c r="F40" i="67"/>
  <c r="F37" i="67"/>
  <c r="B7" i="76"/>
  <c r="F7" i="67"/>
  <c r="M27" i="15"/>
  <c r="M29" i="15"/>
  <c r="F7" i="73"/>
  <c r="F38" i="67"/>
  <c r="F38" i="15"/>
  <c r="B11" i="76"/>
  <c r="F3" i="73"/>
  <c r="D6" i="73"/>
  <c r="D2" i="33"/>
  <c r="F13" i="15"/>
  <c r="AO11" i="1"/>
  <c r="AO13" i="1"/>
  <c r="F36" i="67"/>
  <c r="B10" i="76"/>
  <c r="M28" i="67"/>
  <c r="AO9" i="1"/>
  <c r="E12" i="76"/>
  <c r="M26" i="15"/>
  <c r="L47" i="15"/>
  <c r="E2" i="69"/>
  <c r="E10" i="76"/>
  <c r="M8" i="67"/>
  <c r="D2" i="21"/>
  <c r="F8" i="67"/>
  <c r="M9" i="67"/>
  <c r="M26" i="67"/>
  <c r="AO12" i="1"/>
  <c r="D5" i="73"/>
  <c r="M6" i="67"/>
  <c r="F43" i="67"/>
  <c r="D2" i="35"/>
  <c r="F17" i="33" l="1"/>
  <c r="S17" i="33" s="1"/>
  <c r="J17" i="33"/>
  <c r="U10" i="33"/>
  <c r="AB34" i="33"/>
  <c r="U40" i="33"/>
  <c r="AB36" i="33"/>
  <c r="S23" i="33"/>
  <c r="AB41" i="33"/>
  <c r="AC37" i="33"/>
  <c r="C18" i="9"/>
  <c r="D18" i="9" s="1"/>
  <c r="W32" i="21"/>
  <c r="AC33" i="21"/>
  <c r="U33" i="21"/>
  <c r="AB9" i="21"/>
  <c r="AB25" i="21"/>
  <c r="G63" i="40"/>
  <c r="C24" i="12"/>
  <c r="C48" i="69"/>
  <c r="C28" i="67"/>
  <c r="C30" i="68"/>
  <c r="M47" i="9"/>
  <c r="C7" i="21"/>
  <c r="C7" i="33"/>
  <c r="C7" i="39"/>
  <c r="C68" i="39" s="1"/>
  <c r="C70" i="39" s="1"/>
  <c r="C7" i="36"/>
  <c r="C46" i="36" s="1"/>
  <c r="D46" i="36" s="1"/>
  <c r="E46" i="36" s="1"/>
  <c r="F46" i="36" s="1"/>
  <c r="G46" i="36" s="1"/>
  <c r="H46" i="36" s="1"/>
  <c r="I46" i="36" s="1"/>
  <c r="J51" i="15"/>
  <c r="C77" i="78"/>
  <c r="C74" i="78"/>
  <c r="M47" i="78"/>
  <c r="J51" i="77"/>
  <c r="S27" i="21"/>
  <c r="AA38" i="21"/>
  <c r="AB38" i="21"/>
  <c r="U34" i="21"/>
  <c r="W27" i="21"/>
  <c r="AC27" i="21"/>
  <c r="C36" i="11"/>
  <c r="C36" i="68"/>
  <c r="A15" i="62"/>
  <c r="B61" i="72" s="1"/>
  <c r="C29" i="39"/>
  <c r="B66" i="43"/>
  <c r="C21" i="39"/>
  <c r="D68" i="78"/>
  <c r="F54" i="78"/>
  <c r="F53" i="78"/>
  <c r="F52" i="78"/>
  <c r="D78" i="9"/>
  <c r="D78" i="78"/>
  <c r="D93" i="78"/>
  <c r="B15" i="74"/>
  <c r="M18" i="78"/>
  <c r="B118" i="78" s="1"/>
  <c r="U32" i="33"/>
  <c r="AB27" i="33"/>
  <c r="AB19" i="33"/>
  <c r="AA19" i="33"/>
  <c r="AC34" i="33"/>
  <c r="W29" i="33"/>
  <c r="U23" i="33"/>
  <c r="S25" i="33"/>
  <c r="AA10" i="33"/>
  <c r="S8" i="33"/>
  <c r="U43" i="33"/>
  <c r="S43" i="33"/>
  <c r="S42" i="33"/>
  <c r="S39" i="33"/>
  <c r="W39" i="33"/>
  <c r="W36" i="33"/>
  <c r="AA35" i="33"/>
  <c r="U35" i="33"/>
  <c r="AC32" i="33"/>
  <c r="S28" i="33"/>
  <c r="AC27" i="33"/>
  <c r="W25" i="33"/>
  <c r="W21" i="33"/>
  <c r="W19" i="33"/>
  <c r="AB17" i="33"/>
  <c r="AC10" i="33"/>
  <c r="S9" i="33"/>
  <c r="S41" i="33"/>
  <c r="S38" i="33"/>
  <c r="AA34" i="33"/>
  <c r="S32" i="33"/>
  <c r="S27" i="33"/>
  <c r="AB26" i="33"/>
  <c r="S26" i="33"/>
  <c r="S37" i="21"/>
  <c r="AC37" i="21"/>
  <c r="AB37" i="21"/>
  <c r="AB23" i="21"/>
  <c r="AB15" i="21"/>
  <c r="AC28" i="21"/>
  <c r="U21" i="21"/>
  <c r="AA25" i="21"/>
  <c r="AA10" i="21"/>
  <c r="U43" i="21"/>
  <c r="AA43" i="21"/>
  <c r="W43" i="21"/>
  <c r="S39" i="21"/>
  <c r="AB39" i="21"/>
  <c r="S32" i="21"/>
  <c r="AC23" i="21"/>
  <c r="S21" i="21"/>
  <c r="AC19" i="21"/>
  <c r="W17" i="21"/>
  <c r="AA15" i="21"/>
  <c r="U26" i="21"/>
  <c r="P61" i="15"/>
  <c r="J53" i="15"/>
  <c r="L56" i="15" s="1"/>
  <c r="AC29" i="21"/>
  <c r="W29" i="21"/>
  <c r="C51" i="10"/>
  <c r="A13" i="51" s="1"/>
  <c r="B11" i="72" s="1"/>
  <c r="A2" i="78"/>
  <c r="A118" i="78"/>
  <c r="B4" i="62"/>
  <c r="B71" i="72" s="1"/>
  <c r="M20" i="15"/>
  <c r="F34" i="77"/>
  <c r="F62" i="77" s="1"/>
  <c r="M20" i="77"/>
  <c r="C48" i="68"/>
  <c r="F53" i="9"/>
  <c r="F32" i="77"/>
  <c r="F60" i="77" s="1"/>
  <c r="F28" i="77"/>
  <c r="C28" i="77" s="1"/>
  <c r="M18" i="77"/>
  <c r="C36" i="69"/>
  <c r="F3" i="35"/>
  <c r="G1" i="77"/>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H106" i="43" s="1"/>
  <c r="M101" i="43"/>
  <c r="M106" i="43" s="1"/>
  <c r="E101" i="43"/>
  <c r="E106" i="43" s="1"/>
  <c r="S2" i="43"/>
  <c r="AH11" i="43"/>
  <c r="AH13" i="43" s="1"/>
  <c r="AD11" i="43"/>
  <c r="AD13" i="43" s="1"/>
  <c r="Z11" i="43"/>
  <c r="Z13" i="43" s="1"/>
  <c r="S5" i="43"/>
  <c r="AG11" i="43"/>
  <c r="AG13" i="43" s="1"/>
  <c r="AC11" i="43"/>
  <c r="AC13" i="43" s="1"/>
  <c r="Y11" i="43"/>
  <c r="Y13" i="43" s="1"/>
  <c r="S6" i="43"/>
  <c r="S4" i="43"/>
  <c r="S7" i="4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F27" i="6"/>
  <c r="E27" i="6" s="1"/>
  <c r="E51" i="40"/>
  <c r="E56" i="39"/>
  <c r="D9" i="69"/>
  <c r="C9" i="69" s="1"/>
  <c r="E12" i="6"/>
  <c r="E16" i="6" s="1"/>
  <c r="E56" i="40"/>
  <c r="AQ8" i="1"/>
  <c r="L104" i="43"/>
  <c r="L102" i="43"/>
  <c r="D107" i="43"/>
  <c r="D104" i="43"/>
  <c r="D103" i="43"/>
  <c r="I103" i="43"/>
  <c r="I106" i="43"/>
  <c r="I102" i="43"/>
  <c r="M103" i="43"/>
  <c r="M102" i="43"/>
  <c r="D9" i="68"/>
  <c r="C9" i="68" s="1"/>
  <c r="T9" i="1"/>
  <c r="AQ9" i="1"/>
  <c r="L27" i="6"/>
  <c r="E59" i="40"/>
  <c r="AQ13" i="1"/>
  <c r="T10" i="1"/>
  <c r="T12" i="1"/>
  <c r="D19" i="53"/>
  <c r="B38" i="72" s="1"/>
  <c r="G16" i="1"/>
  <c r="J10" i="40" s="1"/>
  <c r="K59" i="34"/>
  <c r="L59" i="34" s="1"/>
  <c r="M59" i="34" s="1"/>
  <c r="N59" i="34" s="1"/>
  <c r="O59" i="34" s="1"/>
  <c r="H7" i="34"/>
  <c r="I48" i="35"/>
  <c r="J48" i="35" s="1"/>
  <c r="K48" i="35" s="1"/>
  <c r="L48" i="35" s="1"/>
  <c r="M48" i="35" s="1"/>
  <c r="N48" i="35" s="1"/>
  <c r="O48" i="35" s="1"/>
  <c r="H7" i="35"/>
  <c r="F7" i="35"/>
  <c r="J46" i="36"/>
  <c r="K46" i="36" s="1"/>
  <c r="L46" i="36" s="1"/>
  <c r="M46" i="36" s="1"/>
  <c r="N46" i="36" s="1"/>
  <c r="O46" i="36" s="1"/>
  <c r="H7" i="36"/>
  <c r="F7" i="36"/>
  <c r="H52" i="37"/>
  <c r="I52" i="37" s="1"/>
  <c r="J52" i="37" s="1"/>
  <c r="K52" i="37" s="1"/>
  <c r="L52" i="37" s="1"/>
  <c r="M52" i="37" s="1"/>
  <c r="N52" i="37" s="1"/>
  <c r="O52" i="37" s="1"/>
  <c r="H7" i="37"/>
  <c r="J7" i="37"/>
  <c r="D20" i="53"/>
  <c r="B40" i="72" s="1"/>
  <c r="D125" i="9"/>
  <c r="D11" i="52" s="1"/>
  <c r="D10" i="52"/>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G30" i="6"/>
  <c r="G31" i="6" s="1"/>
  <c r="E28" i="6"/>
  <c r="U12" i="37"/>
  <c r="AZ557" i="3"/>
  <c r="AZ495" i="3"/>
  <c r="AZ513" i="3"/>
  <c r="AZ517" i="3"/>
  <c r="AB40" i="40"/>
  <c r="U40" i="40"/>
  <c r="F7" i="34"/>
  <c r="J7" i="34"/>
  <c r="J7" i="36"/>
  <c r="J7" i="35"/>
  <c r="F7" i="37"/>
  <c r="C30" i="11"/>
  <c r="AB45" i="21"/>
  <c r="H16" i="1"/>
  <c r="Q16" i="1"/>
  <c r="T8" i="1"/>
  <c r="L103" i="43"/>
  <c r="L107" i="43"/>
  <c r="L106" i="43"/>
  <c r="S13" i="21"/>
  <c r="AA23" i="21"/>
  <c r="AA23" i="37"/>
  <c r="F54" i="9"/>
  <c r="C30" i="69"/>
  <c r="D68" i="39"/>
  <c r="AR11" i="1"/>
  <c r="D19" i="12"/>
  <c r="C19" i="12" s="1"/>
  <c r="T11" i="1"/>
  <c r="F28" i="15"/>
  <c r="C28" i="15" s="1"/>
  <c r="M18" i="67"/>
  <c r="F52" i="9"/>
  <c r="AC15" i="21"/>
  <c r="AA11" i="37"/>
  <c r="H36" i="35"/>
  <c r="J36" i="35"/>
  <c r="W31" i="35"/>
  <c r="AC31" i="35"/>
  <c r="AZ398" i="3"/>
  <c r="AZ405" i="3"/>
  <c r="AZ407" i="3"/>
  <c r="AZ410" i="3"/>
  <c r="AZ415" i="3"/>
  <c r="AZ420" i="3"/>
  <c r="AZ426" i="3"/>
  <c r="AZ431" i="3"/>
  <c r="AZ448" i="3"/>
  <c r="AZ452" i="3"/>
  <c r="AZ461" i="3"/>
  <c r="AZ463" i="3"/>
  <c r="AZ468" i="3"/>
  <c r="W31" i="34"/>
  <c r="AA13" i="35"/>
  <c r="J9" i="34"/>
  <c r="H9" i="34"/>
  <c r="J34" i="35"/>
  <c r="H34" i="35"/>
  <c r="F34" i="35"/>
  <c r="O17" i="43"/>
  <c r="M17" i="43"/>
  <c r="N17" i="43"/>
  <c r="L17" i="43"/>
  <c r="E17" i="43"/>
  <c r="AZ489" i="3"/>
  <c r="AZ397" i="3"/>
  <c r="AZ212" i="3"/>
  <c r="AZ217" i="3"/>
  <c r="AZ220" i="3"/>
  <c r="AZ228" i="3"/>
  <c r="AZ231" i="3"/>
  <c r="AZ244" i="3"/>
  <c r="AZ247" i="3"/>
  <c r="AZ260" i="3"/>
  <c r="AZ264" i="3"/>
  <c r="AZ282" i="3"/>
  <c r="AZ284" i="3"/>
  <c r="AZ290" i="3"/>
  <c r="AZ293" i="3"/>
  <c r="AZ153" i="3"/>
  <c r="AZ169" i="3"/>
  <c r="AZ193" i="3"/>
  <c r="AZ44" i="3"/>
  <c r="AZ48" i="3"/>
  <c r="X7" i="43"/>
  <c r="AZ470" i="3"/>
  <c r="AZ479" i="3"/>
  <c r="AZ485" i="3"/>
  <c r="AZ18" i="3"/>
  <c r="AZ5" i="3" s="1"/>
  <c r="AZ23" i="3"/>
  <c r="AZ27" i="3"/>
  <c r="AZ56" i="3"/>
  <c r="AZ73" i="3"/>
  <c r="AZ64" i="3"/>
  <c r="AZ91" i="3"/>
  <c r="AZ98" i="3"/>
  <c r="AZ104" i="3"/>
  <c r="AZ108" i="3"/>
  <c r="M100" i="43"/>
  <c r="I100" i="43"/>
  <c r="E100" i="43"/>
  <c r="D100" i="43"/>
  <c r="D23" i="67"/>
  <c r="W21" i="21"/>
  <c r="D21" i="71"/>
  <c r="C22" i="71"/>
  <c r="C29" i="71"/>
  <c r="D28" i="71"/>
  <c r="C33" i="71"/>
  <c r="D33" i="71" s="1"/>
  <c r="D32" i="71"/>
  <c r="AB13" i="71"/>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C20" i="43"/>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L48" i="77"/>
  <c r="M29" i="77"/>
  <c r="M23" i="77"/>
  <c r="F38" i="77"/>
  <c r="M28" i="77"/>
  <c r="M6" i="77"/>
  <c r="M24" i="77"/>
  <c r="C16" i="67"/>
  <c r="F31" i="15"/>
  <c r="M17" i="15"/>
  <c r="G1" i="73"/>
  <c r="F43" i="77"/>
  <c r="J15" i="77"/>
  <c r="F36" i="77"/>
  <c r="M22" i="77"/>
  <c r="F13" i="77"/>
  <c r="F9" i="77"/>
  <c r="F59" i="67"/>
  <c r="C14" i="67"/>
  <c r="F7" i="77"/>
  <c r="M9" i="77"/>
  <c r="F26" i="77"/>
  <c r="F6" i="77"/>
  <c r="M27" i="77"/>
  <c r="C76" i="77"/>
  <c r="M17" i="67"/>
  <c r="C16" i="15"/>
  <c r="L47" i="77"/>
  <c r="F16" i="77"/>
  <c r="M26" i="77"/>
  <c r="F40" i="77"/>
  <c r="F42" i="77"/>
  <c r="C17" i="67"/>
  <c r="F8" i="77"/>
  <c r="F31" i="77" s="1"/>
  <c r="F31" i="67"/>
  <c r="M8" i="77"/>
  <c r="F37" i="77"/>
  <c r="F59" i="15"/>
  <c r="AA17" i="33" l="1"/>
  <c r="AC17" i="33"/>
  <c r="W17" i="33"/>
  <c r="H103" i="43"/>
  <c r="G7" i="33"/>
  <c r="I7" i="33"/>
  <c r="E7" i="33"/>
  <c r="C58" i="33"/>
  <c r="D58" i="33" s="1"/>
  <c r="E58" i="33" s="1"/>
  <c r="F58" i="33" s="1"/>
  <c r="G58" i="33" s="1"/>
  <c r="H58" i="33" s="1"/>
  <c r="I58" i="33" s="1"/>
  <c r="J58" i="33" s="1"/>
  <c r="K58" i="33" s="1"/>
  <c r="L58" i="33" s="1"/>
  <c r="M58" i="33" s="1"/>
  <c r="N58" i="33" s="1"/>
  <c r="O58" i="33" s="1"/>
  <c r="E7" i="21"/>
  <c r="C58" i="21"/>
  <c r="G65" i="40"/>
  <c r="H63" i="40"/>
  <c r="J53" i="77"/>
  <c r="L56" i="77" s="1"/>
  <c r="Q52" i="15"/>
  <c r="F1" i="15"/>
  <c r="F10" i="39"/>
  <c r="H109" i="43"/>
  <c r="H104" i="43"/>
  <c r="J10" i="39"/>
  <c r="Q71" i="77"/>
  <c r="F65" i="77"/>
  <c r="C6" i="77"/>
  <c r="F68" i="77"/>
  <c r="F51" i="77"/>
  <c r="F66" i="77"/>
  <c r="F64" i="77"/>
  <c r="C27" i="77"/>
  <c r="F71" i="77"/>
  <c r="F50" i="77"/>
  <c r="M7" i="77"/>
  <c r="J6" i="77" s="1"/>
  <c r="N59" i="77"/>
  <c r="L59" i="77" s="1"/>
  <c r="Q61" i="77" s="1"/>
  <c r="M59" i="77"/>
  <c r="L58" i="77"/>
  <c r="Q60" i="77" s="1"/>
  <c r="J57" i="77"/>
  <c r="J55" i="77" s="1"/>
  <c r="J58" i="77" s="1"/>
  <c r="Q50" i="77" s="1"/>
  <c r="I54" i="77"/>
  <c r="E102" i="43"/>
  <c r="E107" i="43"/>
  <c r="E109" i="43"/>
  <c r="E104" i="43"/>
  <c r="E105" i="43"/>
  <c r="H102" i="43"/>
  <c r="H105" i="43"/>
  <c r="H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9" i="43"/>
  <c r="I107" i="43"/>
  <c r="I104" i="43"/>
  <c r="I105" i="43"/>
  <c r="L109" i="43"/>
  <c r="L105" i="43"/>
  <c r="G105" i="43"/>
  <c r="G107" i="43"/>
  <c r="G104" i="43"/>
  <c r="G109" i="43"/>
  <c r="G102" i="43"/>
  <c r="G103" i="43"/>
  <c r="G106" i="43"/>
  <c r="K103" i="43"/>
  <c r="K102" i="43"/>
  <c r="K106" i="43"/>
  <c r="K107" i="43"/>
  <c r="K104" i="43"/>
  <c r="K105" i="43"/>
  <c r="K109" i="43"/>
  <c r="F10" i="40"/>
  <c r="F31" i="6"/>
  <c r="E103" i="43"/>
  <c r="M109" i="43"/>
  <c r="M104" i="43"/>
  <c r="M105" i="43"/>
  <c r="M107" i="43"/>
  <c r="C104" i="43"/>
  <c r="C106" i="43"/>
  <c r="C107" i="43"/>
  <c r="C103" i="43"/>
  <c r="C102" i="43"/>
  <c r="C109" i="43"/>
  <c r="C105" i="43"/>
  <c r="F104" i="43"/>
  <c r="F102" i="43"/>
  <c r="F103" i="43"/>
  <c r="F107" i="43"/>
  <c r="F106" i="43"/>
  <c r="F105" i="43"/>
  <c r="F109" i="43"/>
  <c r="D22" i="43"/>
  <c r="D109" i="43"/>
  <c r="D105" i="43"/>
  <c r="D102" i="43"/>
  <c r="D106" i="43"/>
  <c r="J104" i="43"/>
  <c r="J107" i="43"/>
  <c r="J102" i="43"/>
  <c r="J106" i="43"/>
  <c r="J105" i="43"/>
  <c r="J103" i="43"/>
  <c r="J109" i="43"/>
  <c r="N102" i="43"/>
  <c r="N105" i="43"/>
  <c r="N107" i="43"/>
  <c r="N103" i="43"/>
  <c r="N106" i="43"/>
  <c r="N104" i="43"/>
  <c r="N109" i="43"/>
  <c r="AC6" i="3"/>
  <c r="H6" i="3"/>
  <c r="E62" i="39"/>
  <c r="E66" i="39" s="1"/>
  <c r="E57" i="40"/>
  <c r="G17" i="43"/>
  <c r="C16" i="43" s="1"/>
  <c r="D5" i="43" s="1"/>
  <c r="F11" i="77"/>
  <c r="M11" i="77"/>
  <c r="H10" i="40"/>
  <c r="H10" i="39"/>
  <c r="AY6" i="3"/>
  <c r="E3" i="6"/>
  <c r="C5" i="43"/>
  <c r="F52" i="71"/>
  <c r="Q53" i="71"/>
  <c r="B9" i="71"/>
  <c r="B8" i="71" s="1"/>
  <c r="B7" i="71" s="1"/>
  <c r="B6" i="71" s="1"/>
  <c r="S10" i="71"/>
  <c r="D29" i="71"/>
  <c r="C30" i="71"/>
  <c r="AA34" i="35"/>
  <c r="S34" i="35"/>
  <c r="AC34" i="35"/>
  <c r="W34" i="35"/>
  <c r="AC9" i="34"/>
  <c r="W9" i="34"/>
  <c r="AC36" i="35"/>
  <c r="W36" i="35"/>
  <c r="F28" i="12"/>
  <c r="C29" i="12" s="1"/>
  <c r="D28" i="12" s="1"/>
  <c r="F27" i="68"/>
  <c r="F27" i="69"/>
  <c r="F27" i="11"/>
  <c r="S7" i="37"/>
  <c r="AA7" i="37"/>
  <c r="R42" i="37" s="1"/>
  <c r="W7" i="36"/>
  <c r="AC7" i="36"/>
  <c r="V36" i="36" s="1"/>
  <c r="I36" i="36" s="1"/>
  <c r="K20" i="6"/>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AA10" i="40"/>
  <c r="S10" i="40"/>
  <c r="S10" i="39"/>
  <c r="AA10" i="39"/>
  <c r="AC7" i="37"/>
  <c r="V42" i="37" s="1"/>
  <c r="I42" i="37" s="1"/>
  <c r="W7" i="37"/>
  <c r="S7" i="36"/>
  <c r="AA7" i="36"/>
  <c r="R36" i="36" s="1"/>
  <c r="AB7" i="35"/>
  <c r="T38" i="35" s="1"/>
  <c r="G38" i="35" s="1"/>
  <c r="U7" i="35"/>
  <c r="U7" i="34"/>
  <c r="AB7" i="34"/>
  <c r="T49" i="34" s="1"/>
  <c r="G49" i="34" s="1"/>
  <c r="T10" i="71"/>
  <c r="D10" i="71"/>
  <c r="U10" i="71" s="1"/>
  <c r="C9" i="71"/>
  <c r="E9" i="71"/>
  <c r="E8" i="71" s="1"/>
  <c r="E7" i="71" s="1"/>
  <c r="E6" i="71" s="1"/>
  <c r="V10" i="71"/>
  <c r="T22" i="71"/>
  <c r="D22" i="71"/>
  <c r="U34" i="35"/>
  <c r="AB34" i="35"/>
  <c r="U9" i="34"/>
  <c r="AB9" i="34"/>
  <c r="AB36" i="35"/>
  <c r="U36" i="35"/>
  <c r="D70" i="39"/>
  <c r="E68" i="39"/>
  <c r="AC7" i="35"/>
  <c r="V38" i="35" s="1"/>
  <c r="I38" i="35" s="1"/>
  <c r="W7" i="35"/>
  <c r="AC7" i="34"/>
  <c r="V49" i="34" s="1"/>
  <c r="I49" i="34" s="1"/>
  <c r="W7" i="34"/>
  <c r="S7" i="34"/>
  <c r="AA7" i="34"/>
  <c r="R49" i="34" s="1"/>
  <c r="W10" i="39"/>
  <c r="AC10" i="39"/>
  <c r="W10" i="40"/>
  <c r="AC10" i="40"/>
  <c r="U7" i="37"/>
  <c r="AB7" i="37"/>
  <c r="T42" i="37" s="1"/>
  <c r="G42" i="37" s="1"/>
  <c r="U7" i="36"/>
  <c r="AB7" i="36"/>
  <c r="T36" i="36" s="1"/>
  <c r="G36" i="36" s="1"/>
  <c r="AA7" i="35"/>
  <c r="R38" i="35" s="1"/>
  <c r="S7" i="35"/>
  <c r="P23" i="43"/>
  <c r="B71" i="39" s="1"/>
  <c r="P25" i="43"/>
  <c r="C49" i="67"/>
  <c r="C49" i="15"/>
  <c r="B40" i="1"/>
  <c r="F24" i="77" s="1"/>
  <c r="C18" i="67"/>
  <c r="C15" i="67"/>
  <c r="M11" i="15"/>
  <c r="J10" i="15" s="1"/>
  <c r="J5" i="15" s="1"/>
  <c r="F11" i="67"/>
  <c r="F11" i="15"/>
  <c r="M11" i="67"/>
  <c r="J10" i="67" s="1"/>
  <c r="J5" i="67" s="1"/>
  <c r="Q73" i="67"/>
  <c r="Q60" i="67"/>
  <c r="P28" i="43"/>
  <c r="M28" i="43"/>
  <c r="N28" i="43"/>
  <c r="O28" i="43"/>
  <c r="Q60" i="15"/>
  <c r="Q73" i="15"/>
  <c r="Q74" i="15"/>
  <c r="Q61" i="15"/>
  <c r="Q61" i="67"/>
  <c r="Q74" i="67"/>
  <c r="C17" i="15"/>
  <c r="AE6" i="1"/>
  <c r="M17" i="77"/>
  <c r="C16" i="77"/>
  <c r="F59" i="77"/>
  <c r="H65" i="40" l="1"/>
  <c r="I63" i="40"/>
  <c r="D58" i="21"/>
  <c r="E58" i="21" s="1"/>
  <c r="F58" i="21" s="1"/>
  <c r="G58" i="21" s="1"/>
  <c r="H58" i="21" s="1"/>
  <c r="I58" i="21" s="1"/>
  <c r="J58" i="21" s="1"/>
  <c r="K58" i="21" s="1"/>
  <c r="L58" i="21" s="1"/>
  <c r="M58" i="21" s="1"/>
  <c r="N58" i="21" s="1"/>
  <c r="O58" i="21" s="1"/>
  <c r="J7" i="21"/>
  <c r="F7" i="21"/>
  <c r="J7" i="33"/>
  <c r="H7" i="21"/>
  <c r="F7" i="33"/>
  <c r="H7" i="33"/>
  <c r="E6" i="70"/>
  <c r="E6" i="3"/>
  <c r="F1" i="77"/>
  <c r="Q52" i="77"/>
  <c r="J10" i="77"/>
  <c r="J5" i="77" s="1"/>
  <c r="J18" i="77" s="1"/>
  <c r="C49" i="77"/>
  <c r="Q74" i="77"/>
  <c r="Q73" i="77"/>
  <c r="AQ6" i="1"/>
  <c r="AR6" i="1"/>
  <c r="T6" i="1"/>
  <c r="M20" i="6"/>
  <c r="I20" i="6" s="1"/>
  <c r="S7" i="1"/>
  <c r="C115" i="43"/>
  <c r="D113" i="43"/>
  <c r="C53" i="77"/>
  <c r="C10" i="77"/>
  <c r="C5" i="77" s="1"/>
  <c r="C24" i="77"/>
  <c r="J26" i="77"/>
  <c r="U10" i="39"/>
  <c r="AB10" i="39"/>
  <c r="U10" i="40"/>
  <c r="AB10" i="40"/>
  <c r="E38" i="35"/>
  <c r="I43" i="35" s="1"/>
  <c r="J43" i="35" s="1"/>
  <c r="R39" i="35"/>
  <c r="R50" i="34"/>
  <c r="E49" i="34"/>
  <c r="F68" i="39"/>
  <c r="E70" i="39"/>
  <c r="C8" i="71"/>
  <c r="D9" i="71"/>
  <c r="G54" i="34"/>
  <c r="H54" i="34" s="1"/>
  <c r="G53" i="34"/>
  <c r="H53" i="34" s="1"/>
  <c r="E36" i="36"/>
  <c r="R37" i="36"/>
  <c r="I41" i="36"/>
  <c r="J41" i="36" s="1"/>
  <c r="I40" i="36"/>
  <c r="J40" i="36" s="1"/>
  <c r="E42" i="37"/>
  <c r="R43" i="37"/>
  <c r="C29" i="11"/>
  <c r="D27" i="11" s="1"/>
  <c r="C47" i="11"/>
  <c r="D45" i="11" s="1"/>
  <c r="C29" i="68"/>
  <c r="D27" i="68" s="1"/>
  <c r="C47" i="68"/>
  <c r="D45" i="68" s="1"/>
  <c r="T30" i="71"/>
  <c r="D30" i="71"/>
  <c r="D3" i="21"/>
  <c r="D19" i="11"/>
  <c r="C19" i="11" s="1"/>
  <c r="C20" i="11" s="1"/>
  <c r="C28" i="11" s="1"/>
  <c r="C27" i="11" s="1"/>
  <c r="C17" i="4"/>
  <c r="B4" i="52" s="1"/>
  <c r="B43" i="72" s="1"/>
  <c r="D3" i="37"/>
  <c r="D3" i="33"/>
  <c r="E6" i="6"/>
  <c r="D14" i="12"/>
  <c r="D3" i="34"/>
  <c r="D37" i="11"/>
  <c r="C37" i="11" s="1"/>
  <c r="M18" i="9"/>
  <c r="B118" i="9" s="1"/>
  <c r="B14" i="74" s="1"/>
  <c r="B1" i="74" s="1"/>
  <c r="G40" i="36"/>
  <c r="H40" i="36" s="1"/>
  <c r="G41" i="36"/>
  <c r="H41" i="36" s="1"/>
  <c r="G46" i="37"/>
  <c r="H46" i="37" s="1"/>
  <c r="G47" i="37"/>
  <c r="H47" i="37" s="1"/>
  <c r="I53" i="34"/>
  <c r="J53" i="34" s="1"/>
  <c r="I54" i="34"/>
  <c r="J54" i="34" s="1"/>
  <c r="I42" i="35"/>
  <c r="J42" i="35" s="1"/>
  <c r="E5" i="71"/>
  <c r="V6" i="71"/>
  <c r="G42" i="35"/>
  <c r="H42" i="35" s="1"/>
  <c r="G43" i="35"/>
  <c r="H43" i="35" s="1"/>
  <c r="I47" i="37"/>
  <c r="J47" i="37" s="1"/>
  <c r="I46" i="37"/>
  <c r="J46" i="37" s="1"/>
  <c r="K27" i="6"/>
  <c r="M19" i="6"/>
  <c r="M14" i="1"/>
  <c r="K16" i="1"/>
  <c r="C34" i="69"/>
  <c r="C47" i="69"/>
  <c r="D45" i="69" s="1"/>
  <c r="C29" i="69"/>
  <c r="D27" i="69" s="1"/>
  <c r="B5" i="71"/>
  <c r="S6" i="71"/>
  <c r="Q52" i="71"/>
  <c r="Q5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77"/>
  <c r="AE7" i="1"/>
  <c r="C14" i="15"/>
  <c r="F41" i="15"/>
  <c r="S7" i="33" l="1"/>
  <c r="AA7" i="33"/>
  <c r="R48" i="33" s="1"/>
  <c r="AC7" i="33"/>
  <c r="V48" i="33" s="1"/>
  <c r="I48" i="33" s="1"/>
  <c r="W7" i="33"/>
  <c r="AC7" i="21"/>
  <c r="V48" i="21" s="1"/>
  <c r="I48" i="21" s="1"/>
  <c r="W7" i="21"/>
  <c r="I65" i="40"/>
  <c r="J63" i="40"/>
  <c r="AB7" i="33"/>
  <c r="T48" i="33" s="1"/>
  <c r="G48" i="33" s="1"/>
  <c r="U7" i="33"/>
  <c r="U7" i="21"/>
  <c r="AB7" i="21"/>
  <c r="T48" i="21" s="1"/>
  <c r="G48" i="21" s="1"/>
  <c r="S7" i="21"/>
  <c r="AA7" i="21"/>
  <c r="R48" i="21" s="1"/>
  <c r="C15" i="15"/>
  <c r="C18" i="15"/>
  <c r="S20" i="6"/>
  <c r="L18" i="78"/>
  <c r="S16" i="1"/>
  <c r="E7" i="70"/>
  <c r="E2" i="70" s="1"/>
  <c r="F69" i="15"/>
  <c r="J29" i="15"/>
  <c r="J24" i="77"/>
  <c r="C48" i="77"/>
  <c r="C66" i="77" s="1"/>
  <c r="T7" i="1"/>
  <c r="T16" i="1" s="1"/>
  <c r="AQ7" i="1"/>
  <c r="AR7" i="1"/>
  <c r="C38" i="77"/>
  <c r="C32" i="77"/>
  <c r="H20" i="6"/>
  <c r="D19" i="6"/>
  <c r="C3" i="79" s="1"/>
  <c r="D26" i="6"/>
  <c r="C18" i="4"/>
  <c r="D8" i="6"/>
  <c r="D23" i="6"/>
  <c r="D14" i="6"/>
  <c r="D5" i="6"/>
  <c r="D12" i="6"/>
  <c r="D11" i="6"/>
  <c r="D13" i="6"/>
  <c r="D28" i="6"/>
  <c r="E61" i="40"/>
  <c r="H23" i="6"/>
  <c r="H26" i="6"/>
  <c r="D25" i="6"/>
  <c r="D22" i="6"/>
  <c r="D24" i="6"/>
  <c r="D9" i="6"/>
  <c r="H25" i="6"/>
  <c r="H21" i="6"/>
  <c r="D15" i="6"/>
  <c r="D21" i="6"/>
  <c r="R21" i="6" s="1"/>
  <c r="D20" i="6"/>
  <c r="D6" i="6"/>
  <c r="D10" i="6"/>
  <c r="D29" i="6"/>
  <c r="H22" i="6"/>
  <c r="H24" i="6"/>
  <c r="C38" i="69"/>
  <c r="C35" i="69"/>
  <c r="O14" i="1"/>
  <c r="O16" i="1" s="1"/>
  <c r="P14" i="1"/>
  <c r="P16" i="1" s="1"/>
  <c r="C11" i="12" s="1"/>
  <c r="M16" i="1"/>
  <c r="C7" i="74"/>
  <c r="C8" i="74"/>
  <c r="D10" i="68"/>
  <c r="D20" i="12"/>
  <c r="C20" i="12" s="1"/>
  <c r="C18" i="12" s="1"/>
  <c r="D10" i="11"/>
  <c r="C10" i="11" s="1"/>
  <c r="D10" i="69"/>
  <c r="C42" i="37"/>
  <c r="C43" i="37"/>
  <c r="B2" i="37" s="1"/>
  <c r="B3" i="37" s="1"/>
  <c r="C36" i="36"/>
  <c r="C37" i="36"/>
  <c r="B2" i="36" s="1"/>
  <c r="B3" i="36" s="1"/>
  <c r="E54" i="34"/>
  <c r="F54" i="34" s="1"/>
  <c r="E53" i="34"/>
  <c r="F53" i="34" s="1"/>
  <c r="C38" i="35"/>
  <c r="C39" i="35"/>
  <c r="B2" i="35" s="1"/>
  <c r="B3" i="35" s="1"/>
  <c r="M27" i="6"/>
  <c r="I19" i="6"/>
  <c r="D17" i="12"/>
  <c r="C17" i="12" s="1"/>
  <c r="C14" i="12"/>
  <c r="E47" i="37"/>
  <c r="F47" i="37" s="1"/>
  <c r="E46" i="37"/>
  <c r="F46" i="37" s="1"/>
  <c r="E41" i="36"/>
  <c r="F41" i="36" s="1"/>
  <c r="E40" i="36"/>
  <c r="F40" i="36" s="1"/>
  <c r="D8" i="71"/>
  <c r="C7" i="71"/>
  <c r="F70" i="39"/>
  <c r="G68" i="39"/>
  <c r="C50" i="34"/>
  <c r="B2" i="34" s="1"/>
  <c r="B3" i="34" s="1"/>
  <c r="C49" i="34"/>
  <c r="E42" i="35"/>
  <c r="F42" i="35" s="1"/>
  <c r="E43" i="35"/>
  <c r="F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F41" i="77"/>
  <c r="C14" i="77"/>
  <c r="E48" i="21" l="1"/>
  <c r="R49" i="21"/>
  <c r="G53" i="21"/>
  <c r="H53" i="21" s="1"/>
  <c r="G52" i="21"/>
  <c r="H52" i="21" s="1"/>
  <c r="K63" i="40"/>
  <c r="J65" i="40"/>
  <c r="R49" i="33"/>
  <c r="E48" i="33"/>
  <c r="G52" i="33"/>
  <c r="H52" i="33" s="1"/>
  <c r="G53" i="33"/>
  <c r="H53" i="33" s="1"/>
  <c r="I53" i="21"/>
  <c r="J53" i="21" s="1"/>
  <c r="I52" i="21"/>
  <c r="J52" i="21" s="1"/>
  <c r="I52" i="33"/>
  <c r="J52" i="33" s="1"/>
  <c r="I53" i="33"/>
  <c r="J53" i="33" s="1"/>
  <c r="C19" i="15"/>
  <c r="C20" i="15" s="1"/>
  <c r="C26" i="15" s="1"/>
  <c r="C18" i="77"/>
  <c r="C15" i="77"/>
  <c r="H19" i="6"/>
  <c r="L18" i="9"/>
  <c r="H27" i="6"/>
  <c r="J29" i="77"/>
  <c r="F69" i="77"/>
  <c r="L19" i="9"/>
  <c r="E3" i="79"/>
  <c r="R20" i="6"/>
  <c r="C4" i="79"/>
  <c r="E4" i="79" s="1"/>
  <c r="M19" i="78"/>
  <c r="C118" i="78" s="1"/>
  <c r="C15" i="74"/>
  <c r="L19" i="78"/>
  <c r="M19" i="9"/>
  <c r="C118" i="9" s="1"/>
  <c r="C14" i="74" s="1"/>
  <c r="B2" i="74" s="1"/>
  <c r="C60" i="77"/>
  <c r="R12" i="1"/>
  <c r="R10" i="1"/>
  <c r="R13" i="1"/>
  <c r="R11" i="1"/>
  <c r="R9" i="1"/>
  <c r="R8" i="1"/>
  <c r="R7" i="1"/>
  <c r="D30" i="6"/>
  <c r="D16" i="6"/>
  <c r="R25" i="6"/>
  <c r="J59" i="77"/>
  <c r="J60" i="77" s="1"/>
  <c r="Q48" i="77" s="1"/>
  <c r="C33" i="77"/>
  <c r="H68" i="39"/>
  <c r="G70" i="39"/>
  <c r="C6" i="71"/>
  <c r="D7" i="71"/>
  <c r="C10" i="69"/>
  <c r="C8" i="69" s="1"/>
  <c r="C5" i="69" s="1"/>
  <c r="D19" i="69"/>
  <c r="N16" i="1"/>
  <c r="L16" i="1"/>
  <c r="C34" i="11"/>
  <c r="C34" i="68"/>
  <c r="R22" i="6"/>
  <c r="R23" i="6"/>
  <c r="A7" i="51"/>
  <c r="B7" i="72" s="1"/>
  <c r="A10" i="51"/>
  <c r="B9" i="72" s="1"/>
  <c r="C4" i="52"/>
  <c r="B45" i="72" s="1"/>
  <c r="R19" i="6"/>
  <c r="D27" i="6"/>
  <c r="S19" i="6"/>
  <c r="S27" i="6" s="1"/>
  <c r="I27" i="6"/>
  <c r="C10" i="68"/>
  <c r="D19" i="68"/>
  <c r="C15" i="12"/>
  <c r="C12" i="12"/>
  <c r="R24" i="6"/>
  <c r="R26" i="6"/>
  <c r="D8" i="74"/>
  <c r="D7" i="74"/>
  <c r="C33" i="15"/>
  <c r="J59" i="15"/>
  <c r="J60" i="15" s="1"/>
  <c r="C22" i="11"/>
  <c r="C31" i="11" s="1"/>
  <c r="C33" i="67"/>
  <c r="J14" i="67"/>
  <c r="C57" i="67"/>
  <c r="C13" i="67"/>
  <c r="J19" i="67"/>
  <c r="Q49" i="67"/>
  <c r="C36" i="67"/>
  <c r="J59" i="67"/>
  <c r="J60" i="67" s="1"/>
  <c r="M21" i="67"/>
  <c r="F35" i="67"/>
  <c r="M21" i="77"/>
  <c r="F35" i="77"/>
  <c r="D31" i="6" l="1"/>
  <c r="E52" i="33"/>
  <c r="F52" i="33" s="1"/>
  <c r="E53" i="33"/>
  <c r="F53" i="33" s="1"/>
  <c r="C48" i="21"/>
  <c r="C49" i="21"/>
  <c r="C49" i="33"/>
  <c r="B2" i="33" s="1"/>
  <c r="C48" i="33"/>
  <c r="K65" i="40"/>
  <c r="L63" i="40"/>
  <c r="E53" i="21"/>
  <c r="F53" i="21" s="1"/>
  <c r="E52" i="21"/>
  <c r="F52" i="21" s="1"/>
  <c r="C23" i="15"/>
  <c r="C29" i="15" s="1"/>
  <c r="C19" i="77"/>
  <c r="C20" i="77" s="1"/>
  <c r="E5" i="79"/>
  <c r="C5" i="79"/>
  <c r="F63" i="67"/>
  <c r="C62" i="67" s="1"/>
  <c r="C34" i="67"/>
  <c r="J20" i="67"/>
  <c r="F63" i="77"/>
  <c r="C62" i="77" s="1"/>
  <c r="C34" i="77"/>
  <c r="C31" i="77" s="1"/>
  <c r="J20" i="77"/>
  <c r="J17" i="67"/>
  <c r="C31" i="67"/>
  <c r="R27" i="6"/>
  <c r="R6" i="1"/>
  <c r="C16" i="12"/>
  <c r="C21" i="12" s="1"/>
  <c r="C22" i="12" s="1"/>
  <c r="C19" i="68"/>
  <c r="D37" i="68"/>
  <c r="C37" i="68" s="1"/>
  <c r="C35" i="68"/>
  <c r="C38" i="68"/>
  <c r="C19" i="69"/>
  <c r="C24" i="69" s="1"/>
  <c r="D37" i="69"/>
  <c r="C37" i="69" s="1"/>
  <c r="C33" i="69" s="1"/>
  <c r="C5" i="71"/>
  <c r="D5" i="71" s="1"/>
  <c r="T6" i="71"/>
  <c r="D6" i="71"/>
  <c r="I68" i="39"/>
  <c r="H70" i="39"/>
  <c r="I6" i="6"/>
  <c r="I5" i="6"/>
  <c r="C38" i="11"/>
  <c r="C35" i="11"/>
  <c r="F50" i="11"/>
  <c r="F50" i="68"/>
  <c r="F50" i="69"/>
  <c r="C23" i="69"/>
  <c r="Q48" i="67"/>
  <c r="L46" i="67"/>
  <c r="C75" i="67"/>
  <c r="C37" i="67"/>
  <c r="C30" i="67" s="1"/>
  <c r="C39" i="67" s="1"/>
  <c r="Q70" i="67"/>
  <c r="C56" i="67"/>
  <c r="C65" i="67" s="1"/>
  <c r="J13" i="67"/>
  <c r="J23" i="67" s="1"/>
  <c r="J22" i="67"/>
  <c r="Q48" i="15"/>
  <c r="L46" i="15"/>
  <c r="C61" i="67"/>
  <c r="C64" i="67"/>
  <c r="F35" i="15"/>
  <c r="C19" i="78"/>
  <c r="M21" i="15"/>
  <c r="C102" i="78" l="1"/>
  <c r="C21" i="78"/>
  <c r="B3" i="33"/>
  <c r="B2" i="21"/>
  <c r="B3" i="21"/>
  <c r="M63" i="40"/>
  <c r="L65" i="40"/>
  <c r="Q49" i="15"/>
  <c r="C36" i="15"/>
  <c r="J14" i="15"/>
  <c r="J19" i="15"/>
  <c r="C57" i="15"/>
  <c r="C13" i="15"/>
  <c r="C26" i="77"/>
  <c r="C23" i="77"/>
  <c r="C20" i="69"/>
  <c r="C28" i="69" s="1"/>
  <c r="C27" i="69" s="1"/>
  <c r="C59" i="67"/>
  <c r="C58" i="67" s="1"/>
  <c r="C67" i="67" s="1"/>
  <c r="C68" i="67" s="1"/>
  <c r="J20" i="15"/>
  <c r="C34" i="15"/>
  <c r="C31" i="15" s="1"/>
  <c r="F63" i="15"/>
  <c r="C62" i="15" s="1"/>
  <c r="R16" i="1"/>
  <c r="C33" i="11"/>
  <c r="C42" i="11" s="1"/>
  <c r="C30" i="12"/>
  <c r="C28" i="12" s="1"/>
  <c r="C27" i="12"/>
  <c r="C25" i="12" s="1"/>
  <c r="C33" i="68"/>
  <c r="C39" i="68" s="1"/>
  <c r="J68" i="39"/>
  <c r="I70" i="39"/>
  <c r="C39" i="69"/>
  <c r="C42" i="69"/>
  <c r="C20" i="68"/>
  <c r="C24" i="68"/>
  <c r="M20" i="43"/>
  <c r="C19" i="43" s="1"/>
  <c r="U6" i="71"/>
  <c r="J16" i="67"/>
  <c r="J25" i="67" s="1"/>
  <c r="C40" i="67"/>
  <c r="Q69" i="67"/>
  <c r="Q68" i="67" s="1"/>
  <c r="C80" i="67"/>
  <c r="C79" i="67" s="1"/>
  <c r="C20" i="9"/>
  <c r="C20" i="78"/>
  <c r="C19" i="9"/>
  <c r="L51" i="67"/>
  <c r="C102" i="9" l="1"/>
  <c r="C21" i="9"/>
  <c r="C103" i="9"/>
  <c r="C103" i="78"/>
  <c r="M65" i="40"/>
  <c r="N63" i="40"/>
  <c r="C29" i="77"/>
  <c r="C57" i="77" s="1"/>
  <c r="C61" i="77" s="1"/>
  <c r="C59" i="77" s="1"/>
  <c r="J17" i="15"/>
  <c r="Q70" i="15"/>
  <c r="C37" i="15"/>
  <c r="C30" i="15" s="1"/>
  <c r="C39" i="15" s="1"/>
  <c r="C56" i="15"/>
  <c r="C65" i="15" s="1"/>
  <c r="C75" i="15"/>
  <c r="C61" i="15"/>
  <c r="C59" i="15" s="1"/>
  <c r="C64" i="15"/>
  <c r="J13" i="15"/>
  <c r="J23" i="15" s="1"/>
  <c r="J22" i="15"/>
  <c r="C39" i="11"/>
  <c r="C43" i="11" s="1"/>
  <c r="C41" i="11" s="1"/>
  <c r="C25" i="69"/>
  <c r="C22" i="69" s="1"/>
  <c r="C31" i="69" s="1"/>
  <c r="L57" i="77"/>
  <c r="L60" i="77" s="1"/>
  <c r="C42" i="68"/>
  <c r="C32" i="12"/>
  <c r="B2" i="12" s="1"/>
  <c r="B3" i="12" s="1"/>
  <c r="C43" i="68"/>
  <c r="C46" i="68"/>
  <c r="C45" i="68" s="1"/>
  <c r="C37" i="43"/>
  <c r="T13" i="43"/>
  <c r="V13" i="43" s="1"/>
  <c r="C35" i="43"/>
  <c r="C36" i="43"/>
  <c r="T2" i="43"/>
  <c r="V2" i="43" s="1"/>
  <c r="T5" i="43"/>
  <c r="V5" i="43" s="1"/>
  <c r="T6" i="43"/>
  <c r="V6" i="43" s="1"/>
  <c r="T3" i="43"/>
  <c r="V3" i="43" s="1"/>
  <c r="T14" i="43"/>
  <c r="V14" i="43" s="1"/>
  <c r="T4" i="43"/>
  <c r="V4" i="43" s="1"/>
  <c r="C34" i="43"/>
  <c r="T11" i="43"/>
  <c r="V11" i="43" s="1"/>
  <c r="T10" i="43"/>
  <c r="V10" i="43" s="1"/>
  <c r="T12" i="43"/>
  <c r="V12" i="43" s="1"/>
  <c r="T7" i="43"/>
  <c r="V7" i="43" s="1"/>
  <c r="T9" i="43"/>
  <c r="V9" i="43" s="1"/>
  <c r="C33" i="43"/>
  <c r="T15" i="43"/>
  <c r="V15" i="43" s="1"/>
  <c r="T16" i="43"/>
  <c r="V16" i="43" s="1"/>
  <c r="T8" i="43"/>
  <c r="V8" i="43" s="1"/>
  <c r="C29" i="43"/>
  <c r="C38" i="43"/>
  <c r="C39" i="43"/>
  <c r="C46" i="11"/>
  <c r="C45" i="11" s="1"/>
  <c r="C28" i="68"/>
  <c r="C27" i="68" s="1"/>
  <c r="C25" i="68"/>
  <c r="C22" i="68" s="1"/>
  <c r="C46" i="69"/>
  <c r="C45" i="69" s="1"/>
  <c r="C43" i="69"/>
  <c r="C41" i="69" s="1"/>
  <c r="J70" i="39"/>
  <c r="K68" i="39"/>
  <c r="Q67" i="67"/>
  <c r="L57" i="67"/>
  <c r="L60" i="67" s="1"/>
  <c r="C71" i="67"/>
  <c r="C45" i="67"/>
  <c r="C46" i="67" s="1"/>
  <c r="Q56" i="67"/>
  <c r="Q47" i="67"/>
  <c r="Q53" i="67" s="1"/>
  <c r="Q65" i="67"/>
  <c r="C43" i="67"/>
  <c r="D2" i="67"/>
  <c r="C83" i="67"/>
  <c r="C82" i="67" s="1"/>
  <c r="L51" i="15"/>
  <c r="C64" i="77" l="1"/>
  <c r="Q49" i="77"/>
  <c r="O63" i="40"/>
  <c r="O65" i="40" s="1"/>
  <c r="N65" i="40"/>
  <c r="J7" i="40"/>
  <c r="F7" i="40"/>
  <c r="H7" i="40"/>
  <c r="J19" i="77"/>
  <c r="J17" i="77" s="1"/>
  <c r="C58" i="15"/>
  <c r="C67" i="15" s="1"/>
  <c r="C68" i="15" s="1"/>
  <c r="C71" i="15" s="1"/>
  <c r="C36" i="77"/>
  <c r="J14" i="77"/>
  <c r="C13" i="77"/>
  <c r="Q67" i="15"/>
  <c r="L57" i="15"/>
  <c r="L60" i="15" s="1"/>
  <c r="Q57" i="15" s="1"/>
  <c r="Q69" i="15"/>
  <c r="Q68" i="15" s="1"/>
  <c r="C40" i="15"/>
  <c r="Q56" i="15" s="1"/>
  <c r="C80" i="15"/>
  <c r="C79" i="15" s="1"/>
  <c r="J16" i="15"/>
  <c r="J25" i="15" s="1"/>
  <c r="Q66" i="77"/>
  <c r="L46" i="77"/>
  <c r="C41" i="68"/>
  <c r="Q57" i="77"/>
  <c r="C49" i="11"/>
  <c r="C51" i="11" s="1"/>
  <c r="C52" i="11" s="1"/>
  <c r="B2" i="11" s="1"/>
  <c r="B3" i="11" s="1"/>
  <c r="C31" i="68"/>
  <c r="C49" i="68"/>
  <c r="C51" i="68" s="1"/>
  <c r="L68" i="39"/>
  <c r="K70" i="39"/>
  <c r="G39" i="43"/>
  <c r="I39" i="43" s="1"/>
  <c r="E39" i="43"/>
  <c r="E29" i="43"/>
  <c r="C30" i="43"/>
  <c r="E30" i="43" s="1"/>
  <c r="G33" i="43"/>
  <c r="I33" i="43" s="1"/>
  <c r="E33" i="43"/>
  <c r="G34" i="43"/>
  <c r="I34" i="43" s="1"/>
  <c r="E34" i="43"/>
  <c r="G35" i="43"/>
  <c r="I35" i="43" s="1"/>
  <c r="E35" i="43"/>
  <c r="G37" i="43"/>
  <c r="I37" i="43" s="1"/>
  <c r="E37" i="43"/>
  <c r="C49" i="69"/>
  <c r="C51" i="69" s="1"/>
  <c r="E38" i="43"/>
  <c r="G38" i="43"/>
  <c r="I38" i="43" s="1"/>
  <c r="G36" i="43"/>
  <c r="I36" i="43" s="1"/>
  <c r="E36" i="43"/>
  <c r="Q66" i="67"/>
  <c r="Q75" i="67" s="1"/>
  <c r="Q57" i="67"/>
  <c r="Q62" i="67" s="1"/>
  <c r="B2" i="67"/>
  <c r="B3" i="67"/>
  <c r="Q62" i="15" l="1"/>
  <c r="Q66" i="15"/>
  <c r="AA7" i="40"/>
  <c r="R42" i="40" s="1"/>
  <c r="S7" i="40"/>
  <c r="AB7" i="40"/>
  <c r="T42" i="40" s="1"/>
  <c r="G42" i="40" s="1"/>
  <c r="U7" i="40"/>
  <c r="W7" i="40"/>
  <c r="AC7" i="40"/>
  <c r="V42" i="40" s="1"/>
  <c r="I42" i="40" s="1"/>
  <c r="I46" i="40" s="1"/>
  <c r="J46" i="40" s="1"/>
  <c r="C83" i="15"/>
  <c r="C82" i="15" s="1"/>
  <c r="C43" i="15"/>
  <c r="Q70" i="77"/>
  <c r="C37" i="77"/>
  <c r="C30" i="77" s="1"/>
  <c r="C39" i="77" s="1"/>
  <c r="C75" i="77"/>
  <c r="C56" i="77"/>
  <c r="C65" i="77" s="1"/>
  <c r="C58" i="77" s="1"/>
  <c r="C67" i="77" s="1"/>
  <c r="C68" i="77" s="1"/>
  <c r="C71" i="77" s="1"/>
  <c r="Q47" i="15"/>
  <c r="Q53" i="15" s="1"/>
  <c r="C46" i="15"/>
  <c r="J22" i="77"/>
  <c r="J13" i="77"/>
  <c r="J23" i="77" s="1"/>
  <c r="B2" i="15"/>
  <c r="Q65" i="15"/>
  <c r="Q75" i="15" s="1"/>
  <c r="C56" i="11"/>
  <c r="C57" i="11" s="1"/>
  <c r="C52" i="68"/>
  <c r="C57" i="68" s="1"/>
  <c r="C56" i="68" s="1"/>
  <c r="C26" i="43"/>
  <c r="B2" i="68"/>
  <c r="B3" i="68" s="1"/>
  <c r="C27" i="43"/>
  <c r="C52" i="69"/>
  <c r="B2" i="69" s="1"/>
  <c r="B3" i="69" s="1"/>
  <c r="B2" i="43"/>
  <c r="M68" i="39"/>
  <c r="L70" i="39"/>
  <c r="AO6" i="1"/>
  <c r="B6" i="76"/>
  <c r="E6" i="76"/>
  <c r="L51" i="77"/>
  <c r="D19" i="9"/>
  <c r="G47" i="40" l="1"/>
  <c r="H47" i="40" s="1"/>
  <c r="G46" i="40"/>
  <c r="H46" i="40" s="1"/>
  <c r="R43" i="40"/>
  <c r="E42" i="40"/>
  <c r="J16" i="77"/>
  <c r="J25" i="77" s="1"/>
  <c r="C80" i="77"/>
  <c r="C79" i="77" s="1"/>
  <c r="Q67" i="77"/>
  <c r="Q69" i="77"/>
  <c r="Q68" i="77" s="1"/>
  <c r="C40" i="77"/>
  <c r="G19" i="9"/>
  <c r="D21" i="9"/>
  <c r="D102" i="9"/>
  <c r="D22" i="9"/>
  <c r="B6" i="70"/>
  <c r="B3" i="15"/>
  <c r="C57" i="69"/>
  <c r="C56" i="69" s="1"/>
  <c r="B2" i="76"/>
  <c r="E2" i="76"/>
  <c r="B3" i="43"/>
  <c r="N68" i="39"/>
  <c r="M70" i="39"/>
  <c r="D20" i="9"/>
  <c r="I47" i="40" l="1"/>
  <c r="J47" i="40" s="1"/>
  <c r="E46" i="40"/>
  <c r="F46" i="40" s="1"/>
  <c r="E47" i="40"/>
  <c r="F47" i="40" s="1"/>
  <c r="C42" i="40"/>
  <c r="C43" i="40"/>
  <c r="Q56" i="77"/>
  <c r="Q62" i="77" s="1"/>
  <c r="C43" i="77"/>
  <c r="B2" i="77"/>
  <c r="Q47" i="77"/>
  <c r="Q53" i="77" s="1"/>
  <c r="C83" i="77"/>
  <c r="C82" i="77" s="1"/>
  <c r="Q65" i="77"/>
  <c r="Q75" i="77" s="1"/>
  <c r="C46" i="77"/>
  <c r="D103" i="9"/>
  <c r="G20" i="9"/>
  <c r="C32" i="9"/>
  <c r="G21" i="9"/>
  <c r="O68" i="39"/>
  <c r="O70" i="39" s="1"/>
  <c r="N70" i="39"/>
  <c r="B3" i="76"/>
  <c r="AO7" i="1"/>
  <c r="D19" i="78"/>
  <c r="B58" i="40" l="1"/>
  <c r="F58" i="40" s="1"/>
  <c r="B51" i="40"/>
  <c r="F51" i="40" s="1"/>
  <c r="B60" i="40"/>
  <c r="F60" i="40" s="1"/>
  <c r="B59" i="40"/>
  <c r="F59" i="40" s="1"/>
  <c r="B54" i="40"/>
  <c r="F54" i="40" s="1"/>
  <c r="B53" i="40"/>
  <c r="F53" i="40" s="1"/>
  <c r="B52" i="40"/>
  <c r="F52" i="40" s="1"/>
  <c r="B55" i="40"/>
  <c r="F55" i="40" s="1"/>
  <c r="B57" i="40"/>
  <c r="F57" i="40" s="1"/>
  <c r="B56" i="40"/>
  <c r="F56" i="40" s="1"/>
  <c r="F61" i="40"/>
  <c r="B2" i="40" s="1"/>
  <c r="B3" i="40" s="1"/>
  <c r="B7" i="70"/>
  <c r="B2" i="70" s="1"/>
  <c r="B3" i="70" s="1"/>
  <c r="D102" i="78"/>
  <c r="D22" i="78"/>
  <c r="D21" i="78"/>
  <c r="G19" i="78"/>
  <c r="B3" i="77"/>
  <c r="C35" i="9"/>
  <c r="H118" i="9"/>
  <c r="F7" i="39"/>
  <c r="J7" i="39"/>
  <c r="H7" i="39"/>
  <c r="D20" i="78"/>
  <c r="D103" i="78" l="1"/>
  <c r="G20" i="78"/>
  <c r="D15" i="74"/>
  <c r="G21" i="78"/>
  <c r="C32" i="78"/>
  <c r="H101" i="9"/>
  <c r="C104" i="9"/>
  <c r="H119" i="9"/>
  <c r="H5" i="52" s="1"/>
  <c r="D14" i="74"/>
  <c r="H4" i="52"/>
  <c r="I118" i="9"/>
  <c r="F118" i="9"/>
  <c r="C34" i="9"/>
  <c r="D118" i="9" s="1"/>
  <c r="AB7" i="39"/>
  <c r="T47" i="39" s="1"/>
  <c r="G47" i="39" s="1"/>
  <c r="U7" i="39"/>
  <c r="AC7" i="39"/>
  <c r="V47" i="39" s="1"/>
  <c r="I47" i="39" s="1"/>
  <c r="W7" i="39"/>
  <c r="S7" i="39"/>
  <c r="AA7" i="39"/>
  <c r="R47" i="39" s="1"/>
  <c r="H118" i="78" l="1"/>
  <c r="C35" i="78"/>
  <c r="F15" i="74"/>
  <c r="G15" i="74"/>
  <c r="E15" i="74"/>
  <c r="D119" i="9"/>
  <c r="D5" i="52" s="1"/>
  <c r="B49" i="72" s="1"/>
  <c r="D4" i="52"/>
  <c r="B47" i="72" s="1"/>
  <c r="H102" i="9"/>
  <c r="D7" i="53" s="1"/>
  <c r="B21" i="72" s="1"/>
  <c r="I4" i="52"/>
  <c r="C105" i="9"/>
  <c r="B5" i="74"/>
  <c r="E14" i="74"/>
  <c r="F14" i="74"/>
  <c r="F119" i="9"/>
  <c r="F5" i="52" s="1"/>
  <c r="B53" i="72" s="1"/>
  <c r="F4" i="52"/>
  <c r="B51" i="72" s="1"/>
  <c r="G118" i="9"/>
  <c r="G4" i="52" s="1"/>
  <c r="B52" i="72" s="1"/>
  <c r="M48" i="9"/>
  <c r="D5" i="53"/>
  <c r="H107" i="9"/>
  <c r="D45" i="9"/>
  <c r="E47" i="39"/>
  <c r="I52" i="39" s="1"/>
  <c r="J52" i="39" s="1"/>
  <c r="R48" i="39"/>
  <c r="I51" i="39"/>
  <c r="J51" i="39" s="1"/>
  <c r="G51" i="39"/>
  <c r="H51" i="39" s="1"/>
  <c r="G52" i="39"/>
  <c r="H52" i="39" s="1"/>
  <c r="C104" i="78" l="1"/>
  <c r="I118" i="78"/>
  <c r="H101" i="78"/>
  <c r="H119" i="78"/>
  <c r="F118" i="78"/>
  <c r="C34" i="78"/>
  <c r="D118" i="78" s="1"/>
  <c r="D119" i="78" s="1"/>
  <c r="C64" i="9"/>
  <c r="C63" i="9" s="1"/>
  <c r="C67" i="9" s="1"/>
  <c r="C68" i="9" s="1"/>
  <c r="D54" i="9" s="1"/>
  <c r="D55" i="9"/>
  <c r="M53" i="9" s="1"/>
  <c r="C93" i="9"/>
  <c r="C86" i="9" s="1"/>
  <c r="C85" i="9"/>
  <c r="C78" i="9"/>
  <c r="C73" i="9" s="1"/>
  <c r="C72" i="9"/>
  <c r="D53" i="9"/>
  <c r="D52" i="9"/>
  <c r="D6" i="53"/>
  <c r="B22" i="72" s="1"/>
  <c r="B20" i="72"/>
  <c r="E118" i="9"/>
  <c r="E4" i="52" s="1"/>
  <c r="B48" i="72" s="1"/>
  <c r="H108" i="9"/>
  <c r="D15" i="53" s="1"/>
  <c r="B31" i="72" s="1"/>
  <c r="D122" i="9"/>
  <c r="D13" i="53"/>
  <c r="M49" i="9"/>
  <c r="D5" i="74"/>
  <c r="C5" i="74"/>
  <c r="C48" i="39"/>
  <c r="C47" i="39"/>
  <c r="E52" i="39"/>
  <c r="F52" i="39" s="1"/>
  <c r="E51" i="39"/>
  <c r="F51" i="39" s="1"/>
  <c r="H102" i="78" l="1"/>
  <c r="C105" i="78"/>
  <c r="G118" i="78"/>
  <c r="E118" i="78" s="1"/>
  <c r="F119" i="78"/>
  <c r="M48" i="78"/>
  <c r="D45" i="78"/>
  <c r="H107" i="78"/>
  <c r="L64" i="9"/>
  <c r="M64" i="9" s="1"/>
  <c r="L66" i="9"/>
  <c r="M66" i="9" s="1"/>
  <c r="L65" i="9"/>
  <c r="M65" i="9" s="1"/>
  <c r="L67" i="9"/>
  <c r="M67" i="9" s="1"/>
  <c r="L63" i="9"/>
  <c r="M63" i="9" s="1"/>
  <c r="L68" i="9"/>
  <c r="M68" i="9" s="1"/>
  <c r="D8" i="52"/>
  <c r="D123" i="9"/>
  <c r="D9" i="52" s="1"/>
  <c r="G14" i="74"/>
  <c r="B6" i="74" s="1"/>
  <c r="D14" i="53"/>
  <c r="B32" i="72" s="1"/>
  <c r="B30" i="72"/>
  <c r="C79" i="9"/>
  <c r="C95" i="9"/>
  <c r="C96" i="9" s="1"/>
  <c r="E96" i="9" s="1"/>
  <c r="E9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P57" i="9" s="1"/>
  <c r="M69" i="9"/>
  <c r="N69" i="9" s="1"/>
  <c r="C72" i="78"/>
  <c r="D55" i="78"/>
  <c r="M53" i="78" s="1"/>
  <c r="D52" i="78"/>
  <c r="C85" i="78"/>
  <c r="C64" i="78"/>
  <c r="C63" i="78" s="1"/>
  <c r="C67" i="78" s="1"/>
  <c r="C68" i="78" s="1"/>
  <c r="D54" i="78" s="1"/>
  <c r="C78" i="78"/>
  <c r="C73" i="78" s="1"/>
  <c r="C93" i="78"/>
  <c r="C86" i="78" s="1"/>
  <c r="D53" i="78"/>
  <c r="D122" i="78"/>
  <c r="D123" i="78" s="1"/>
  <c r="H108" i="78"/>
  <c r="M49" i="78"/>
  <c r="C80" i="9"/>
  <c r="E80" i="9" s="1"/>
  <c r="E81" i="9" s="1"/>
  <c r="C6" i="74"/>
  <c r="D6" i="74"/>
  <c r="N59" i="9"/>
  <c r="N61" i="9" s="1"/>
  <c r="C81" i="9" l="1"/>
  <c r="N58" i="9"/>
  <c r="C79" i="78"/>
  <c r="C80" i="78" s="1"/>
  <c r="E80" i="78" s="1"/>
  <c r="E81" i="78" s="1"/>
  <c r="L67" i="78"/>
  <c r="M67" i="78" s="1"/>
  <c r="L66" i="78"/>
  <c r="M66" i="78" s="1"/>
  <c r="L64" i="78"/>
  <c r="M64" i="78" s="1"/>
  <c r="L68" i="78"/>
  <c r="M68" i="78" s="1"/>
  <c r="L63" i="78"/>
  <c r="M63" i="78" s="1"/>
  <c r="L65" i="78"/>
  <c r="M65" i="78" s="1"/>
  <c r="C95" i="78"/>
  <c r="N60" i="9"/>
  <c r="M69" i="78" l="1"/>
  <c r="N69" i="78" s="1"/>
  <c r="C96" i="78"/>
  <c r="E96" i="78" s="1"/>
  <c r="E97" i="78" s="1"/>
  <c r="C81" i="78"/>
  <c r="C97" i="78" l="1"/>
  <c r="D58" i="78" s="1"/>
  <c r="D56" i="78" s="1"/>
  <c r="M54" i="78" s="1"/>
  <c r="N57" i="78" s="1"/>
  <c r="N58" i="78" l="1"/>
  <c r="P57" i="78"/>
  <c r="N59" i="78"/>
  <c r="N60" i="78" l="1"/>
  <c r="N61"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<sst xmlns="http://schemas.openxmlformats.org/spreadsheetml/2006/main" count="8254" uniqueCount="3142">
  <si>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</si>
  <si>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</si>
  <si>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</si>
  <si>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</si>
  <si>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</si>
  <si>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</si>
  <si>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</si>
  <si>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</si>
  <si>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</si>
  <si>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</si>
  <si>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</si>
  <si>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</si>
  <si>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</si>
  <si>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</si>
  <si>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</si>
  <si>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</si>
  <si>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</si>
  <si>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</si>
  <si>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</si>
  <si>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</si>
  <si>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</si>
  <si>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</si>
  <si>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</si>
  <si>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</si>
  <si>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</si>
  <si>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</si>
  <si>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</si>
  <si>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</si>
  <si>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</si>
  <si>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</si>
  <si>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</si>
  <si>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</si>
  <si>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</si>
  <si>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</si>
  <si>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</si>
  <si>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</si>
  <si>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</si>
  <si>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</si>
  <si>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</si>
  <si>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</si>
  <si>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</si>
  <si>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</si>
  <si>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</si>
  <si>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</si>
  <si>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</si>
  <si>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</si>
  <si>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</si>
  <si>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</si>
  <si>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</si>
  <si>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</si>
  <si>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</si>
  <si>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</si>
  <si>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</si>
  <si>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</si>
  <si>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</si>
  <si>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</si>
  <si>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</si>
  <si>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</si>
  <si>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</si>
  <si>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</si>
  <si>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</si>
  <si>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</si>
  <si>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</si>
  <si>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</si>
  <si>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</si>
  <si>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</si>
  <si>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</si>
  <si>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</si>
  <si>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</si>
  <si>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</si>
  <si>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</si>
  <si>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</si>
  <si>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</si>
  <si>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</si>
  <si>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</si>
  <si>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</si>
  <si>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</si>
  <si>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</si>
  <si>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</si>
  <si>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</si>
  <si>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</si>
  <si>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</si>
  <si>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</si>
  <si>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</si>
  <si>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</si>
  <si>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</si>
  <si>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</si>
  <si>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</si>
  <si>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</si>
  <si>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</si>
  <si>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</si>
  <si>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</si>
  <si>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</si>
  <si>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</si>
  <si>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</si>
  <si>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</si>
  <si>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</si>
  <si>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</si>
  <si>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</si>
  <si>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</si>
  <si>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</si>
  <si>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</si>
  <si>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</si>
  <si>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</si>
  <si>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</si>
  <si>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</si>
  <si>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</si>
  <si>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</si>
  <si>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</si>
  <si>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</si>
  <si>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</si>
  <si>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</si>
  <si>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</si>
  <si>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</si>
  <si>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</si>
  <si>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</si>
  <si>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</si>
  <si>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</si>
  <si>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</si>
  <si>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</si>
  <si>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</si>
  <si>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</si>
  <si>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</si>
  <si>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</si>
  <si>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</si>
  <si>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</si>
  <si>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</si>
  <si>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</si>
  <si>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</si>
  <si>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</si>
  <si>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</si>
  <si>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</si>
  <si>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</si>
  <si>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</si>
  <si>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</si>
  <si>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</si>
  <si>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</si>
  <si>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</si>
  <si>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</si>
  <si>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</si>
  <si>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</si>
  <si>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</si>
  <si>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</si>
  <si>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</si>
  <si>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</si>
  <si>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</si>
  <si>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</si>
  <si>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</si>
  <si>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</si>
  <si>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</si>
  <si>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</si>
  <si>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</si>
  <si>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</si>
  <si>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</si>
  <si>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</si>
  <si>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</si>
  <si>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</si>
  <si>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</si>
  <si>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</si>
  <si>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</si>
  <si>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</si>
  <si>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</si>
  <si>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</si>
  <si>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</si>
  <si>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</si>
  <si>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</si>
  <si>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</si>
  <si>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</si>
  <si>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</si>
  <si>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</si>
  <si>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</si>
  <si>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</si>
  <si>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</si>
  <si>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</si>
  <si>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</si>
  <si>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</si>
  <si>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</si>
  <si>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</si>
  <si>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</si>
  <si>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</si>
  <si>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</si>
  <si>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</si>
  <si>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</si>
  <si>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</si>
  <si>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</si>
  <si>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</si>
  <si>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</si>
  <si>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</si>
  <si>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</si>
  <si>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</si>
  <si>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</si>
  <si>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</si>
  <si>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</si>
  <si>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</si>
  <si>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</si>
  <si>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</si>
  <si>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</si>
  <si>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</si>
  <si>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</si>
  <si>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</si>
  <si>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</si>
  <si>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</si>
  <si>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</si>
  <si>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</si>
  <si>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</si>
  <si>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</si>
  <si>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</si>
  <si>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</si>
  <si>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</si>
  <si>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</si>
  <si>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</si>
  <si>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</si>
  <si>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</si>
  <si>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</si>
  <si>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</si>
  <si>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</si>
  <si>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</si>
  <si>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</si>
  <si>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</si>
  <si>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</si>
  <si>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</si>
  <si>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</si>
  <si>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</si>
  <si>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</si>
  <si>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</si>
  <si>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</si>
  <si>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</si>
  <si>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</si>
  <si>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</si>
  <si>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</si>
  <si>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</si>
  <si>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</si>
  <si>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</si>
  <si>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</si>
  <si>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</si>
  <si>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</si>
  <si>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</si>
  <si>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</si>
  <si>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</si>
  <si>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</si>
  <si>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</si>
  <si>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</si>
  <si>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</si>
  <si>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</si>
  <si>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</si>
  <si>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</si>
  <si>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</si>
  <si>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</si>
  <si>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</si>
  <si>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</si>
  <si>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</si>
  <si>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</si>
  <si>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</si>
  <si>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</si>
  <si>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</si>
  <si>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</si>
  <si>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</si>
  <si>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</si>
  <si>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</si>
  <si>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</si>
  <si>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</si>
  <si>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</si>
  <si>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</si>
  <si>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</si>
  <si>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</si>
  <si>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</si>
  <si>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</si>
  <si>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</si>
  <si>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</si>
  <si>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</si>
  <si>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</si>
  <si>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</si>
  <si>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</si>
  <si>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</si>
  <si>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</si>
  <si>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</si>
  <si>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</si>
  <si>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</si>
  <si>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</si>
  <si>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</si>
  <si>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</si>
  <si>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</si>
  <si>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</si>
  <si>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</si>
  <si>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</si>
  <si>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</si>
  <si>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</si>
  <si>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</si>
  <si>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</si>
  <si>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</si>
  <si>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</si>
  <si>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</si>
  <si>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</si>
  <si>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</si>
  <si>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</si>
  <si>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</si>
  <si>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</si>
  <si>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</si>
  <si>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</si>
  <si>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</si>
  <si>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</si>
  <si>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</si>
  <si>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</si>
  <si>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</si>
  <si>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</si>
  <si>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</si>
  <si>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</si>
  <si>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</si>
  <si>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</si>
  <si>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</si>
  <si>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</si>
  <si>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</si>
  <si>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</si>
  <si>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</si>
  <si>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</si>
  <si>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</si>
  <si>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</si>
  <si>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</si>
  <si>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</si>
  <si>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</si>
  <si>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</si>
  <si>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</si>
  <si>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</si>
  <si>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</si>
  <si>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</si>
  <si>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</si>
  <si>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</si>
  <si>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</si>
  <si>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</si>
  <si>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</si>
  <si>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</si>
  <si>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</si>
  <si>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</si>
  <si>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</si>
  <si>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</si>
  <si>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</si>
  <si>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</si>
  <si>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</si>
  <si>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</si>
  <si>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</si>
  <si>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</si>
  <si>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</si>
  <si>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</si>
  <si>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</si>
  <si>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</si>
  <si>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</si>
  <si>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</si>
  <si>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</si>
  <si>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</si>
  <si>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</si>
  <si>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</si>
  <si>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</si>
  <si>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</si>
  <si>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</si>
  <si>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</si>
  <si>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</si>
  <si>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</si>
  <si>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</si>
  <si>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</si>
  <si>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</si>
  <si>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</si>
  <si>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</si>
  <si>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</si>
  <si>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</si>
  <si>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</si>
  <si>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</si>
  <si>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</si>
  <si>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</si>
  <si>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</si>
  <si>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</si>
  <si>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</si>
  <si>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</si>
  <si>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</si>
  <si>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</si>
  <si>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</si>
  <si>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</si>
  <si>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</si>
  <si>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</si>
  <si>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</si>
  <si>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</si>
  <si>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</si>
  <si>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</si>
  <si>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</si>
  <si>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</si>
  <si>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</si>
  <si>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</si>
  <si>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</si>
  <si>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</si>
  <si>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</si>
  <si>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</si>
  <si>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</si>
  <si>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</si>
  <si>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</si>
  <si>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</si>
  <si>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</si>
  <si>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</si>
  <si>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</si>
  <si>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</si>
  <si>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</si>
  <si>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</si>
  <si>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</si>
  <si>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</si>
  <si>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</si>
  <si>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</si>
  <si>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</si>
  <si>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</si>
  <si>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</si>
  <si>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</si>
  <si>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</si>
  <si>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</si>
  <si>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</si>
  <si>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</si>
  <si>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</si>
  <si>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</si>
  <si>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</si>
  <si>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</si>
  <si>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</si>
  <si>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</si>
  <si>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</si>
  <si>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</si>
  <si>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</si>
  <si>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</si>
  <si>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</si>
  <si>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</si>
  <si>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</si>
  <si>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</si>
  <si>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</si>
  <si>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</si>
  <si>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</si>
  <si>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</si>
  <si>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</si>
  <si>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</si>
  <si>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</si>
  <si>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</si>
  <si>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</si>
  <si>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</si>
  <si>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</si>
  <si>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</si>
  <si>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</si>
  <si>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</si>
  <si>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</si>
  <si>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</si>
  <si>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</si>
  <si>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</si>
  <si>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</si>
  <si>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</si>
  <si>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</si>
  <si>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</si>
  <si>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</si>
  <si>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</si>
  <si>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</si>
  <si>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</si>
  <si>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</si>
  <si>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</si>
  <si>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</si>
  <si>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</si>
  <si>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</si>
  <si>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</si>
  <si>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</si>
  <si>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</si>
  <si>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</si>
  <si>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</si>
  <si>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</si>
  <si>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</si>
  <si>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</si>
  <si>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</si>
  <si>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</si>
  <si>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</si>
  <si>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</si>
  <si>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</si>
  <si>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</si>
  <si>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</si>
  <si>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</si>
  <si>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</si>
  <si>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</si>
  <si>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</si>
  <si>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</si>
  <si>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</si>
  <si>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</si>
  <si>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</si>
  <si>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</si>
  <si>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</si>
  <si>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</si>
  <si>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</si>
  <si>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</si>
  <si>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</si>
  <si>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</si>
  <si>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</si>
  <si>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</si>
  <si>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</si>
  <si>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</si>
  <si>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</si>
  <si>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</si>
  <si>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</si>
  <si>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</si>
  <si>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</si>
  <si>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</si>
  <si>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</si>
  <si>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</si>
  <si>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</si>
  <si>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</si>
  <si>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</si>
  <si>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</si>
  <si>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</si>
  <si>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</si>
  <si>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</si>
  <si>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</si>
  <si>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</si>
  <si>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</si>
  <si>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</si>
  <si>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</si>
  <si>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</si>
  <si>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</si>
  <si>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</si>
  <si>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</si>
  <si>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</si>
  <si>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</si>
  <si>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</si>
  <si>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</si>
  <si>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</si>
  <si>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</si>
  <si>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</si>
  <si>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</si>
  <si>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</si>
  <si>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</si>
  <si>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</si>
  <si>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</si>
  <si>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</si>
  <si>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</si>
  <si>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</si>
  <si>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</si>
  <si>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</si>
  <si>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</si>
  <si>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</si>
  <si>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</si>
  <si>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</si>
  <si>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</si>
  <si>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</si>
  <si>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</si>
  <si>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</si>
  <si>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</si>
  <si>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</si>
  <si>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</si>
  <si>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</si>
  <si>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</si>
  <si>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</si>
  <si>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</si>
  <si>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</si>
  <si>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</si>
  <si>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</si>
  <si>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</si>
  <si>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</si>
  <si>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</si>
  <si>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</si>
  <si>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</si>
  <si>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</si>
  <si>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</si>
  <si>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</si>
  <si>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</si>
  <si>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</si>
  <si>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</si>
  <si>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</si>
  <si>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</si>
  <si>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</si>
  <si>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</si>
  <si>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</si>
  <si>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</si>
  <si>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</si>
  <si>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</si>
  <si>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</si>
  <si>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</si>
  <si>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</si>
  <si>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</si>
  <si>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</si>
  <si>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</si>
  <si>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</si>
  <si>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</si>
  <si>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</si>
  <si>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</si>
  <si>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</si>
  <si>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</si>
  <si>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</si>
  <si>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</si>
  <si>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</si>
  <si>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</si>
  <si>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</si>
  <si>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</si>
  <si>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</si>
  <si>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</si>
  <si>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</si>
  <si>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</si>
  <si>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</si>
  <si>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</si>
  <si>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</si>
  <si>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</si>
  <si>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</si>
  <si>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</si>
  <si>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</si>
  <si>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</si>
  <si>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</si>
  <si>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</si>
  <si>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</si>
  <si>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</si>
  <si>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</si>
  <si>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</si>
  <si>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</si>
  <si>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</si>
  <si>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</si>
  <si>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</si>
  <si>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</si>
  <si>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</si>
  <si>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</si>
  <si>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</si>
  <si>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</si>
  <si>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</si>
  <si>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</si>
  <si>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</si>
  <si>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</si>
  <si>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</si>
  <si>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</si>
  <si>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</si>
  <si>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</si>
  <si>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</si>
  <si>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</si>
  <si>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</si>
  <si>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</si>
  <si>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</si>
  <si>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</si>
  <si>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</si>
  <si>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</si>
  <si>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</si>
  <si>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</si>
  <si>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</si>
  <si>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</si>
  <si>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</si>
  <si>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</si>
  <si>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</si>
  <si>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</si>
  <si>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</si>
  <si>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</si>
  <si>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</si>
  <si>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</si>
  <si>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</si>
  <si>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</si>
  <si>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</si>
  <si>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</si>
  <si>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</si>
  <si>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</si>
  <si>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</si>
  <si>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</si>
  <si>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</si>
  <si>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</si>
  <si>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</si>
  <si>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</si>
  <si>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</si>
  <si>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</si>
  <si>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</si>
  <si>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</si>
  <si>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</si>
  <si>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</si>
  <si>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</si>
  <si>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</si>
  <si>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</si>
  <si>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</si>
  <si>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</si>
  <si>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</si>
  <si>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</si>
  <si>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</si>
  <si>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</si>
  <si>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</si>
  <si>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</si>
  <si>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</si>
  <si>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</si>
  <si>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</si>
  <si>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</si>
  <si>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</si>
  <si>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</si>
  <si>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</si>
  <si>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</si>
  <si>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</si>
  <si>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</si>
  <si>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</si>
  <si>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</si>
  <si>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</si>
  <si>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</si>
  <si>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</si>
  <si>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</si>
  <si>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</si>
  <si>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</si>
  <si>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</si>
  <si>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</si>
  <si>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</si>
  <si>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</si>
  <si>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</si>
  <si>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</si>
  <si>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</si>
  <si>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</si>
  <si>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</si>
  <si>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</si>
  <si>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</si>
  <si>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</si>
  <si>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</si>
  <si>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</si>
  <si>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</si>
  <si>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</si>
  <si>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</si>
  <si>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</si>
  <si>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</si>
  <si>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</si>
  <si>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</si>
  <si>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</si>
  <si>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</si>
  <si>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</si>
  <si>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</si>
  <si>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</si>
  <si>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</si>
  <si>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</si>
  <si>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</si>
  <si>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</si>
  <si>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</si>
  <si>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</si>
  <si>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</si>
  <si>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</si>
  <si>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</si>
  <si>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</si>
  <si>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</si>
  <si>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</si>
  <si>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</si>
  <si>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</si>
  <si>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</si>
  <si>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</si>
  <si>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</si>
  <si>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</si>
  <si>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</si>
  <si>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</si>
  <si>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</si>
  <si>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</si>
  <si>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</si>
  <si>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</si>
  <si>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</si>
  <si>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</si>
  <si>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</si>
  <si>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</si>
  <si>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</si>
  <si>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</si>
  <si>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</si>
  <si>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</si>
  <si>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</si>
  <si>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</si>
  <si>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</si>
  <si>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</si>
  <si>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</si>
  <si>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</si>
  <si>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</si>
  <si>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</si>
  <si>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</si>
  <si>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</si>
  <si>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</si>
  <si>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</si>
  <si>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</si>
  <si>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</si>
  <si>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</si>
  <si>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</si>
  <si>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</si>
  <si>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</si>
  <si>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</si>
  <si>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</si>
  <si>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</si>
  <si>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</si>
  <si>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</si>
  <si>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</si>
  <si>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</si>
  <si>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</si>
  <si>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</si>
  <si>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</si>
  <si>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</si>
  <si>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</si>
  <si>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</si>
  <si>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</si>
  <si>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</si>
  <si>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</si>
  <si>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</si>
  <si>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</si>
  <si>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</si>
  <si>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</si>
  <si>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</si>
  <si>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</si>
  <si>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</si>
  <si>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</si>
  <si>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</si>
  <si>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</si>
  <si>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</si>
  <si>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</si>
  <si>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</si>
  <si>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</si>
  <si>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</si>
  <si>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</si>
  <si>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</si>
  <si>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</si>
  <si>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</si>
  <si>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</si>
  <si>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</si>
  <si>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</si>
  <si>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</si>
  <si>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</si>
  <si>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</si>
  <si>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</si>
  <si>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</si>
  <si>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</si>
  <si>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</si>
  <si>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</si>
  <si>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</si>
  <si>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</si>
  <si>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</si>
  <si>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</si>
  <si>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</si>
  <si>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</si>
  <si>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</si>
  <si>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</si>
  <si>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</si>
  <si>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</si>
  <si>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</si>
  <si>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</si>
  <si>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</si>
  <si>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</si>
  <si>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</si>
  <si>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</si>
  <si>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</si>
  <si>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</si>
  <si>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</si>
  <si>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</si>
  <si>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</si>
  <si>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</si>
  <si>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</si>
  <si>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</si>
  <si>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</si>
  <si>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</si>
  <si>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</si>
  <si>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</si>
  <si>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</si>
  <si>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</si>
  <si>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</si>
  <si>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</si>
  <si>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</si>
  <si>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</si>
  <si>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</si>
  <si>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</si>
  <si>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</si>
  <si>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</si>
  <si>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</si>
  <si>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</si>
  <si>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</si>
  <si>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</si>
  <si>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</si>
  <si>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</si>
  <si>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</si>
  <si>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</si>
  <si>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</si>
  <si>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</si>
  <si>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</si>
  <si>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</si>
  <si>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</si>
  <si>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</si>
  <si>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</si>
  <si>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</si>
  <si>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</si>
  <si>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</si>
  <si>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</si>
  <si>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</si>
  <si>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</si>
  <si>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</si>
  <si>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</si>
  <si>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</si>
  <si>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</si>
  <si>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</si>
  <si>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</si>
  <si>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</si>
  <si>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</si>
  <si>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</si>
  <si>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</si>
  <si>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</si>
  <si>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</si>
  <si>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</si>
  <si>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</si>
  <si>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</si>
  <si>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</si>
  <si>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</si>
  <si>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</si>
  <si>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</si>
  <si>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</si>
  <si>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</si>
  <si>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</si>
  <si>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</si>
  <si>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</si>
  <si>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</si>
  <si>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</si>
  <si>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</si>
  <si>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</si>
  <si>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</si>
  <si>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</si>
  <si>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</si>
  <si>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</si>
  <si>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</si>
  <si>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</si>
  <si>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</si>
  <si>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</si>
  <si>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</si>
  <si>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</si>
  <si>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</si>
  <si>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</si>
  <si>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</si>
  <si>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</si>
  <si>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</si>
  <si>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</si>
  <si>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</si>
  <si>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</si>
  <si>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</si>
  <si>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</si>
  <si>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</si>
  <si>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</si>
  <si>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</si>
  <si>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</si>
  <si>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</si>
  <si>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</si>
  <si>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</si>
  <si>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</si>
  <si>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</si>
  <si>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</si>
  <si>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</si>
  <si>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</si>
  <si>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</si>
  <si>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</si>
  <si>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</si>
  <si>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</si>
  <si>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</si>
  <si>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</si>
  <si>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</si>
  <si>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</si>
  <si>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</si>
  <si>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</si>
  <si>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</si>
  <si>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</si>
  <si>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</si>
  <si>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</si>
  <si>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</si>
  <si>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</si>
  <si>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</si>
  <si>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</si>
  <si>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</si>
  <si>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</si>
  <si>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</si>
  <si>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</si>
  <si>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</si>
  <si>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</si>
  <si>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</si>
  <si>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</si>
  <si>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</si>
  <si>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</si>
  <si>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</si>
  <si>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</si>
  <si>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</si>
  <si>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</si>
  <si>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</si>
  <si>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</si>
  <si>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</si>
  <si>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</si>
  <si>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</si>
  <si>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</si>
  <si>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</si>
  <si>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</si>
  <si>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</si>
  <si>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</si>
  <si>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</si>
  <si>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</si>
  <si>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</si>
  <si>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</si>
  <si>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</si>
  <si>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</si>
  <si>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</si>
  <si>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</si>
  <si>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</si>
  <si>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</si>
  <si>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</si>
  <si>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</si>
  <si>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</si>
  <si>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</si>
  <si>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</si>
  <si>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</si>
  <si>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</si>
  <si>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</si>
  <si>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</si>
  <si>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</si>
  <si>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</si>
  <si>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</si>
  <si>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</si>
  <si>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</si>
  <si>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</si>
  <si>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</si>
  <si>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</si>
  <si>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</si>
  <si>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</si>
  <si>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</si>
  <si>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</si>
  <si>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</si>
  <si>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</si>
  <si>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</si>
  <si>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</si>
  <si>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</si>
  <si>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</si>
  <si>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</si>
  <si>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</si>
  <si>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</si>
  <si>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</si>
  <si>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</si>
  <si>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</si>
  <si>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</si>
  <si>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</si>
  <si>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</si>
  <si>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</si>
  <si>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</si>
  <si>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</si>
  <si>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</si>
  <si>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</si>
  <si>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</si>
  <si>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</si>
  <si>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</si>
  <si>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</si>
  <si>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</si>
  <si>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</si>
  <si>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</si>
  <si>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</si>
  <si>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</si>
  <si>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</si>
  <si>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</si>
  <si>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</si>
  <si>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</si>
  <si>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</si>
  <si>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</si>
  <si>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</si>
  <si>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</si>
  <si>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</si>
  <si>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</si>
  <si>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</si>
  <si>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</si>
  <si>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</si>
  <si>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</si>
  <si>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</si>
  <si>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</si>
  <si>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</si>
  <si>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</si>
  <si>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</si>
  <si>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</si>
  <si>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</si>
  <si>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</si>
  <si>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</si>
  <si>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</si>
  <si>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</si>
  <si>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</si>
  <si>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</si>
  <si>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</si>
  <si>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</si>
  <si>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</si>
  <si>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</si>
  <si>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</si>
  <si>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</si>
  <si>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</si>
  <si>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</si>
  <si>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</si>
  <si>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</si>
  <si>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</si>
  <si>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</si>
  <si>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</si>
  <si>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</si>
  <si>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</si>
  <si>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</si>
  <si>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</si>
  <si>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</si>
  <si>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</si>
  <si>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</si>
  <si>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</si>
  <si>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</si>
  <si>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</si>
  <si>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</si>
  <si>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</si>
  <si>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</si>
  <si>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</si>
  <si>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</si>
  <si>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</si>
  <si>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</si>
  <si>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</si>
  <si>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</si>
  <si>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</si>
  <si>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</si>
  <si>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</si>
  <si>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</si>
  <si>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</si>
  <si>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</si>
  <si>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</si>
  <si>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</si>
  <si>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</si>
  <si>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</si>
  <si>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</si>
  <si>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</si>
  <si>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</si>
  <si>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</si>
  <si>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</si>
  <si>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</si>
  <si>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</si>
  <si>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</si>
  <si>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</si>
  <si>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</si>
  <si>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</si>
  <si>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</si>
  <si>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</si>
  <si>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</si>
  <si>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</si>
  <si>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</si>
  <si>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</si>
  <si>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</si>
  <si>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</si>
  <si>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</si>
  <si>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</si>
  <si>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</si>
  <si>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</si>
  <si>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</si>
  <si>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</si>
  <si>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</si>
  <si>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</si>
  <si>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</si>
  <si>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</si>
  <si>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</si>
  <si>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</si>
  <si>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</si>
  <si>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</si>
  <si>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</si>
  <si>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</si>
  <si>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</si>
  <si>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</si>
  <si>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</si>
  <si>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</si>
  <si>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</si>
  <si>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</si>
  <si>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</si>
  <si>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</si>
  <si>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</si>
  <si>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</si>
  <si>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</si>
  <si>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</si>
  <si>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</si>
  <si>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</si>
  <si>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</si>
  <si>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</si>
  <si>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</si>
  <si>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</si>
  <si>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</si>
  <si>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</si>
  <si>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</si>
  <si>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</si>
  <si>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</si>
  <si>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</si>
  <si>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</si>
  <si>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</si>
  <si>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</si>
  <si>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</si>
  <si>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</si>
  <si>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</si>
  <si>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</si>
  <si>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</si>
  <si>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</si>
  <si>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</si>
  <si>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</si>
  <si>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</si>
  <si>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</si>
  <si>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</si>
  <si>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</si>
  <si>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</si>
  <si>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</si>
  <si>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</si>
  <si>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</si>
  <si>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</si>
  <si>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</si>
  <si>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</si>
  <si>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</si>
  <si>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</si>
  <si>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</si>
  <si>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</si>
  <si>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</si>
  <si>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</si>
  <si>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</si>
  <si>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</si>
  <si>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</si>
  <si>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</si>
  <si>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</si>
  <si>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</si>
  <si>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</si>
  <si>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</si>
  <si>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</si>
  <si>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</si>
  <si>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</si>
  <si>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</si>
  <si>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</si>
  <si>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</si>
  <si>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</si>
  <si>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</si>
  <si>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</si>
  <si>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</si>
  <si>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</si>
  <si>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</si>
  <si>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</si>
  <si>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</si>
  <si>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</si>
  <si>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</si>
  <si>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</si>
  <si>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</si>
  <si>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</si>
  <si>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</si>
  <si>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</si>
  <si>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</si>
  <si>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</si>
  <si>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</si>
  <si>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</si>
  <si>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</si>
  <si>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</si>
  <si>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</si>
  <si>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</si>
  <si>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</si>
  <si>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</si>
  <si>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</si>
  <si>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</si>
  <si>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</si>
  <si>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</si>
  <si>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</si>
  <si>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</si>
  <si>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</si>
  <si>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</si>
  <si>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</si>
  <si>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</si>
  <si>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</si>
  <si>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</si>
  <si>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</si>
  <si>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</si>
  <si>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</si>
  <si>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</si>
  <si>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</si>
  <si>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</si>
  <si>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</si>
  <si>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</si>
  <si>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</si>
  <si>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</si>
  <si>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</si>
  <si>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</si>
  <si>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</si>
  <si>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</si>
  <si>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</si>
  <si>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</si>
  <si>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</si>
  <si>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</si>
  <si>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</si>
  <si>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</si>
  <si>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</si>
  <si>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</si>
  <si>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</si>
  <si>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</si>
  <si>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</si>
  <si>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</si>
  <si>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</si>
  <si>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</si>
  <si>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</si>
  <si>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</si>
  <si>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</si>
  <si>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</si>
  <si>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</si>
  <si>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</si>
  <si>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</si>
  <si>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</si>
  <si>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</si>
  <si>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</si>
  <si>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</si>
  <si>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</si>
  <si>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</si>
  <si>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</si>
  <si>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</si>
  <si>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</si>
  <si>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</si>
  <si>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</si>
  <si>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</si>
  <si>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</si>
  <si>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</si>
  <si>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</si>
  <si>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</si>
  <si>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</si>
  <si>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</si>
  <si>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</si>
  <si>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</si>
  <si>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</si>
  <si>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</si>
  <si>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</si>
  <si>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</si>
  <si>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</si>
  <si>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</si>
  <si>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</si>
  <si>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</si>
  <si>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</si>
  <si>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</si>
  <si>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</si>
  <si>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</si>
  <si>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</si>
  <si>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</si>
  <si>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</si>
  <si>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</si>
  <si>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</si>
  <si>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</si>
  <si>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</si>
  <si>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</si>
  <si>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</si>
  <si>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</si>
  <si>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</si>
  <si>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</si>
  <si>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</si>
  <si>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</si>
  <si>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</si>
  <si>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</si>
  <si>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</si>
  <si>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</si>
  <si>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</si>
  <si>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</si>
  <si>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</si>
  <si>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</si>
  <si>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</si>
  <si>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</si>
  <si>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</si>
  <si>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</si>
  <si>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</si>
  <si>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</si>
  <si>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</si>
  <si>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</si>
  <si>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</si>
  <si>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</si>
  <si>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</si>
  <si>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</si>
  <si>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</si>
  <si>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</si>
  <si>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</si>
  <si>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</si>
  <si>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</si>
  <si>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</si>
  <si>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</si>
  <si>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</si>
  <si>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</si>
  <si>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</si>
  <si>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</si>
  <si>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</si>
  <si>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</si>
  <si>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</si>
  <si>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</si>
  <si>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</si>
  <si>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</si>
  <si>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</si>
  <si>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</si>
  <si>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</si>
  <si>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</si>
  <si>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</si>
  <si>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</si>
  <si>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</si>
  <si>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</si>
  <si>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</si>
  <si>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</si>
  <si>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</si>
  <si>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</si>
  <si>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</si>
  <si>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</si>
  <si>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</si>
  <si>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</si>
  <si>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</si>
  <si>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</si>
  <si>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</si>
  <si>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</si>
  <si>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</si>
  <si>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</si>
  <si>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</si>
  <si>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</si>
  <si>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</si>
  <si>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</si>
  <si>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</si>
  <si>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</si>
  <si>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</si>
  <si>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</si>
  <si>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</si>
  <si>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</si>
  <si>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</si>
  <si>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</si>
  <si>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</si>
  <si>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</si>
  <si>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</si>
  <si>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</si>
  <si>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</si>
  <si>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</si>
  <si>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</si>
  <si>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</si>
  <si>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</si>
  <si>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</si>
  <si>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</si>
  <si>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</si>
  <si>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</si>
  <si>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</si>
  <si>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</si>
  <si>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</si>
  <si>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</si>
  <si>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</si>
  <si>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</si>
  <si>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</si>
  <si>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</si>
  <si>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</si>
  <si>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</si>
  <si>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</si>
  <si>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</si>
  <si>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</si>
  <si>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</si>
  <si>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</si>
  <si>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</si>
  <si>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</si>
  <si>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</si>
  <si>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</si>
  <si>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</si>
  <si>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</si>
  <si>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</si>
  <si>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</si>
  <si>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</si>
  <si>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</si>
  <si>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</si>
  <si>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</si>
  <si>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</si>
  <si>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</si>
  <si>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</si>
  <si>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</si>
  <si>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</si>
  <si>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</si>
  <si>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</si>
  <si>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</si>
  <si>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</si>
  <si>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</si>
  <si>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</si>
  <si>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</si>
  <si>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</si>
  <si>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</si>
  <si>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</si>
  <si>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</si>
  <si>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</si>
  <si>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</si>
  <si>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</si>
  <si>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</si>
  <si>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</si>
  <si>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</si>
  <si>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</si>
  <si>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</si>
  <si>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</si>
  <si>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</si>
  <si>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</si>
  <si>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</si>
  <si>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</si>
  <si>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</si>
  <si>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</si>
  <si>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</si>
  <si>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</si>
  <si>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</si>
  <si>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</si>
  <si>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</si>
  <si>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</si>
  <si>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</si>
  <si>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</si>
  <si>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</si>
  <si>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</si>
  <si>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</si>
  <si>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</si>
  <si>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</si>
  <si>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</si>
  <si>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</si>
  <si>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</si>
  <si>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</si>
  <si>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</si>
  <si>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</si>
  <si>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</si>
  <si>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</si>
  <si>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</si>
  <si>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</si>
  <si>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</si>
  <si>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</si>
  <si>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</si>
  <si>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</si>
  <si>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</si>
  <si>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</si>
  <si>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</si>
  <si>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</si>
  <si>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</si>
  <si>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</si>
  <si>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</si>
  <si>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</si>
  <si>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</si>
  <si>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</si>
  <si>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</si>
  <si>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</si>
  <si>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</si>
  <si>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</si>
  <si>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</si>
  <si>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</si>
  <si>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</si>
  <si>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</si>
  <si>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</si>
  <si>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</si>
  <si>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</si>
  <si>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</si>
  <si>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</si>
  <si>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</si>
  <si>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</si>
  <si>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</si>
  <si>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</si>
  <si>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</si>
  <si>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</si>
  <si>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</si>
  <si>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</si>
  <si>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</si>
  <si>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</si>
  <si>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</si>
  <si>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</si>
  <si>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</si>
  <si>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</si>
  <si>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</si>
  <si>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</si>
  <si>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</si>
  <si>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</si>
  <si>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</si>
  <si>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</si>
  <si>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</si>
  <si>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</si>
  <si>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</si>
  <si>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</si>
  <si>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</si>
  <si>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</si>
  <si>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</si>
  <si>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</si>
  <si>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</si>
  <si>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</si>
  <si>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</si>
  <si>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</si>
  <si>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</si>
  <si>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</si>
  <si>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</si>
  <si>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</si>
  <si>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</si>
  <si>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</si>
  <si>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</si>
  <si>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</si>
  <si>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</si>
  <si>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</si>
  <si>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</si>
  <si>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</si>
  <si>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</si>
  <si>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</si>
  <si>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</si>
  <si>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</si>
  <si>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</si>
  <si>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</si>
  <si>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</si>
  <si>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</si>
  <si>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</si>
  <si>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</si>
  <si>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</si>
  <si>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</si>
  <si>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</si>
  <si>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</si>
  <si>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</si>
  <si>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</si>
  <si>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</si>
  <si>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</si>
  <si>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</si>
  <si>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</si>
  <si>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</si>
  <si>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</si>
  <si>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</si>
  <si>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</si>
  <si>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</si>
  <si>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</si>
  <si>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</si>
  <si>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</si>
  <si>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</si>
  <si>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</si>
  <si>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</si>
  <si>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</si>
  <si>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</si>
  <si>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</si>
  <si>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</si>
  <si>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</si>
  <si>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</si>
  <si>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</si>
  <si>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</si>
  <si>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</si>
  <si>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</si>
  <si>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</si>
  <si>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</si>
  <si>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</si>
  <si>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</si>
  <si>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</si>
  <si>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</si>
  <si>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</si>
  <si>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</si>
  <si>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</si>
  <si>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</si>
  <si>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</si>
  <si>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</si>
  <si>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</si>
  <si>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</si>
  <si>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</si>
  <si>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</si>
  <si>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</si>
  <si>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</si>
  <si>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</si>
  <si>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</si>
  <si>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</si>
  <si>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</si>
  <si>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</si>
  <si>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</si>
  <si>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</si>
  <si>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</si>
  <si>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</si>
  <si>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</si>
  <si>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</si>
  <si>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</si>
  <si>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</si>
  <si>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</si>
  <si>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</si>
  <si>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</si>
  <si>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</si>
  <si>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</si>
  <si>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</si>
  <si>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</si>
  <si>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</si>
  <si>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</si>
  <si>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</si>
  <si>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</si>
  <si>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</si>
  <si>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</si>
  <si>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</si>
  <si>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</si>
  <si>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</si>
  <si>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</si>
  <si>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</si>
  <si>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</si>
  <si>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</si>
  <si>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</si>
  <si>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</si>
  <si>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</si>
  <si>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</si>
  <si>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</si>
  <si>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</si>
  <si>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</si>
  <si>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</si>
  <si>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</si>
  <si>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</si>
  <si>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</si>
  <si>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</si>
  <si>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</si>
  <si>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</si>
  <si>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</si>
  <si>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</si>
  <si>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</si>
  <si>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</si>
  <si>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</si>
  <si>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</si>
  <si>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</si>
  <si>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</si>
  <si>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</si>
  <si>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</si>
  <si>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</si>
  <si>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</si>
  <si>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</si>
  <si>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</si>
  <si>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</si>
  <si>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</si>
  <si>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</si>
  <si>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</si>
  <si>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</si>
  <si>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</si>
  <si>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</si>
  <si>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</si>
  <si>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</si>
  <si>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</si>
  <si>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</si>
  <si>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</si>
  <si>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</si>
  <si>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</si>
  <si>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</si>
  <si>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</si>
  <si>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</si>
  <si>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</si>
  <si>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</si>
  <si>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</si>
  <si>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</si>
  <si>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</si>
  <si>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</si>
  <si>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</si>
  <si>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</si>
  <si>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</si>
  <si>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</si>
  <si>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</si>
  <si>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</si>
  <si>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</si>
  <si>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</si>
  <si>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</si>
  <si>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</si>
  <si>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</si>
  <si>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</si>
  <si>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</si>
  <si>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</si>
  <si>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</si>
  <si>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</si>
  <si>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</si>
  <si>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</si>
  <si>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</si>
  <si>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</si>
  <si>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</si>
  <si>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</si>
  <si>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</si>
  <si>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</si>
  <si>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</si>
  <si>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</si>
  <si>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</si>
  <si>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</si>
  <si>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</si>
  <si>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</si>
  <si>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</si>
  <si>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</si>
  <si>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</si>
  <si>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</si>
  <si>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</si>
  <si>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</si>
  <si>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</si>
  <si>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</si>
  <si>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</si>
  <si>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</si>
  <si>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</si>
  <si>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</si>
  <si>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</si>
  <si>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</si>
  <si>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</si>
  <si>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</si>
  <si>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</si>
  <si>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</si>
  <si>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</si>
  <si>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</si>
  <si>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</si>
  <si>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</si>
  <si>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</si>
  <si>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</si>
  <si>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</si>
  <si>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</si>
  <si>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</si>
  <si>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</si>
  <si>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</si>
  <si>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</si>
  <si>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</si>
  <si>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</si>
  <si>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</si>
  <si>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</si>
  <si>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</si>
  <si>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</si>
  <si>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</si>
  <si>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</si>
  <si>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</si>
  <si>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</si>
  <si>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</si>
  <si>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</si>
  <si>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</si>
  <si>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</si>
  <si>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</si>
  <si>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</si>
  <si>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</si>
  <si>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</si>
  <si>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</si>
  <si>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</si>
  <si>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</si>
  <si>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</si>
  <si>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</si>
  <si>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</si>
  <si>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</si>
  <si>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</si>
  <si>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</si>
  <si>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</si>
  <si>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</si>
  <si>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</si>
  <si>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</si>
  <si>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</si>
  <si>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</si>
  <si>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</si>
  <si>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</si>
  <si>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</si>
  <si>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</si>
  <si>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</si>
  <si>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</si>
  <si>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</si>
  <si>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</si>
  <si>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</si>
  <si>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</si>
  <si>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</si>
  <si>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</si>
  <si>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</si>
  <si>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</si>
  <si>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</si>
  <si>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</si>
  <si>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</si>
  <si>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</si>
  <si>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</si>
  <si>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</si>
  <si>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</si>
  <si>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</si>
  <si>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</si>
  <si>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</si>
  <si>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</si>
  <si>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</si>
  <si>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</si>
  <si>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</si>
  <si>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</si>
  <si>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</si>
  <si>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</si>
  <si>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</si>
  <si>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</si>
  <si>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</si>
  <si>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</si>
  <si>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</si>
  <si>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</si>
  <si>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</si>
  <si>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</si>
  <si>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</si>
  <si>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</si>
  <si>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</si>
  <si>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</si>
  <si>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</si>
  <si>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</si>
  <si>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</si>
  <si>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</si>
  <si>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</si>
  <si>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</si>
  <si>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</si>
  <si>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</si>
  <si>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</si>
  <si>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</si>
  <si>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</si>
  <si>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</si>
  <si>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</si>
  <si>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</si>
  <si>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</si>
  <si>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</si>
  <si>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</si>
  <si>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</si>
  <si>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</si>
  <si>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</si>
  <si>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</si>
  <si>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</si>
  <si>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</si>
  <si>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</si>
  <si>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</si>
  <si>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</si>
  <si>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</si>
  <si>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</si>
  <si>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</si>
  <si>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</si>
  <si>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</si>
  <si>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</si>
  <si>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</si>
  <si>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</si>
  <si>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</si>
  <si>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</si>
  <si>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</si>
  <si>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</si>
  <si>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</si>
  <si>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</si>
  <si>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</si>
  <si>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</si>
  <si>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</si>
  <si>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</si>
  <si>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</si>
  <si>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</si>
  <si>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</si>
  <si>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</si>
  <si>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</si>
  <si>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</si>
  <si>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</si>
  <si>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</si>
  <si>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</si>
  <si>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</si>
  <si>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</si>
  <si>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</si>
  <si>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</si>
  <si>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</si>
  <si>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</si>
  <si>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</si>
  <si>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</si>
  <si>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</si>
  <si>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</si>
  <si>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</si>
  <si>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</si>
  <si>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</si>
  <si>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</si>
  <si>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</si>
  <si>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</si>
  <si>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</si>
  <si>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</si>
  <si>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</si>
  <si>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</si>
  <si>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</si>
  <si>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</si>
  <si>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</si>
  <si>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</si>
  <si>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</si>
  <si>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</si>
  <si>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</si>
  <si>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</si>
  <si>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</si>
  <si>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</si>
  <si>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</si>
  <si>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</si>
  <si>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</si>
  <si>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</si>
  <si>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</si>
  <si>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</si>
  <si>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</si>
  <si>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</si>
  <si>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</si>
  <si>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</si>
  <si>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</si>
  <si>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</si>
  <si>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</si>
  <si>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</si>
  <si>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</si>
  <si>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</si>
  <si>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</si>
  <si>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</si>
  <si>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</si>
  <si>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</si>
  <si>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</si>
  <si>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</si>
  <si>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</si>
  <si>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</si>
  <si>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</si>
  <si>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</si>
  <si>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</si>
  <si>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</si>
  <si>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</si>
  <si>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</si>
  <si>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</si>
  <si>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</si>
  <si>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</si>
  <si>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</si>
  <si>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</si>
  <si>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</si>
  <si>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</si>
  <si>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</si>
  <si>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</si>
  <si>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</si>
  <si>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</si>
  <si>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</si>
  <si>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</si>
  <si>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</si>
  <si>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</si>
  <si>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</si>
  <si>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</si>
  <si>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</si>
  <si>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</si>
  <si>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</si>
  <si>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</si>
  <si>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</si>
  <si>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</si>
  <si>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</si>
  <si>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</si>
  <si>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</si>
  <si>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</si>
  <si>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</si>
  <si>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</si>
  <si>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</si>
  <si>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</si>
  <si>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</si>
  <si>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</si>
  <si>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</si>
  <si>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</si>
  <si>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</si>
  <si>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</si>
  <si>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</si>
  <si>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</si>
  <si>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</si>
  <si>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</si>
  <si>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</si>
  <si>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</si>
  <si>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</si>
  <si>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</si>
  <si>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</si>
  <si>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</si>
  <si>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</si>
  <si>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</si>
  <si>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</si>
  <si>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</si>
  <si>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</si>
  <si>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</si>
  <si>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</si>
  <si>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</si>
  <si>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</si>
  <si>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</si>
  <si>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</si>
  <si>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</si>
  <si>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</si>
  <si>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</si>
  <si>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</si>
  <si>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</si>
  <si>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</si>
  <si>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</si>
  <si>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</si>
  <si>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</si>
  <si>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</si>
  <si>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</si>
  <si>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</si>
  <si>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</si>
  <si>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</si>
  <si>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</si>
  <si>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</si>
  <si>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</si>
  <si>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</si>
  <si>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</si>
  <si>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</si>
  <si>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</si>
  <si>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</si>
  <si>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</si>
  <si>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</si>
  <si>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</si>
  <si>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</si>
  <si>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</si>
  <si>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</si>
  <si>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</si>
  <si>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</si>
  <si>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</si>
  <si>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</si>
  <si>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</si>
  <si>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</si>
  <si>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</si>
  <si>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</si>
  <si>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</si>
  <si>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</si>
  <si>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</si>
  <si>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</si>
  <si>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</si>
  <si>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</si>
  <si>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</si>
  <si>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</si>
  <si>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</si>
  <si>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</si>
  <si>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</si>
  <si>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</si>
  <si>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</si>
  <si>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</si>
  <si>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</si>
  <si>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</si>
  <si>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</si>
  <si>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</si>
  <si>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</si>
  <si>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</si>
  <si>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</si>
  <si>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</si>
  <si>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</si>
  <si>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</si>
  <si>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</si>
  <si>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</si>
  <si>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</si>
  <si>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</si>
  <si>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</si>
  <si>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</si>
  <si>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</si>
  <si>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</si>
  <si>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</si>
  <si>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</si>
  <si>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</si>
  <si>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</si>
  <si>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</si>
  <si>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</si>
  <si>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</si>
  <si>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</si>
  <si>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</si>
  <si>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</si>
  <si>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</si>
  <si>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</si>
  <si>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</si>
  <si>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</si>
  <si>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</si>
  <si>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</si>
  <si>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</si>
  <si>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</si>
  <si>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</si>
  <si>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</si>
  <si>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</si>
  <si>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</si>
  <si>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</si>
  <si>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</si>
  <si>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</si>
  <si>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</si>
  <si>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</si>
  <si>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</si>
  <si>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</si>
  <si>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</si>
  <si>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</si>
  <si>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</si>
  <si>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</si>
  <si>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</si>
  <si>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</si>
  <si>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</si>
  <si>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</si>
  <si>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</si>
  <si>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</si>
  <si>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</si>
  <si>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</si>
  <si>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</si>
  <si>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</si>
  <si>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</si>
  <si>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</si>
  <si>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</si>
  <si>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</si>
  <si>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</si>
  <si>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</si>
  <si>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</si>
  <si>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</si>
  <si>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</si>
  <si>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</si>
  <si>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</si>
  <si>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</si>
  <si>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</si>
  <si>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</si>
  <si>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</si>
  <si>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</si>
  <si>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</si>
  <si>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</si>
  <si>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</si>
  <si>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</si>
  <si>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</si>
  <si>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</si>
  <si>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</si>
  <si>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</si>
  <si>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</si>
  <si>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</si>
  <si>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</si>
  <si>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</si>
  <si>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</si>
  <si>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</si>
  <si>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</si>
  <si>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</si>
  <si>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</si>
  <si>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</si>
  <si>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</si>
  <si>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</si>
  <si>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</si>
  <si>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</si>
  <si>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</si>
  <si>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</si>
  <si>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</si>
  <si>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</si>
  <si>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</si>
  <si>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</si>
  <si>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</si>
  <si>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</si>
  <si>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</si>
  <si>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</si>
  <si>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</si>
  <si>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</si>
  <si>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</si>
  <si>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</si>
  <si>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</si>
  <si>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</si>
  <si>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</si>
  <si>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</si>
  <si>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</si>
  <si>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</si>
  <si>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</si>
  <si>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</si>
  <si>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</si>
  <si>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</si>
  <si>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</si>
  <si>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</si>
  <si>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</si>
  <si>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</si>
  <si>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</si>
  <si>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</si>
  <si>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</si>
  <si>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</si>
  <si>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</si>
  <si>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</si>
  <si>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</si>
  <si>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</si>
  <si>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</si>
  <si>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</si>
  <si>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</si>
  <si>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</si>
  <si>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</si>
  <si>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</si>
  <si>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</si>
  <si>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</si>
  <si>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</si>
  <si>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</si>
  <si>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</si>
  <si>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</si>
  <si>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</si>
  <si>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</si>
  <si>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</si>
  <si>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</si>
  <si>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</si>
  <si>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</si>
  <si>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</si>
  <si>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</si>
  <si>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</si>
  <si>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</si>
  <si>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</si>
  <si>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</si>
  <si>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</si>
  <si>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</si>
  <si>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</si>
  <si>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</si>
  <si>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</si>
  <si>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</si>
  <si>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</si>
  <si>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</si>
  <si>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</si>
  <si>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</si>
  <si>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</si>
  <si>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</si>
  <si>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</si>
  <si>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</si>
  <si>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</si>
  <si>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</si>
  <si>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</si>
  <si>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</si>
  <si>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</si>
  <si>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</si>
  <si>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</si>
  <si>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</si>
  <si>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</si>
  <si>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</si>
  <si>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</si>
  <si>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</si>
  <si>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</si>
  <si>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</si>
  <si>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</si>
  <si>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</si>
  <si>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</si>
  <si>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</si>
  <si>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</si>
  <si>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</si>
  <si>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</si>
  <si>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</si>
  <si>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</si>
  <si>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</si>
  <si>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</si>
  <si>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</si>
  <si>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</si>
  <si>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</si>
  <si>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</si>
  <si>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</si>
  <si>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</si>
  <si>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</si>
  <si>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</si>
  <si>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</si>
  <si>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</si>
  <si>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</si>
  <si>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</si>
  <si>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</si>
  <si>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</si>
  <si>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</si>
  <si>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</si>
  <si>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</si>
  <si>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</si>
  <si>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</si>
  <si>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</si>
  <si>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</si>
  <si>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</si>
  <si>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</si>
  <si>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</si>
  <si>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</si>
  <si>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</si>
  <si>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</si>
  <si>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</si>
  <si>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</si>
  <si>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</si>
  <si>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</si>
  <si>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</si>
  <si>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</si>
  <si>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</si>
  <si>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</si>
  <si>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</si>
  <si>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</si>
  <si>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</si>
  <si>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</si>
  <si>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</si>
  <si>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</si>
  <si>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</si>
  <si>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</si>
  <si>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</si>
  <si>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</si>
  <si>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</si>
  <si>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</si>
  <si>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</si>
  <si>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</si>
  <si>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</si>
  <si>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</si>
  <si>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</si>
  <si>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</si>
  <si>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</si>
  <si>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</si>
  <si>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</si>
  <si>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</si>
  <si>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</si>
  <si>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</si>
  <si>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</si>
  <si>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</si>
  <si>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</si>
  <si>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</si>
  <si>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</si>
  <si>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</si>
  <si>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</si>
  <si>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</si>
  <si>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</si>
  <si>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</si>
  <si>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</si>
  <si>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</si>
  <si>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</si>
  <si>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</si>
  <si>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</si>
  <si>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</si>
  <si>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</si>
  <si>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</si>
  <si>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</si>
  <si>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</si>
  <si>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</si>
  <si>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</si>
  <si>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</si>
  <si>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</si>
  <si>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</si>
  <si>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</si>
  <si>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</si>
  <si>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</si>
  <si>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</si>
  <si>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</si>
  <si>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</si>
  <si>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</si>
  <si>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</si>
  <si>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</si>
  <si>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</si>
  <si>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</si>
  <si>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</si>
  <si>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</si>
  <si>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</si>
  <si>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</si>
  <si>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</si>
  <si>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</si>
  <si>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</si>
  <si>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</si>
  <si>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</si>
  <si>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</si>
  <si>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</si>
  <si>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</si>
  <si>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</si>
  <si>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</si>
  <si>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</si>
  <si>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</si>
  <si>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</si>
  <si>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</si>
  <si>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</si>
  <si>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</si>
  <si>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</si>
  <si>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</si>
  <si>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</si>
  <si>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</si>
  <si>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</si>
  <si>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</si>
  <si>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</si>
  <si>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</si>
  <si>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</si>
  <si>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</si>
  <si>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</si>
  <si>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</si>
  <si>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</si>
  <si>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</si>
  <si>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</si>
  <si>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</si>
  <si>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</si>
  <si>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</si>
  <si>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</si>
  <si>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</si>
  <si>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</si>
  <si>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</si>
  <si>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</si>
  <si>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</si>
  <si>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</si>
  <si>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</si>
  <si>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</si>
  <si>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</si>
  <si>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</si>
  <si>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</si>
  <si>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</si>
  <si>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</si>
  <si>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</si>
  <si>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</si>
  <si>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</si>
  <si>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</si>
  <si>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</si>
  <si>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</si>
  <si>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</si>
  <si>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</si>
  <si>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</si>
  <si>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</si>
  <si>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</si>
  <si>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</si>
  <si>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</si>
  <si>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</si>
  <si>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</si>
  <si>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</si>
  <si>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</si>
  <si>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</si>
  <si>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</si>
  <si>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</si>
  <si>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</si>
  <si>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</si>
  <si>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</si>
  <si>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</si>
  <si>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</si>
  <si>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</si>
  <si>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</si>
  <si>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</si>
  <si>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</si>
  <si>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</si>
  <si>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</si>
  <si>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</si>
  <si>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</si>
  <si>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</si>
  <si>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</si>
  <si>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</si>
  <si>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</si>
  <si>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</si>
  <si>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</si>
  <si>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</si>
  <si>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</si>
  <si>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</si>
  <si>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</si>
  <si>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</si>
  <si>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</si>
  <si>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</si>
  <si>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</si>
  <si>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</si>
  <si>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</si>
  <si>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</si>
  <si>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</si>
  <si>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</si>
  <si>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</si>
  <si>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</si>
  <si>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</si>
  <si>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</si>
  <si>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</si>
  <si>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</si>
  <si>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</si>
  <si>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</si>
  <si>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</si>
  <si>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</si>
  <si>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</si>
  <si>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</si>
  <si>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</si>
  <si>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</si>
  <si>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</si>
  <si>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</si>
  <si>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</si>
  <si>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</si>
  <si>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</si>
  <si>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</si>
  <si>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</si>
  <si>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</si>
  <si>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</si>
  <si>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</si>
  <si>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</si>
  <si>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</si>
  <si>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</si>
  <si>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</si>
  <si>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</si>
  <si>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</si>
  <si>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</si>
  <si>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</si>
  <si>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</si>
  <si>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</si>
  <si>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</si>
  <si>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</si>
  <si>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</si>
  <si>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</si>
  <si>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</si>
  <si>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</si>
  <si>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</si>
  <si>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</si>
  <si>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</si>
  <si>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</si>
  <si>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</si>
  <si>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</si>
  <si>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</si>
  <si>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</si>
  <si>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</si>
  <si>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</si>
  <si>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</si>
  <si>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</si>
  <si>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</si>
  <si>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</si>
  <si>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</si>
  <si>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</si>
  <si>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</si>
  <si>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</si>
  <si>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</si>
  <si>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</si>
  <si>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</si>
  <si>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</si>
  <si>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</si>
  <si>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</si>
  <si>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</si>
  <si>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</si>
  <si>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</si>
  <si>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</si>
  <si>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</si>
  <si>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</si>
  <si>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</si>
  <si>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</si>
  <si>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</si>
  <si>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</si>
  <si>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</si>
  <si>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</si>
  <si>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</si>
  <si>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</si>
  <si>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</si>
  <si>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</si>
  <si>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</si>
  <si>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</si>
  <si>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</si>
  <si>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</si>
  <si>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</si>
  <si>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</si>
  <si>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</si>
  <si>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</si>
  <si>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</si>
  <si>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</si>
  <si>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</si>
  <si>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</si>
  <si>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</si>
  <si>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</si>
  <si>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</si>
  <si>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</si>
  <si>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</si>
  <si>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</si>
  <si>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</si>
  <si>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</si>
  <si>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</si>
  <si>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</si>
  <si>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</si>
  <si>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</si>
  <si>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</si>
  <si>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</si>
  <si>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</si>
  <si>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</si>
  <si>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</si>
  <si>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</si>
  <si>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</si>
  <si>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</si>
  <si>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</si>
  <si>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</si>
  <si>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</si>
  <si>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</si>
  <si>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</si>
  <si>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</si>
  <si>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</si>
  <si>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</si>
  <si>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</si>
  <si>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</si>
  <si>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</si>
  <si>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</si>
  <si>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</si>
  <si>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</si>
  <si>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</si>
  <si>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</si>
  <si>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</si>
  <si>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</si>
  <si>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</si>
  <si>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</si>
  <si>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</si>
  <si>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</si>
  <si>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</si>
  <si>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</si>
  <si>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</si>
  <si>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</si>
  <si>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</si>
  <si>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</si>
  <si>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</si>
  <si>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</si>
  <si>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</si>
  <si>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</si>
  <si>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</si>
  <si>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</si>
  <si>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</si>
  <si>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</si>
  <si>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</si>
  <si>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</si>
  <si>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</si>
  <si>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</si>
  <si>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</si>
  <si>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</si>
  <si>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</si>
  <si>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</si>
  <si>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</si>
  <si>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</si>
  <si>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</si>
  <si>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</si>
  <si>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</si>
  <si>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</si>
  <si>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</si>
  <si>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</si>
  <si>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</si>
  <si>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</si>
  <si>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</si>
  <si>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</si>
  <si>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</si>
  <si>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</si>
  <si>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</si>
  <si>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</si>
  <si>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</si>
  <si>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</si>
  <si>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</si>
  <si>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</si>
  <si>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</si>
  <si>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</si>
  <si>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</si>
  <si>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</si>
  <si>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</si>
  <si>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</si>
  <si>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</si>
  <si>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</si>
  <si>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</si>
  <si>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</si>
  <si>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</si>
  <si>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</si>
  <si>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</si>
  <si>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</si>
  <si>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</si>
  <si>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</si>
  <si>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</si>
  <si>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</si>
  <si>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</si>
  <si>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</si>
  <si>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</si>
  <si>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</si>
  <si>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</si>
  <si>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</si>
  <si>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</si>
  <si>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</si>
  <si>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</si>
  <si>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</si>
  <si>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</si>
  <si>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</si>
  <si>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</si>
  <si>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</si>
  <si>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</si>
  <si>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</si>
  <si>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</si>
  <si>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</si>
  <si>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</si>
  <si>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</si>
  <si>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</si>
  <si>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</si>
  <si>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</si>
  <si>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</si>
  <si>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</si>
  <si>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</si>
  <si>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</si>
  <si>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</si>
  <si>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</si>
  <si>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</si>
  <si>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</si>
  <si>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</si>
  <si>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</si>
  <si>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</si>
  <si>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</si>
  <si>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</si>
  <si>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</si>
  <si>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</si>
  <si>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</si>
  <si>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</si>
  <si>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</si>
  <si>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</si>
  <si>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</si>
  <si>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</si>
  <si>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</si>
  <si>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</si>
  <si>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</si>
  <si>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</si>
  <si>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</si>
  <si>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</si>
  <si>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</si>
  <si>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</si>
  <si>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</si>
  <si>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</si>
  <si>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</si>
  <si>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</si>
  <si>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</si>
  <si>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</si>
  <si>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</si>
  <si>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</si>
  <si>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</si>
  <si>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</si>
  <si>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</si>
  <si>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</si>
  <si>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</si>
  <si>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</si>
  <si>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</si>
  <si>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</si>
  <si>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</si>
  <si>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</si>
  <si>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</si>
  <si>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</si>
  <si>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</si>
  <si>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</si>
  <si>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</si>
  <si>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</si>
  <si>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</si>
  <si>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</si>
  <si>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</si>
  <si>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</si>
  <si>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</si>
  <si>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</si>
  <si>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</si>
  <si>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</si>
  <si>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</si>
  <si>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</si>
  <si>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</si>
  <si>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</si>
  <si>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</si>
  <si>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</si>
  <si>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</si>
  <si>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</si>
  <si>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</si>
  <si>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</si>
  <si>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</si>
  <si>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</si>
  <si>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</si>
  <si>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</si>
  <si>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</si>
  <si>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</si>
  <si>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</si>
  <si>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</si>
  <si>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</si>
  <si>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</si>
  <si>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</si>
  <si>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</si>
  <si>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</si>
  <si>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</si>
  <si>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</si>
  <si>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</si>
  <si>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</si>
  <si>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</si>
  <si>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</si>
  <si>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</si>
  <si>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</si>
  <si>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</si>
  <si>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</si>
  <si>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</si>
  <si>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</si>
  <si>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</si>
  <si>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</si>
  <si>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</si>
  <si>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</si>
  <si>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</si>
  <si>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</si>
  <si>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</si>
  <si>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</si>
  <si>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</si>
  <si>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</si>
  <si>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</si>
  <si>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</si>
  <si>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</si>
  <si>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</si>
  <si>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</si>
  <si>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</si>
  <si>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</si>
  <si>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</si>
  <si>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</si>
  <si>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</si>
  <si>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</si>
  <si>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</si>
  <si>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</si>
  <si>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</si>
  <si>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</si>
  <si>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</si>
  <si>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</si>
  <si>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</si>
  <si>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</si>
  <si>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</si>
  <si>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</si>
  <si>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</si>
  <si>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</si>
  <si>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</si>
  <si>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</si>
  <si>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</si>
  <si>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</si>
  <si>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</si>
  <si>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</si>
  <si>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</si>
  <si>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</si>
  <si>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</si>
  <si>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</si>
  <si>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</si>
  <si>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</si>
  <si>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</si>
  <si>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</si>
  <si>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</si>
  <si>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</si>
  <si>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</si>
  <si>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</si>
  <si>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</si>
  <si>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</si>
  <si>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</si>
  <si>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</si>
  <si>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</si>
  <si>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</si>
  <si>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</si>
  <si>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</si>
  <si>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</si>
  <si>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</si>
  <si>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</si>
  <si>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</si>
  <si>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</si>
  <si>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</si>
  <si>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</si>
  <si>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</si>
  <si>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</si>
  <si>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</si>
  <si>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</si>
  <si>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</si>
  <si>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</si>
  <si>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</si>
  <si>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</si>
  <si>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</si>
  <si>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</si>
  <si>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</si>
  <si>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</si>
  <si>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</si>
  <si>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</si>
  <si>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</si>
  <si>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</si>
  <si>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</si>
  <si>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</si>
  <si>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</si>
  <si>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</si>
  <si>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</si>
  <si>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</si>
  <si>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</si>
  <si>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</si>
  <si>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</si>
  <si>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</si>
  <si>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</si>
  <si>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</si>
  <si>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</si>
  <si>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</si>
  <si>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</si>
  <si>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</si>
  <si>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</si>
  <si>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</si>
  <si>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</si>
  <si>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</si>
  <si>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</si>
  <si>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</si>
  <si>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</si>
  <si>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</si>
  <si>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</si>
  <si>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</si>
  <si>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</si>
  <si>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</si>
  <si>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</si>
  <si>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</si>
  <si>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</si>
  <si>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</si>
  <si>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</si>
  <si>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</si>
  <si>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</si>
  <si>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</si>
  <si>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</si>
  <si>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</si>
  <si>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</si>
  <si>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</si>
  <si>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</si>
  <si>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</si>
  <si>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</si>
  <si>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</si>
  <si>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</si>
  <si>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</si>
  <si>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</si>
  <si>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</si>
  <si>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</si>
  <si>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</si>
  <si>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</si>
  <si>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</si>
  <si>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</si>
  <si>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</si>
  <si>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</si>
  <si>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</si>
  <si>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</si>
  <si>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</si>
  <si>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</si>
  <si>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</si>
  <si>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</si>
  <si>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</si>
  <si>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</si>
  <si>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</si>
  <si>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</si>
  <si>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</si>
  <si>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</si>
  <si>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</si>
  <si>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</si>
  <si>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</si>
  <si>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</si>
  <si>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</si>
  <si>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</si>
  <si>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</si>
  <si>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</si>
  <si>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</si>
  <si>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</si>
  <si>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</si>
  <si>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</si>
  <si>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</si>
  <si>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</si>
  <si>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</si>
  <si>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</si>
  <si>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</si>
  <si>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</si>
  <si>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</si>
  <si>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</si>
  <si>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</si>
  <si>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</si>
  <si>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</si>
  <si>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</si>
  <si>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</si>
  <si>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</si>
  <si>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</si>
  <si>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</si>
  <si>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</si>
  <si>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</si>
  <si>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</si>
  <si>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</si>
  <si>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</si>
  <si>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</si>
  <si>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</si>
  <si>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</si>
  <si>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</si>
  <si>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</si>
  <si>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</si>
  <si>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</si>
  <si>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</si>
  <si>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</si>
  <si>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</si>
  <si>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</si>
  <si>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</si>
  <si>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</si>
  <si>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</si>
  <si>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</si>
  <si>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</si>
  <si>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</si>
  <si>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</si>
  <si>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</si>
  <si>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</si>
  <si>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</si>
  <si>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</si>
  <si>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</si>
  <si>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</si>
  <si>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</si>
  <si>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</si>
  <si>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</si>
  <si>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</si>
  <si>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</si>
  <si>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</si>
  <si>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</si>
  <si>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</si>
  <si>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</si>
  <si>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</si>
  <si>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</si>
  <si>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</si>
  <si>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</si>
  <si>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</si>
  <si>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</si>
  <si>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</si>
  <si>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</si>
  <si>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</si>
  <si>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</si>
  <si>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</si>
  <si>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</si>
  <si>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</si>
  <si>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</si>
  <si>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</si>
  <si>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</si>
  <si>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</si>
  <si>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</si>
  <si>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</si>
  <si>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</si>
  <si>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</si>
  <si>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</si>
  <si>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</si>
  <si>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</si>
  <si>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</si>
  <si>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</si>
  <si>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</si>
  <si>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</si>
  <si>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t>住宅用房</t>
  </si>
  <si>
    <t>住宅用房</t>
    <phoneticPr fontId="16" type="noConversion"/>
  </si>
  <si>
    <t>商业用房</t>
  </si>
  <si>
    <t>商业用房</t>
    <phoneticPr fontId="16" type="noConversion"/>
  </si>
  <si>
    <t>收益法-商业</t>
  </si>
  <si>
    <t>收益法-商业</t>
    <phoneticPr fontId="16" type="noConversion"/>
  </si>
  <si>
    <t>收益法-住宅</t>
  </si>
  <si>
    <t>收益法-住宅</t>
    <phoneticPr fontId="16" type="noConversion"/>
  </si>
  <si>
    <t>抵押</t>
  </si>
  <si>
    <t>房地产抵押价值</t>
  </si>
  <si>
    <t>是</t>
  </si>
  <si>
    <t>地上</t>
  </si>
  <si>
    <t>住宅</t>
  </si>
  <si>
    <t>成新度</t>
  </si>
  <si>
    <t>现房</t>
  </si>
  <si>
    <t>项目局部</t>
  </si>
  <si>
    <t>比较法-住宅</t>
  </si>
  <si>
    <t>比较法-商业</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</si>
  <si>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</si>
  <si>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</si>
  <si>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按租金收入计税</t>
  </si>
  <si>
    <t>钢混</t>
  </si>
  <si>
    <t>非生产用房</t>
  </si>
  <si>
    <t>——</t>
    <phoneticPr fontId="25" type="noConversion"/>
  </si>
  <si>
    <t>较好</t>
  </si>
  <si>
    <t>住宅</t>
    <phoneticPr fontId="25" type="noConversion"/>
  </si>
  <si>
    <t>六通</t>
  </si>
  <si>
    <t>正常</t>
  </si>
  <si>
    <t>售价</t>
  </si>
  <si>
    <t>——</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</si>
  <si>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</si>
  <si>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住宅用地</t>
    <phoneticPr fontId="142" type="noConversion"/>
  </si>
  <si>
    <t>商业用地</t>
    <phoneticPr fontId="142" type="noConversion"/>
  </si>
  <si>
    <t>土地面积</t>
    <phoneticPr fontId="142" type="noConversion"/>
  </si>
  <si>
    <t>扣减单价</t>
    <phoneticPr fontId="142" type="noConversion"/>
  </si>
  <si>
    <t>扣减总值</t>
    <phoneticPr fontId="142" type="noConversion"/>
  </si>
  <si>
    <t>合计</t>
    <phoneticPr fontId="142" type="noConversion"/>
  </si>
  <si>
    <t>商业</t>
    <phoneticPr fontId="31" type="noConversion"/>
  </si>
  <si>
    <t>30-40（含）</t>
  </si>
  <si>
    <t>——</t>
    <phoneticPr fontId="31"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</si>
  <si>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</si>
  <si>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</si>
  <si>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</si>
  <si>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</si>
  <si>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phoneticPr fontId="3" type="noConversion"/>
  </si>
  <si>
    <t>区域自然环境：较好；人文环境：一般；综合评价环境状况一般</t>
    <phoneticPr fontId="3" type="noConversion"/>
  </si>
  <si>
    <t>城市支路</t>
    <phoneticPr fontId="3" type="noConversion"/>
  </si>
  <si>
    <t>较一致</t>
    <phoneticPr fontId="25" type="noConversion"/>
  </si>
  <si>
    <t>单面临街</t>
  </si>
  <si>
    <t>复印件</t>
  </si>
  <si>
    <t>通路</t>
  </si>
  <si>
    <t>通电</t>
  </si>
  <si>
    <t>通讯</t>
  </si>
  <si>
    <t>通上水</t>
  </si>
  <si>
    <t>通下水</t>
  </si>
  <si>
    <t>燃气</t>
  </si>
  <si>
    <t>平整</t>
  </si>
  <si>
    <t>划拨</t>
  </si>
  <si>
    <t>四川省遂宁市</t>
    <phoneticPr fontId="3" type="noConversion"/>
  </si>
  <si>
    <t>其他：</t>
  </si>
  <si>
    <t>城市主干道</t>
    <phoneticPr fontId="3" type="noConversion"/>
  </si>
  <si>
    <t>城市次干道</t>
    <phoneticPr fontId="3" type="noConversion"/>
  </si>
  <si>
    <t>道路级别</t>
    <phoneticPr fontId="25" type="noConversion"/>
  </si>
  <si>
    <t>洋房</t>
    <phoneticPr fontId="3" type="noConversion"/>
  </si>
  <si>
    <t>钢混</t>
    <phoneticPr fontId="25" type="noConversion"/>
  </si>
  <si>
    <t>中档</t>
  </si>
  <si>
    <t>中档</t>
    <phoneticPr fontId="25" type="noConversion"/>
  </si>
  <si>
    <t>精装修</t>
  </si>
  <si>
    <t>精装修</t>
    <phoneticPr fontId="25" type="noConversion"/>
  </si>
  <si>
    <t>专业物业管理</t>
    <phoneticPr fontId="3" type="noConversion"/>
  </si>
  <si>
    <t>六通</t>
    <phoneticPr fontId="25" type="noConversion"/>
  </si>
  <si>
    <t>毛坯</t>
  </si>
  <si>
    <t>毛坯</t>
    <phoneticPr fontId="25" type="noConversion"/>
  </si>
  <si>
    <t>板楼</t>
  </si>
  <si>
    <t>板楼</t>
    <phoneticPr fontId="3" type="noConversion"/>
  </si>
  <si>
    <t>一般</t>
  </si>
  <si>
    <t>较差</t>
  </si>
  <si>
    <t>城市支路</t>
  </si>
  <si>
    <t>未命名</t>
  </si>
  <si>
    <t>专业物业管理</t>
  </si>
  <si>
    <t>——</t>
    <phoneticPr fontId="3" type="noConversion"/>
  </si>
  <si>
    <t>60-70（含）</t>
  </si>
  <si>
    <t>估价对象位于圣莲岛，周边居住用地比例较好、居住小区规模和社区发展完善程度较好，综合评价居住社区成熟度较好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</si>
  <si>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</si>
  <si>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</si>
  <si>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估价对象所在区域基础设施水平较好</t>
  </si>
  <si>
    <t>区域自然环境：较好；人文环境：较好；综合评价环境状况较好</t>
    <phoneticPr fontId="3" type="noConversion"/>
  </si>
  <si>
    <t>五彩缤纷南路</t>
    <phoneticPr fontId="3" type="noConversion"/>
  </si>
  <si>
    <t>洋房</t>
  </si>
  <si>
    <t>——</t>
    <phoneticPr fontId="25" type="noConversion"/>
  </si>
  <si>
    <t>江山原筑</t>
    <phoneticPr fontId="3" type="noConversion"/>
  </si>
  <si>
    <t>置信·丽府</t>
    <phoneticPr fontId="3" type="noConversion"/>
  </si>
  <si>
    <t>敏捷·锦绣源著</t>
    <phoneticPr fontId="3" type="noConversion"/>
  </si>
  <si>
    <t>估价对象位于圣莲岛，周边居住用地比例较好、居住小区规模和社区发展完善程度较好，综合评价居住社区成熟度较好</t>
  </si>
  <si>
    <t>估价对象周边道路状况较好、公共交通通达情况较好、停车便捷程度较好，综合评价交通便捷度较好</t>
  </si>
  <si>
    <t>估价对象所在区域公共配套设施齐备情况较好</t>
  </si>
  <si>
    <t>区域自然环境：较好；人文环境：较好；综合评价环境状况较好</t>
  </si>
  <si>
    <t>城市次干道</t>
  </si>
  <si>
    <t>东平北路</t>
  </si>
  <si>
    <t>香林南路</t>
    <phoneticPr fontId="3" type="noConversion"/>
  </si>
  <si>
    <t>——</t>
    <phoneticPr fontId="25" type="noConversion"/>
  </si>
  <si>
    <t xml:space="preserve"> </t>
    <phoneticPr fontId="31" type="noConversion"/>
  </si>
  <si>
    <t>售价</t>
    <phoneticPr fontId="142" type="noConversion"/>
  </si>
  <si>
    <t>租金</t>
    <phoneticPr fontId="142" type="noConversion"/>
  </si>
  <si>
    <t>1层</t>
    <phoneticPr fontId="142" type="noConversion"/>
  </si>
  <si>
    <t>2层</t>
  </si>
  <si>
    <t>3层</t>
  </si>
  <si>
    <t>单面临街</t>
    <phoneticPr fontId="31" type="noConversion"/>
  </si>
  <si>
    <r>
      <t>1</t>
    </r>
    <r>
      <rPr>
        <sz val="11"/>
        <color indexed="8"/>
        <rFont val="宋体"/>
        <family val="3"/>
        <charset val="134"/>
      </rPr>
      <t>层</t>
    </r>
    <phoneticPr fontId="31" type="noConversion"/>
  </si>
  <si>
    <t>一般</t>
    <phoneticPr fontId="31" type="noConversion"/>
  </si>
  <si>
    <t>住宅底商</t>
  </si>
  <si>
    <t>住宅底商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</si>
  <si>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</si>
  <si>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</si>
  <si>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</si>
  <si>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</si>
  <si>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</si>
  <si>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</si>
  <si>
    <t>标准层高</t>
    <phoneticPr fontId="31" type="noConversion"/>
  </si>
  <si>
    <t>较好</t>
    <phoneticPr fontId="31" type="noConversion"/>
  </si>
  <si>
    <t>毛坯</t>
    <phoneticPr fontId="31" type="noConversion"/>
  </si>
  <si>
    <t>好</t>
  </si>
  <si>
    <t>差</t>
  </si>
  <si>
    <t>1层</t>
  </si>
  <si>
    <t>——</t>
    <phoneticPr fontId="31" type="noConversion"/>
  </si>
  <si>
    <t>估价对象位于圣莲岛，周边商业氛围成熟度较好，人流量大较好，商业繁华较好</t>
    <phoneticPr fontId="31" type="noConversion"/>
  </si>
  <si>
    <t>估价对象周边道路状况较好、公共交通通达情况较好、停车便捷程度较好，综合评价交通便捷度较好</t>
    <phoneticPr fontId="31" type="noConversion"/>
  </si>
  <si>
    <t>估价对象所在区域公共配套设施齐备情况较好</t>
    <phoneticPr fontId="31" type="noConversion"/>
  </si>
  <si>
    <t>区域自然环境：较好；人文环境：较好；综合评价环境状况较好</t>
    <phoneticPr fontId="31" type="noConversion"/>
  </si>
  <si>
    <t>金科仁里水乡底商</t>
    <phoneticPr fontId="3" type="noConversion"/>
  </si>
  <si>
    <t>金域国际底商</t>
    <phoneticPr fontId="3" type="noConversion"/>
  </si>
  <si>
    <t>东城绿洲底商</t>
    <phoneticPr fontId="3" type="noConversion"/>
  </si>
  <si>
    <t>圣莲岛（仁里镇猫儿洲）棚户区改造项目</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</si>
</sst>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2"/>
      <name val="仿宋_GB2312"/>
      <family val="3"/>
      <charset val="134"/>
    </font>
    <font>
      <sz val="12"/>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36"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49" fontId="253" fillId="0" borderId="10" xfId="0" applyNumberFormat="1" applyFont="1" applyFill="1" applyBorder="1" applyAlignment="1" applyProtection="1">
      <alignment horizontal="center" vertical="center" wrapText="1"/>
      <protection locked="0"/>
    </xf>
    <xf numFmtId="49" fontId="253" fillId="0" borderId="24" xfId="0" applyNumberFormat="1" applyFont="1" applyFill="1" applyBorder="1" applyAlignment="1" applyProtection="1">
      <alignment horizontal="center" vertical="center" wrapText="1"/>
      <protection locked="0"/>
    </xf>
    <xf numFmtId="0" fontId="253"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136" fillId="0" borderId="24"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5" fillId="7" borderId="60" xfId="0" applyFont="1" applyFill="1" applyBorder="1" applyAlignment="1" applyProtection="1">
      <alignment vertical="center"/>
      <protection locked="0"/>
    </xf>
    <xf numFmtId="0" fontId="63" fillId="7" borderId="7" xfId="0" applyFont="1" applyFill="1" applyBorder="1" applyAlignment="1" applyProtection="1">
      <alignment vertical="center"/>
    </xf>
    <xf numFmtId="49" fontId="223" fillId="0" borderId="4" xfId="0" applyNumberFormat="1" applyFont="1" applyFill="1" applyBorder="1" applyAlignment="1" applyProtection="1">
      <alignment horizontal="left" vertical="center"/>
      <protection locked="0"/>
    </xf>
    <xf numFmtId="0" fontId="136" fillId="0" borderId="44"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224" fillId="0" borderId="23"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105613</xdr:rowOff>
    </xdr:from>
    <xdr:to>
      <xdr:col>10</xdr:col>
      <xdr:colOff>38100</xdr:colOff>
      <xdr:row>29</xdr:row>
      <xdr:rowOff>66674</xdr:rowOff>
    </xdr:to>
    <xdr:pic>
      <xdr:nvPicPr>
        <xdr:cNvPr id="2" name="图片 1" descr="C:\Documents and Settings\Administrator\Application Data\Tencent\Users\2416965547\QQ\WinTemp\RichOle\U_A{CWNRD)K2TI5U%G0`$N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5613"/>
          <a:ext cx="6800850" cy="493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161925</xdr:rowOff>
    </xdr:from>
    <xdr:to>
      <xdr:col>13</xdr:col>
      <xdr:colOff>38100</xdr:colOff>
      <xdr:row>44</xdr:row>
      <xdr:rowOff>95250</xdr:rowOff>
    </xdr:to>
    <xdr:pic>
      <xdr:nvPicPr>
        <xdr:cNvPr id="2" name="图片 1" descr="C:\Documents and Settings\Administrator\Application Data\Tencent\Users\2416965547\QQ\WinTemp\RichOle\HFITQ96B%SSVPVFT06`2O9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190625"/>
          <a:ext cx="8648700" cy="644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15</xdr:col>
      <xdr:colOff>304800</xdr:colOff>
      <xdr:row>72</xdr:row>
      <xdr:rowOff>19050</xdr:rowOff>
    </xdr:to>
    <xdr:pic>
      <xdr:nvPicPr>
        <xdr:cNvPr id="3" name="图片 2" descr="C:\Documents and Settings\Administrator\Application Data\Tencent\Users\2416965547\QQ\WinTemp\RichOle\3J9]KW0LMY@JQNI03V{~}Z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15250"/>
          <a:ext cx="105918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57150</xdr:rowOff>
    </xdr:from>
    <xdr:to>
      <xdr:col>15</xdr:col>
      <xdr:colOff>552450</xdr:colOff>
      <xdr:row>99</xdr:row>
      <xdr:rowOff>76200</xdr:rowOff>
    </xdr:to>
    <xdr:pic>
      <xdr:nvPicPr>
        <xdr:cNvPr id="4" name="图片 3" descr="C:\Documents and Settings\Administrator\Application Data\Tencent\Users\2416965547\QQ\WinTemp\RichOle\40XJ~~LJ3_8COD$W36%Y_)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401550"/>
          <a:ext cx="108394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57150</xdr:rowOff>
    </xdr:from>
    <xdr:to>
      <xdr:col>15</xdr:col>
      <xdr:colOff>495300</xdr:colOff>
      <xdr:row>125</xdr:row>
      <xdr:rowOff>19050</xdr:rowOff>
    </xdr:to>
    <xdr:pic>
      <xdr:nvPicPr>
        <xdr:cNvPr id="5" name="图片 4" descr="C:\Documents and Settings\Administrator\Application Data\Tencent\Users\2416965547\QQ\WinTemp\RichOle\Y$6H924@IAEBO)3YSF[L@HK.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30700"/>
          <a:ext cx="1078230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四川省遂宁市圣莲岛（仁里镇猫儿洲）棚户区改造项目房地产抵押价值预评估</v>
      </c>
    </row>
    <row r="3" spans="1:2" s="1592" customFormat="1">
      <c r="A3" s="1590" t="s">
        <v>1213</v>
      </c>
      <c r="B3" s="1591">
        <f>'预评函-封皮'!B40</f>
        <v>0</v>
      </c>
    </row>
    <row r="4" spans="1:2" s="1592" customFormat="1">
      <c r="A4" s="1590" t="s">
        <v>1214</v>
      </c>
      <c r="B4" s="1591" t="str">
        <f>'预评函-封皮'!B46</f>
        <v>（注册号：0)、（注册号：0)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受贵公司委托，我公司对四川省遂宁市圣莲岛（仁里镇猫儿洲）棚户区改造项目房地产抵押价值进行了预评估。</v>
      </c>
    </row>
    <row r="7" spans="1:2" s="1592" customFormat="1">
      <c r="A7" s="1590" t="s">
        <v>1256</v>
      </c>
      <c r="B7" s="1591" t="str">
        <f>'预评函-1'!A7</f>
        <v>估价对象为四川省遂宁市圣莲岛（仁里镇猫儿洲）棚户区改造项目房地产，为所有。根据《国有土地使用证》[]，估价对象（分摊）出让国有建设用地使用权面积为0平方米，建筑面积为8982.83平方米。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2019年6月25日（评估专业人员实地查勘之日）</v>
      </c>
    </row>
    <row r="13" spans="1:2" s="1592" customFormat="1">
      <c r="A13" s="1590" t="s">
        <v>1219</v>
      </c>
      <c r="B13" s="1591" t="str">
        <f>'预评函-1'!A18</f>
        <v>本次估价的“房地产价值”是指在正常市场情况下，在价值时点2019年6月25日，估价对象规划用途为，土地取得方式为划拨，假定未设立法定优先受偿款下的房地产市场价值。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本次评估采用的主估价方法为比较法和收益法。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1811</v>
      </c>
    </row>
    <row r="21" spans="1:2" s="1592" customFormat="1">
      <c r="A21" s="1590" t="s">
        <v>1227</v>
      </c>
      <c r="B21" s="1591">
        <f ca="1">'预评函-2'!D7</f>
        <v>7231</v>
      </c>
    </row>
    <row r="22" spans="1:2" s="1592" customFormat="1">
      <c r="A22" s="1590" t="s">
        <v>1228</v>
      </c>
      <c r="B22" s="1591" t="str">
        <f ca="1">'预评函-2'!D6</f>
        <v>壹仟捌佰壹拾壹万元整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1811</v>
      </c>
    </row>
    <row r="31" spans="1:2" s="1592" customFormat="1">
      <c r="A31" s="1590" t="s">
        <v>1266</v>
      </c>
      <c r="B31" s="1591">
        <f ca="1">'预评函-2'!D15</f>
        <v>2016</v>
      </c>
    </row>
    <row r="32" spans="1:2" s="1592" customFormat="1">
      <c r="A32" s="1590" t="s">
        <v>1233</v>
      </c>
      <c r="B32" s="1591" t="str">
        <f ca="1">'预评函-2'!D14</f>
        <v>壹仟捌佰壹拾壹万元整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四川省遂宁市圣莲岛（仁里镇猫儿洲）棚户区改造项目房地产</v>
      </c>
    </row>
    <row r="42" spans="1:2" s="1592" customFormat="1">
      <c r="A42" s="1590" t="s">
        <v>1280</v>
      </c>
      <c r="B42" s="1591" t="str">
        <f>'预评函-3'!B2</f>
        <v>建筑面积</v>
      </c>
    </row>
    <row r="43" spans="1:2" s="1592" customFormat="1">
      <c r="A43" s="1590" t="s">
        <v>1281</v>
      </c>
      <c r="B43" s="1591">
        <f>'预评函-3'!B4</f>
        <v>8982.83</v>
      </c>
    </row>
    <row r="44" spans="1:2" s="1592" customFormat="1">
      <c r="A44" s="1590" t="s">
        <v>1265</v>
      </c>
      <c r="B44" s="1591" t="str">
        <f>'预评函-3'!C2</f>
        <v>(分摊)土地面积</v>
      </c>
    </row>
    <row r="45" spans="1:2" s="1592" customFormat="1">
      <c r="A45" s="1590" t="s">
        <v>1237</v>
      </c>
      <c r="B45" s="1591">
        <f>'预评函-3'!C4</f>
        <v>0</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f>'预评函-4'!A4</f>
        <v>0</v>
      </c>
    </row>
    <row r="71" spans="1:2">
      <c r="A71" s="1590" t="s">
        <v>1253</v>
      </c>
      <c r="B71" s="1591">
        <f>'预评函-4'!B4</f>
        <v>0</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1730</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1136</v>
      </c>
      <c r="S2" s="2015" t="s">
        <v>1704</v>
      </c>
      <c r="T2" s="2015" t="s">
        <v>1705</v>
      </c>
      <c r="U2" s="2015" t="s">
        <v>1704</v>
      </c>
      <c r="V2" s="2015" t="s">
        <v>1706</v>
      </c>
      <c r="W2" s="2015" t="s">
        <v>1704</v>
      </c>
    </row>
    <row r="3" spans="1:23">
      <c r="A3" s="2016" t="s">
        <v>3010</v>
      </c>
      <c r="B3" s="2013" t="s">
        <v>1733</v>
      </c>
      <c r="C3" s="2017" t="s">
        <v>760</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1135</v>
      </c>
      <c r="S3" s="2015" t="s">
        <v>1711</v>
      </c>
      <c r="T3" s="2015" t="s">
        <v>1712</v>
      </c>
      <c r="U3" s="2015" t="s">
        <v>1711</v>
      </c>
      <c r="V3" s="2015" t="s">
        <v>1713</v>
      </c>
      <c r="W3" s="2015" t="s">
        <v>1711</v>
      </c>
    </row>
    <row r="4" spans="1:23">
      <c r="A4" s="2013" t="s">
        <v>3012</v>
      </c>
      <c r="B4" s="2016" t="s">
        <v>3016</v>
      </c>
      <c r="C4" s="2014" t="s">
        <v>761</v>
      </c>
      <c r="D4" s="2015" t="s">
        <v>864</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1137</v>
      </c>
      <c r="S4" s="2015" t="s">
        <v>1717</v>
      </c>
      <c r="T4" s="2015" t="s">
        <v>1718</v>
      </c>
      <c r="U4" s="2015" t="s">
        <v>1717</v>
      </c>
      <c r="W4" s="2015" t="s">
        <v>1717</v>
      </c>
    </row>
    <row r="5" spans="1:23">
      <c r="A5" s="2013"/>
      <c r="B5" s="2016" t="s">
        <v>3014</v>
      </c>
      <c r="C5" s="2014" t="s">
        <v>762</v>
      </c>
      <c r="F5" s="2015" t="s">
        <v>1719</v>
      </c>
      <c r="H5" s="2015" t="s">
        <v>1720</v>
      </c>
      <c r="I5" s="2015" t="s">
        <v>1721</v>
      </c>
      <c r="K5" s="2015" t="s">
        <v>1722</v>
      </c>
      <c r="L5" s="2015" t="s">
        <v>1722</v>
      </c>
      <c r="M5" s="2015" t="s">
        <v>1722</v>
      </c>
      <c r="N5" s="2015" t="s">
        <v>1722</v>
      </c>
      <c r="O5" s="2015" t="s">
        <v>1722</v>
      </c>
      <c r="P5" s="2015" t="s">
        <v>1722</v>
      </c>
      <c r="Q5" s="2015" t="s">
        <v>1722</v>
      </c>
      <c r="R5" s="2015" t="s">
        <v>1138</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1139</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763</v>
      </c>
      <c r="F8" s="2015" t="s">
        <v>1731</v>
      </c>
      <c r="H8" s="2015"/>
      <c r="I8" s="2015" t="s">
        <v>1732</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四川省遂宁市圣莲岛（仁里镇猫儿洲）棚户区改造项目房地产抵押价值预评估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四川省遂宁市圣莲岛（仁里镇猫儿洲）棚户区改造项目房地产抵押价值</v>
      </c>
    </row>
    <row r="2" spans="1:19" ht="18" customHeight="1">
      <c r="A2" s="2025" t="s">
        <v>1736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四川省遂宁市圣莲岛（仁里镇猫儿洲）棚户区改造项目房地产</v>
      </c>
    </row>
    <row r="3" spans="1:19" ht="18" customHeight="1">
      <c r="A3" s="2034" t="s">
        <v>1737</v>
      </c>
      <c r="B3" s="2035">
        <v>43641</v>
      </c>
      <c r="C3" s="2036" t="s">
        <v>1738</v>
      </c>
      <c r="D3" s="2035">
        <f>B3</f>
        <v>43641</v>
      </c>
      <c r="E3" s="2025"/>
      <c r="F3" s="2025"/>
      <c r="G3" s="2025"/>
      <c r="H3" s="2025"/>
      <c r="I3" s="2025"/>
      <c r="J3" s="2025"/>
      <c r="K3" s="2026"/>
      <c r="L3" s="2027"/>
      <c r="M3" s="2027"/>
      <c r="N3" s="2028"/>
      <c r="O3" s="2029"/>
      <c r="P3" s="2028"/>
      <c r="Q3" s="2028"/>
      <c r="R3" s="2028"/>
      <c r="S3" s="2030"/>
    </row>
    <row r="4" spans="1:19" ht="18" customHeight="1" thickBot="1">
      <c r="A4" s="2037" t="s">
        <v>1739</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3017</v>
      </c>
      <c r="C8" s="2055"/>
      <c r="D8" s="3042" t="s">
        <v>1744</v>
      </c>
      <c r="E8" s="2056" t="s">
        <v>3018</v>
      </c>
      <c r="F8" s="2057"/>
      <c r="G8" s="2025"/>
      <c r="H8" s="2025"/>
      <c r="I8" s="2025"/>
      <c r="J8" s="2041"/>
      <c r="K8" s="2042"/>
      <c r="L8" s="2027"/>
      <c r="M8" s="2027"/>
      <c r="N8" s="2028"/>
      <c r="O8" s="2029"/>
      <c r="P8" s="2028"/>
      <c r="Q8" s="2028"/>
      <c r="R8" s="2028"/>
    </row>
    <row r="9" spans="1:19" ht="18" customHeight="1" thickBot="1">
      <c r="A9" s="2039" t="s">
        <v>1745</v>
      </c>
      <c r="B9" s="2058" t="s">
        <v>3018</v>
      </c>
      <c r="C9" s="2059"/>
      <c r="D9" s="3043"/>
      <c r="E9" s="2058"/>
      <c r="F9" s="2060"/>
      <c r="G9" s="2061"/>
      <c r="H9" s="2061"/>
      <c r="I9" s="2061"/>
      <c r="J9" s="2041"/>
      <c r="K9" s="2053"/>
      <c r="L9" s="2027"/>
      <c r="M9" s="2027"/>
      <c r="N9" s="2028"/>
      <c r="O9" s="2029"/>
      <c r="P9" s="2028"/>
      <c r="Q9" s="2028"/>
      <c r="R9" s="2028"/>
    </row>
    <row r="10" spans="1:19" ht="18" customHeight="1" thickTop="1">
      <c r="A10" s="2062" t="s">
        <v>1746</v>
      </c>
      <c r="B10" s="2063" t="s">
        <v>3068</v>
      </c>
      <c r="C10" s="2975" t="s">
        <v>3067</v>
      </c>
      <c r="D10" s="2976"/>
      <c r="E10" s="2064" t="s">
        <v>1747</v>
      </c>
      <c r="F10" s="2977" t="s">
        <v>3141</v>
      </c>
      <c r="G10" s="2065"/>
      <c r="H10" s="2066"/>
      <c r="I10" s="2046"/>
      <c r="J10" s="2041"/>
      <c r="K10" s="2053"/>
      <c r="L10" s="2027"/>
      <c r="M10" s="2027"/>
      <c r="N10" s="2028"/>
      <c r="O10" s="2029"/>
      <c r="P10" s="2028"/>
      <c r="Q10" s="2028"/>
      <c r="R10" s="2028"/>
    </row>
    <row r="11" spans="1:19" ht="18" customHeight="1">
      <c r="A11" s="2067" t="s">
        <v>1748</v>
      </c>
      <c r="B11" s="2068"/>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3066</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c r="F13" s="2077"/>
      <c r="G13" s="2077"/>
      <c r="H13" s="2077"/>
      <c r="I13" s="1046"/>
      <c r="J13" s="2041"/>
      <c r="K13" s="2053"/>
      <c r="L13" s="2027"/>
      <c r="M13" s="2027"/>
      <c r="N13" s="2028"/>
      <c r="O13" s="2029"/>
      <c r="P13" s="2028"/>
      <c r="Q13" s="2028"/>
      <c r="R13" s="2028"/>
    </row>
    <row r="14" spans="1:19" ht="18" customHeight="1">
      <c r="A14" s="2074"/>
      <c r="B14" s="2075"/>
      <c r="C14" s="2076" t="s">
        <v>1758</v>
      </c>
      <c r="D14" s="1049">
        <v>70</v>
      </c>
      <c r="E14" s="1049">
        <v>40</v>
      </c>
      <c r="F14" s="1049"/>
      <c r="G14" s="1049"/>
      <c r="H14" s="1049"/>
      <c r="I14" s="1049"/>
      <c r="J14" s="2041"/>
      <c r="K14" s="2078"/>
      <c r="L14" s="2027"/>
      <c r="M14" s="2027"/>
      <c r="N14" s="2028"/>
      <c r="O14" s="2029"/>
      <c r="P14" s="2028"/>
      <c r="Q14" s="2028"/>
      <c r="R14" s="2028"/>
    </row>
    <row r="15" spans="1:19" ht="18" customHeight="1">
      <c r="A15" s="2062"/>
      <c r="B15" s="2079"/>
      <c r="C15" s="2076" t="s">
        <v>1759</v>
      </c>
      <c r="D15" s="1048">
        <f>IF(B12="出让",IF(D13="","",ROUNDDOWN(MIN((D13-$D$3)/365,D14),2)),D14)</f>
        <v>70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3">
        <f>'数据-汇总表'!E3</f>
        <v>8982.83</v>
      </c>
      <c r="D17" s="2085" t="s">
        <v>1764</v>
      </c>
      <c r="E17" s="3055" t="s">
        <v>1765</v>
      </c>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1766</v>
      </c>
      <c r="B18" s="2037" t="s">
        <v>1767</v>
      </c>
      <c r="C18" s="1443">
        <f>'数据-汇总表'!D3</f>
        <v>0</v>
      </c>
      <c r="D18" s="2088" t="s">
        <v>1764</v>
      </c>
      <c r="E18" s="3058" t="s">
        <v>1768</v>
      </c>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1769</v>
      </c>
      <c r="B19" s="352" t="s">
        <v>1770</v>
      </c>
      <c r="C19" s="2089"/>
      <c r="D19" s="2090" t="s">
        <v>1771</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1772</v>
      </c>
      <c r="B20" s="3045" t="s">
        <v>1773</v>
      </c>
      <c r="C20" s="3046"/>
      <c r="D20" s="3047" t="s">
        <v>1774</v>
      </c>
      <c r="E20" s="3048"/>
      <c r="F20" s="2095" t="s">
        <v>1775</v>
      </c>
      <c r="G20" s="2041"/>
      <c r="H20" s="2041"/>
      <c r="I20" s="2041"/>
      <c r="J20" s="2041"/>
      <c r="K20" s="3044" t="s">
        <v>1776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1777</v>
      </c>
      <c r="C21" s="2097" t="s">
        <v>3058</v>
      </c>
      <c r="D21" s="2098" t="s">
        <v>1778</v>
      </c>
      <c r="E21" s="2099"/>
      <c r="F21" s="2100"/>
      <c r="G21" s="2041"/>
      <c r="H21" s="2041"/>
      <c r="I21" s="2041"/>
      <c r="J21" s="2041"/>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1779</v>
      </c>
      <c r="C22" s="2097" t="s">
        <v>1780</v>
      </c>
      <c r="D22" s="2025"/>
      <c r="E22" s="2025"/>
      <c r="F22" s="2102"/>
      <c r="G22" s="2041"/>
      <c r="H22" s="2041"/>
      <c r="I22" s="2041"/>
      <c r="J22" s="2041"/>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1781</v>
      </c>
      <c r="B23" s="183" t="s">
        <v>1782</v>
      </c>
      <c r="C23" s="2104"/>
      <c r="D23" s="2105" t="s">
        <v>1782</v>
      </c>
      <c r="E23" s="2106"/>
      <c r="F23" s="2102"/>
      <c r="G23" s="2041"/>
      <c r="H23" s="2041"/>
      <c r="I23" s="2041"/>
      <c r="J23" s="2041"/>
      <c r="K23" s="2107"/>
      <c r="L23" s="747"/>
      <c r="M23" s="2027"/>
      <c r="N23" s="2082"/>
      <c r="O23" s="2081"/>
      <c r="P23" s="2082"/>
      <c r="Q23" s="2028"/>
      <c r="R23" s="2028"/>
      <c r="S23" s="2028"/>
      <c r="T23" s="2028"/>
      <c r="U23" s="2028"/>
      <c r="V23" s="2028"/>
    </row>
    <row r="24" spans="1:22" ht="18" customHeight="1">
      <c r="A24" s="2108"/>
      <c r="B24" s="183" t="s">
        <v>1783</v>
      </c>
      <c r="C24" s="2109"/>
      <c r="D24" s="2103" t="s">
        <v>1783</v>
      </c>
      <c r="E24" s="2110"/>
      <c r="F24" s="2102"/>
      <c r="G24" s="2041"/>
      <c r="H24" s="2041"/>
      <c r="I24" s="2041"/>
      <c r="J24" s="2041"/>
      <c r="K24" s="2107"/>
      <c r="L24" s="747"/>
      <c r="M24" s="2027"/>
      <c r="N24" s="2082"/>
      <c r="O24" s="2081"/>
      <c r="P24" s="2082"/>
      <c r="Q24" s="2028"/>
      <c r="R24" s="2028"/>
      <c r="S24" s="2028"/>
      <c r="T24" s="2028"/>
      <c r="U24" s="2028"/>
      <c r="V24" s="2028"/>
    </row>
    <row r="25" spans="1:22" ht="18" customHeight="1">
      <c r="A25" s="2108"/>
      <c r="B25" s="183" t="s">
        <v>1784</v>
      </c>
      <c r="C25" s="2109"/>
      <c r="D25" s="2103" t="s">
        <v>1784</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1785</v>
      </c>
      <c r="C26" s="2113"/>
      <c r="D26" s="2114" t="s">
        <v>1786</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2" t="s">
        <v>1787</v>
      </c>
      <c r="B27" s="2062" t="s">
        <v>1788</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2"/>
      <c r="B28" s="2034" t="s">
        <v>1789</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2"/>
      <c r="B29" s="2034" t="s">
        <v>1790</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3"/>
      <c r="B30" s="2034" t="s">
        <v>1791</v>
      </c>
      <c r="C30" s="3034"/>
      <c r="D30" s="303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6" t="s">
        <v>1792</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1793</v>
      </c>
      <c r="B34" s="2974" t="s">
        <v>3059</v>
      </c>
      <c r="C34" s="2974" t="s">
        <v>3060</v>
      </c>
      <c r="D34" s="2974" t="s">
        <v>3061</v>
      </c>
      <c r="E34" s="2974" t="s">
        <v>3062</v>
      </c>
      <c r="F34" s="2974" t="s">
        <v>3063</v>
      </c>
      <c r="G34" s="2974" t="s">
        <v>3064</v>
      </c>
      <c r="H34" s="2974" t="s">
        <v>3065</v>
      </c>
      <c r="I34" s="2041"/>
      <c r="J34" s="2041"/>
      <c r="K34" s="1794">
        <f>COUNTIF(B34:H34,"——")</f>
        <v>0</v>
      </c>
      <c r="L34" s="2072" t="s">
        <v>1794</v>
      </c>
      <c r="M34" s="2072" t="s">
        <v>1795</v>
      </c>
      <c r="N34" s="2072" t="s">
        <v>1796</v>
      </c>
      <c r="O34" s="2072" t="s">
        <v>1797</v>
      </c>
      <c r="P34" s="2072" t="s">
        <v>1798</v>
      </c>
      <c r="Q34" s="2072" t="s">
        <v>1799</v>
      </c>
      <c r="R34" s="2072" t="s">
        <v>1800</v>
      </c>
      <c r="S34" s="3031" t="s">
        <v>1801</v>
      </c>
      <c r="T34" s="2131" t="str">
        <f>NUMBERSTRING(7-K34,1)&amp;"通"</f>
        <v>七通</v>
      </c>
      <c r="U34" s="2028"/>
      <c r="V34" s="2028"/>
    </row>
    <row r="35" spans="1:22" ht="18" customHeight="1">
      <c r="A35" s="2132"/>
      <c r="B35" s="3038" t="s">
        <v>1802</v>
      </c>
      <c r="C35" s="3038"/>
      <c r="D35" s="3038"/>
      <c r="E35" s="3038"/>
      <c r="F35" s="2133" t="str">
        <f>C10</f>
        <v>四川省遂宁市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1"/>
      <c r="T35" s="48" t="str">
        <f>IF(T34="一通",L35,IF(T34="二通",M35,IF(T34="三通",N35,IF(T34="四通",O35,IF(T34="五通",P35,IF(T34="六通",Q35,R35))))))</f>
        <v>通路、通电、通讯、通上水、通下水、燃气、平整</v>
      </c>
      <c r="U35" s="2028"/>
      <c r="V35" s="2028"/>
    </row>
    <row r="36" spans="1:22" ht="18" customHeight="1">
      <c r="A36" s="2134"/>
      <c r="B36" s="2133" t="s">
        <v>1803</v>
      </c>
      <c r="C36" s="2133" t="s">
        <v>1804</v>
      </c>
      <c r="D36" s="2133" t="s">
        <v>1805</v>
      </c>
      <c r="E36" s="2133" t="s">
        <v>1806</v>
      </c>
      <c r="F36" s="2135"/>
      <c r="G36" s="2041"/>
      <c r="H36" s="2041"/>
      <c r="I36" s="2041"/>
      <c r="J36" s="2041"/>
      <c r="K36" s="2053"/>
      <c r="L36" s="2027"/>
      <c r="M36" s="2027"/>
      <c r="N36" s="2028"/>
      <c r="O36" s="2029"/>
      <c r="P36" s="2028"/>
      <c r="Q36" s="2028"/>
      <c r="R36" s="2028"/>
      <c r="S36" s="2028"/>
      <c r="T36" s="2028"/>
      <c r="U36" s="2028"/>
      <c r="V36" s="2028"/>
    </row>
    <row r="37" spans="1:22" ht="18" customHeight="1">
      <c r="A37" s="2136" t="s">
        <v>1807</v>
      </c>
      <c r="B37" s="2137"/>
      <c r="C37" s="2137"/>
      <c r="D37" s="2137"/>
      <c r="E37" s="2137"/>
      <c r="F37" s="2135"/>
      <c r="G37" s="2041"/>
      <c r="H37" s="2041"/>
      <c r="I37" s="2041"/>
      <c r="J37" s="2041"/>
      <c r="K37" s="2053"/>
      <c r="L37" s="2027"/>
      <c r="M37" s="2027"/>
      <c r="N37" s="2028"/>
      <c r="O37" s="2029"/>
      <c r="P37" s="2028"/>
      <c r="Q37" s="2028"/>
      <c r="R37" s="2028"/>
      <c r="S37" s="2028"/>
      <c r="T37" s="2028"/>
      <c r="U37" s="2028"/>
      <c r="V37" s="2028"/>
    </row>
    <row r="38" spans="1:22" ht="18" customHeight="1" thickBot="1">
      <c r="A38" s="2138" t="s">
        <v>1808</v>
      </c>
      <c r="B38" s="2139"/>
      <c r="C38" s="2139"/>
      <c r="D38" s="2139"/>
      <c r="E38" s="2139"/>
      <c r="F38" s="2140"/>
      <c r="G38" s="2061"/>
      <c r="H38" s="2061"/>
      <c r="I38" s="2061"/>
      <c r="J38" s="2041"/>
      <c r="K38" s="2053"/>
      <c r="L38" s="2027"/>
      <c r="M38" s="2027"/>
      <c r="N38" s="2028"/>
      <c r="O38" s="2029"/>
      <c r="P38" s="2028"/>
      <c r="Q38" s="2028"/>
      <c r="R38" s="2028"/>
      <c r="S38" s="2028"/>
      <c r="T38" s="2028"/>
      <c r="U38" s="2028"/>
      <c r="V38" s="2028"/>
    </row>
    <row r="39" spans="1:22" s="2145" customFormat="1" ht="18" customHeight="1" thickTop="1" thickBot="1">
      <c r="A39" s="2141" t="s">
        <v>1809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5"/>
      <c r="L40" s="2081"/>
      <c r="M40" s="2081"/>
      <c r="N40" s="2082"/>
      <c r="O40" s="2081"/>
      <c r="P40" s="2028"/>
      <c r="Q40" s="2028"/>
      <c r="R40" s="2028"/>
      <c r="S40" s="2028"/>
      <c r="T40" s="2028"/>
      <c r="U40" s="2028"/>
      <c r="V40" s="2028"/>
    </row>
    <row r="41" spans="1:22" ht="18" customHeight="1">
      <c r="A41" s="8" t="s">
        <v>1810</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1811</v>
      </c>
      <c r="B42" s="1794" t="s">
        <v>1812</v>
      </c>
      <c r="C42" s="1794" t="s">
        <v>1813</v>
      </c>
      <c r="D42" s="1794" t="s">
        <v>1814</v>
      </c>
      <c r="E42" s="1794" t="s">
        <v>1815</v>
      </c>
      <c r="F42" s="1794" t="s">
        <v>1816</v>
      </c>
      <c r="G42" s="1794" t="s">
        <v>1817</v>
      </c>
      <c r="H42" s="1794" t="s">
        <v>1818</v>
      </c>
      <c r="I42" s="1794" t="s">
        <v>1819</v>
      </c>
      <c r="J42" s="2149" t="s">
        <v>1820</v>
      </c>
      <c r="K42" s="2073" t="s">
        <v>1821</v>
      </c>
      <c r="L42" s="2073" t="s">
        <v>1822</v>
      </c>
      <c r="M42" s="2073" t="s">
        <v>1823</v>
      </c>
      <c r="N42" s="1794" t="s">
        <v>1824</v>
      </c>
      <c r="O42" s="1794" t="s">
        <v>1825</v>
      </c>
      <c r="P42" s="1794" t="s">
        <v>1826</v>
      </c>
      <c r="Q42" s="2072" t="s">
        <v>1827</v>
      </c>
      <c r="R42" s="2072" t="s">
        <v>1828</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1829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1830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1831</v>
      </c>
      <c r="B2" s="11" t="s">
        <v>1832</v>
      </c>
      <c r="C2" s="11" t="s">
        <v>1833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1834</v>
      </c>
      <c r="AZ2" s="1269" t="s">
        <v>1835</v>
      </c>
      <c r="BA2" s="11" t="s">
        <v>1836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8982.83</v>
      </c>
      <c r="C3" s="2165" t="s">
        <v>1837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1838</v>
      </c>
      <c r="B5" s="1802"/>
      <c r="C5" s="1802"/>
      <c r="D5" s="1805"/>
      <c r="E5" s="16" t="s">
        <v>1</v>
      </c>
      <c r="F5" s="16">
        <f>SUM(F13:F587)</f>
        <v>0</v>
      </c>
      <c r="G5" s="16">
        <f>SUM(G13:G587)</f>
        <v>8982.83</v>
      </c>
      <c r="H5" s="16">
        <f t="shared" ref="H5:AT5" si="0">SUM(H13:H656)</f>
        <v>8982.83</v>
      </c>
      <c r="I5" s="16">
        <f t="shared" si="0"/>
        <v>2504.4</v>
      </c>
      <c r="J5" s="16">
        <f t="shared" si="0"/>
        <v>0</v>
      </c>
      <c r="K5" s="16">
        <f t="shared" si="0"/>
        <v>6478.43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1838</v>
      </c>
      <c r="AW5" s="1802"/>
      <c r="AX5" s="1802"/>
      <c r="AY5" s="17" t="s">
        <v>3</v>
      </c>
      <c r="AZ5" s="18">
        <f t="shared" ref="AZ5:BT5" si="1">SUM(AZ13:AZ656)</f>
        <v>8982.83</v>
      </c>
      <c r="BA5" s="18">
        <f t="shared" si="1"/>
        <v>8982.83</v>
      </c>
      <c r="BB5" s="18">
        <f t="shared" si="1"/>
        <v>2504.4</v>
      </c>
      <c r="BC5" s="18">
        <f t="shared" si="1"/>
        <v>6478.43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1839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1839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1840</v>
      </c>
      <c r="B7" s="2107" t="s">
        <v>1841</v>
      </c>
      <c r="C7" s="2107" t="s">
        <v>1842</v>
      </c>
      <c r="D7" s="2107" t="s">
        <v>1843</v>
      </c>
      <c r="E7" s="2107" t="s">
        <v>1844</v>
      </c>
      <c r="F7" s="2107" t="s">
        <v>1845</v>
      </c>
      <c r="G7" s="2175" t="s">
        <v>1846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1847</v>
      </c>
      <c r="AV7" s="23" t="s">
        <v>1848</v>
      </c>
      <c r="AW7" s="2163" t="s">
        <v>1849</v>
      </c>
      <c r="AX7" s="23" t="s">
        <v>1842</v>
      </c>
      <c r="AY7" s="1802" t="s">
        <v>1850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1851</v>
      </c>
      <c r="H8" s="2181" t="s">
        <v>1852</v>
      </c>
      <c r="I8" s="2182"/>
      <c r="J8" s="1817"/>
      <c r="K8" s="1817"/>
      <c r="L8" s="1817"/>
      <c r="M8" s="1817"/>
      <c r="N8" s="1817"/>
      <c r="O8" s="1817"/>
      <c r="P8" s="1817"/>
      <c r="Q8" s="1817"/>
      <c r="R8" s="1817"/>
      <c r="S8" s="1817"/>
      <c r="T8" s="1817"/>
      <c r="U8" s="1817"/>
      <c r="V8" s="2183"/>
      <c r="W8" s="1817"/>
      <c r="X8" s="1817"/>
      <c r="Y8" s="1817"/>
      <c r="Z8" s="1817"/>
      <c r="AA8" s="2183"/>
      <c r="AB8" s="2184"/>
      <c r="AC8" s="980" t="s">
        <v>1853</v>
      </c>
      <c r="AD8" s="2185"/>
      <c r="AE8" s="2177"/>
      <c r="AF8" s="1817"/>
      <c r="AG8" s="1817"/>
      <c r="AH8" s="1817"/>
      <c r="AI8" s="1817"/>
      <c r="AJ8" s="1817"/>
      <c r="AK8" s="1817"/>
      <c r="AL8" s="1817"/>
      <c r="AM8" s="1817"/>
      <c r="AN8" s="1817"/>
      <c r="AO8" s="1817"/>
      <c r="AP8" s="1817"/>
      <c r="AQ8" s="1817"/>
      <c r="AR8" s="1817"/>
      <c r="AS8" s="1817"/>
      <c r="AT8" s="1291" t="s">
        <v>1854</v>
      </c>
      <c r="AU8" s="2179" t="s">
        <v>1855</v>
      </c>
      <c r="AV8" s="1291"/>
      <c r="AW8" s="2162"/>
      <c r="AX8" s="1291"/>
      <c r="AY8" s="2163"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1858</v>
      </c>
      <c r="I9" s="2188" t="s">
        <v>3020</v>
      </c>
      <c r="J9" s="980"/>
      <c r="K9" s="2188" t="s">
        <v>3020</v>
      </c>
      <c r="L9" s="980"/>
      <c r="M9" s="2188"/>
      <c r="N9" s="980"/>
      <c r="O9" s="2188"/>
      <c r="P9" s="980"/>
      <c r="Q9" s="2188"/>
      <c r="R9" s="980"/>
      <c r="S9" s="2188"/>
      <c r="T9" s="980"/>
      <c r="U9" s="2188"/>
      <c r="V9" s="980"/>
      <c r="W9" s="2188"/>
      <c r="X9" s="2189"/>
      <c r="Y9" s="2188"/>
      <c r="Z9" s="980"/>
      <c r="AA9" s="2188"/>
      <c r="AB9" s="980"/>
      <c r="AC9" s="2180" t="s">
        <v>1858</v>
      </c>
      <c r="AD9" s="15" t="s">
        <v>1859</v>
      </c>
      <c r="AE9" s="1297"/>
      <c r="AF9" s="15" t="s">
        <v>1860</v>
      </c>
      <c r="AG9" s="1297"/>
      <c r="AH9" s="15" t="s">
        <v>1859</v>
      </c>
      <c r="AI9" s="1297"/>
      <c r="AJ9" s="15" t="s">
        <v>1860</v>
      </c>
      <c r="AK9" s="1297"/>
      <c r="AL9" s="15" t="s">
        <v>1859</v>
      </c>
      <c r="AM9" s="1297"/>
      <c r="AN9" s="15" t="s">
        <v>1860</v>
      </c>
      <c r="AO9" s="1297"/>
      <c r="AP9" s="15" t="s">
        <v>1859</v>
      </c>
      <c r="AQ9" s="1297"/>
      <c r="AR9" s="15" t="s">
        <v>1860</v>
      </c>
      <c r="AS9" s="2190"/>
      <c r="AT9" s="2179"/>
      <c r="AU9" s="2179" t="s">
        <v>1861</v>
      </c>
      <c r="AV9" s="1291"/>
      <c r="AW9" s="2162"/>
      <c r="AX9" s="1291"/>
      <c r="AY9" s="28"/>
      <c r="AZ9" s="28" t="s">
        <v>1851</v>
      </c>
      <c r="BA9" s="2191" t="s">
        <v>1862</v>
      </c>
      <c r="BB9" s="2192"/>
      <c r="BC9" s="1337"/>
      <c r="BD9" s="1337"/>
      <c r="BE9" s="1337"/>
      <c r="BF9" s="1337"/>
      <c r="BG9" s="1337"/>
      <c r="BH9" s="1337"/>
      <c r="BI9" s="1337"/>
      <c r="BJ9" s="1337"/>
      <c r="BK9" s="2193"/>
      <c r="BL9" s="15" t="s">
        <v>1863</v>
      </c>
      <c r="BM9" s="1817"/>
      <c r="BN9" s="2182"/>
      <c r="BO9" s="1817"/>
      <c r="BP9" s="1817"/>
      <c r="BQ9" s="1817"/>
      <c r="BR9" s="1817"/>
      <c r="BS9" s="1817"/>
      <c r="BT9" s="26"/>
    </row>
    <row r="10" spans="1:72" s="2186" customFormat="1" ht="12.75">
      <c r="A10" s="2179"/>
      <c r="B10" s="2179"/>
      <c r="C10" s="2179"/>
      <c r="D10" s="2179"/>
      <c r="E10" s="2179"/>
      <c r="F10" s="2179"/>
      <c r="G10" s="1291"/>
      <c r="H10" s="28"/>
      <c r="I10" s="2188" t="s">
        <v>3021</v>
      </c>
      <c r="J10" s="980"/>
      <c r="K10" s="2194" t="s">
        <v>1369</v>
      </c>
      <c r="L10" s="980"/>
      <c r="M10" s="2194"/>
      <c r="N10" s="980"/>
      <c r="O10" s="2194"/>
      <c r="P10" s="980"/>
      <c r="Q10" s="2194"/>
      <c r="R10" s="980"/>
      <c r="S10" s="2194"/>
      <c r="T10" s="980"/>
      <c r="U10" s="2194"/>
      <c r="V10" s="980"/>
      <c r="W10" s="2194"/>
      <c r="X10" s="980"/>
      <c r="Y10" s="2194"/>
      <c r="Z10" s="980"/>
      <c r="AA10" s="2194"/>
      <c r="AB10" s="980"/>
      <c r="AC10" s="1291"/>
      <c r="AD10" s="15" t="s">
        <v>1864</v>
      </c>
      <c r="AE10" s="2195"/>
      <c r="AF10" s="15" t="s">
        <v>1864</v>
      </c>
      <c r="AG10" s="2195"/>
      <c r="AH10" s="15" t="s">
        <v>1865</v>
      </c>
      <c r="AI10" s="2195"/>
      <c r="AJ10" s="15" t="s">
        <v>1865</v>
      </c>
      <c r="AK10" s="2195"/>
      <c r="AL10" s="15" t="s">
        <v>1866</v>
      </c>
      <c r="AM10" s="1297"/>
      <c r="AN10" s="15" t="s">
        <v>1866</v>
      </c>
      <c r="AO10" s="1297"/>
      <c r="AP10" s="15" t="s">
        <v>1867</v>
      </c>
      <c r="AQ10" s="1297"/>
      <c r="AR10" s="15" t="s">
        <v>1867</v>
      </c>
      <c r="AS10" s="1297"/>
      <c r="AT10" s="2179"/>
      <c r="AU10" s="2179"/>
      <c r="AV10" s="1291"/>
      <c r="AW10" s="2162"/>
      <c r="AX10" s="1291"/>
      <c r="AY10" s="28"/>
      <c r="AZ10" s="28"/>
      <c r="BA10" s="2196" t="s">
        <v>1858</v>
      </c>
      <c r="BB10" s="2197" t="str">
        <f>I9</f>
        <v>地上</v>
      </c>
      <c r="BC10" s="29" t="str">
        <f>K9</f>
        <v>地上</v>
      </c>
      <c r="BD10" s="29">
        <f>M9</f>
        <v>0</v>
      </c>
      <c r="BE10" s="29">
        <f>O9</f>
        <v>0</v>
      </c>
      <c r="BF10" s="29">
        <f>Q9</f>
        <v>0</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3009</v>
      </c>
      <c r="J11" s="2200"/>
      <c r="K11" s="2199" t="s">
        <v>3011</v>
      </c>
      <c r="L11" s="2200"/>
      <c r="M11" s="2199"/>
      <c r="N11" s="2200"/>
      <c r="O11" s="2199"/>
      <c r="P11" s="2200"/>
      <c r="Q11" s="2199"/>
      <c r="R11" s="2200"/>
      <c r="S11" s="2199"/>
      <c r="T11" s="2200"/>
      <c r="U11" s="2199"/>
      <c r="V11" s="2200"/>
      <c r="W11" s="2199"/>
      <c r="X11" s="2200"/>
      <c r="Y11" s="2199"/>
      <c r="Z11" s="2200"/>
      <c r="AA11" s="2199"/>
      <c r="AB11" s="2200"/>
      <c r="AC11" s="1291"/>
      <c r="AD11" s="2201" t="s">
        <v>1868</v>
      </c>
      <c r="AE11" s="1818"/>
      <c r="AF11" s="2201" t="s">
        <v>1868</v>
      </c>
      <c r="AG11" s="1818"/>
      <c r="AH11" s="2201" t="s">
        <v>1869</v>
      </c>
      <c r="AI11" s="2202"/>
      <c r="AJ11" s="2201" t="s">
        <v>1869</v>
      </c>
      <c r="AK11" s="1818"/>
      <c r="AL11" s="1816"/>
      <c r="AM11" s="1818"/>
      <c r="AN11" s="1816"/>
      <c r="AO11" s="1818"/>
      <c r="AP11" s="1816"/>
      <c r="AQ11" s="1818"/>
      <c r="AR11" s="1816"/>
      <c r="AS11" s="1818"/>
      <c r="AT11" s="2162"/>
      <c r="AU11" s="2179"/>
      <c r="AV11" s="1291"/>
      <c r="AW11" s="2162"/>
      <c r="AX11" s="1291"/>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6"/>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4" t="s">
        <v>1871</v>
      </c>
      <c r="AT12" s="2207"/>
      <c r="AU12" s="2204"/>
      <c r="AV12" s="31"/>
      <c r="AW12" s="2163"/>
      <c r="AX12" s="31"/>
      <c r="AY12" s="2208"/>
      <c r="AZ12" s="28"/>
      <c r="BA12" s="2196"/>
      <c r="BB12" s="24" t="str">
        <f>I11</f>
        <v>住宅用房</v>
      </c>
      <c r="BC12" s="2209" t="str">
        <f>K11</f>
        <v>商业用房</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3019</v>
      </c>
      <c r="E13" s="16">
        <f>IF($C$3="是",ROUND($A$3*G13/$B$3,2),ROUND($A$3*(G13-AT13)/$B$3,2))</f>
        <v>0</v>
      </c>
      <c r="F13" s="32"/>
      <c r="G13" s="33">
        <f>H13+AC13+AT13</f>
        <v>8982.83</v>
      </c>
      <c r="H13" s="20">
        <f>SUMIF(I$12:AB$12,"总值",I13:AB13)</f>
        <v>8982.83</v>
      </c>
      <c r="I13" s="2211">
        <v>2504.4</v>
      </c>
      <c r="J13" s="2211"/>
      <c r="K13" s="2211">
        <v>6478.43</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8982.83</v>
      </c>
      <c r="BA13" s="16">
        <f>SUM(BB13:BK13)</f>
        <v>8982.83</v>
      </c>
      <c r="BB13" s="16">
        <f>IF($D13="是",I13-J13,0)</f>
        <v>2504.4</v>
      </c>
      <c r="BC13" s="16">
        <f>IF($D13="是",K13-L13,0)</f>
        <v>6478.43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1897</v>
      </c>
      <c r="B1" s="1391"/>
      <c r="C1" s="1391"/>
      <c r="D1" s="1391"/>
      <c r="E1" s="1391"/>
      <c r="F1" s="1391"/>
      <c r="G1" s="1391"/>
      <c r="H1" s="1391"/>
      <c r="I1" s="1391"/>
      <c r="J1" s="1391"/>
      <c r="K1" s="1391"/>
      <c r="L1" s="1391"/>
      <c r="M1" s="1391"/>
      <c r="N1" s="1391"/>
      <c r="O1" s="1391"/>
      <c r="P1" s="1391"/>
    </row>
    <row r="2" spans="1:16" ht="15">
      <c r="A2" s="3072" t="s">
        <v>1898</v>
      </c>
      <c r="B2" s="3072"/>
      <c r="C2" s="3072"/>
      <c r="D2" s="966" t="s">
        <v>1874</v>
      </c>
      <c r="E2" s="2224" t="s">
        <v>1875</v>
      </c>
      <c r="F2" s="1391"/>
      <c r="G2" s="2225"/>
      <c r="H2" s="2226"/>
      <c r="I2" s="2227" t="s">
        <v>1899</v>
      </c>
      <c r="J2" s="1391"/>
      <c r="K2" s="1391"/>
      <c r="L2" s="1391"/>
      <c r="M2" s="1391"/>
      <c r="N2" s="1426"/>
      <c r="O2" s="1391"/>
      <c r="P2" s="1391"/>
    </row>
    <row r="3" spans="1:16" ht="15.75" thickBot="1">
      <c r="A3" s="3073" t="s">
        <v>1872</v>
      </c>
      <c r="B3" s="3073"/>
      <c r="C3" s="3073"/>
      <c r="D3" s="46">
        <f>'数据-基础表'!AY6</f>
        <v>0</v>
      </c>
      <c r="E3" s="46">
        <f>'数据-基础表'!AZ5</f>
        <v>8982.83</v>
      </c>
      <c r="F3" s="1391"/>
      <c r="G3" s="1398"/>
      <c r="H3" s="1246" t="s">
        <v>1873</v>
      </c>
      <c r="I3" s="55" t="e">
        <f>ROUND('数据-基础表'!B3/'数据-基础表'!A3,2)</f>
        <v>#DIV/0!</v>
      </c>
      <c r="J3" s="1391"/>
      <c r="K3" s="1391"/>
      <c r="L3" s="1391"/>
      <c r="M3" s="1391"/>
      <c r="N3" s="1426"/>
      <c r="O3" s="1391"/>
      <c r="P3" s="1391"/>
    </row>
    <row r="4" spans="1:16" ht="15">
      <c r="A4" s="3074"/>
      <c r="B4" s="3075"/>
      <c r="C4" s="3076"/>
      <c r="D4" s="2228" t="s">
        <v>1874</v>
      </c>
      <c r="E4" s="2229" t="s">
        <v>1875</v>
      </c>
      <c r="F4" s="1391"/>
      <c r="G4" s="2230" t="s">
        <v>1900</v>
      </c>
      <c r="H4" s="1246" t="s">
        <v>1880</v>
      </c>
      <c r="I4" s="55" t="e">
        <f>ROUND(SUMIF('数据-基础表'!I9:AS9,"地上",'数据-基础表'!I5:AS5)/'数据-基础表'!A3,2)</f>
        <v>#DIV/0!</v>
      </c>
      <c r="J4" s="1391"/>
      <c r="K4" s="1391"/>
      <c r="L4" s="1391"/>
      <c r="M4" s="1391"/>
      <c r="N4" s="1426"/>
      <c r="O4" s="1391"/>
      <c r="P4" s="1391"/>
    </row>
    <row r="5" spans="1:16">
      <c r="A5" s="47" t="s">
        <v>1876</v>
      </c>
      <c r="B5" s="3077" t="s">
        <v>1877</v>
      </c>
      <c r="C5" s="3077"/>
      <c r="D5" s="48">
        <f>ROUND($D$3*E5/$E$3,2)</f>
        <v>0</v>
      </c>
      <c r="E5" s="49">
        <f>SUMIF('数据-基础表'!$11:$11,"住宅",'数据-基础表'!$5:$5)</f>
        <v>2504.4</v>
      </c>
      <c r="F5" s="1391"/>
      <c r="G5" s="1398"/>
      <c r="H5" s="1246" t="s">
        <v>1873</v>
      </c>
      <c r="I5" s="55" t="e">
        <f>ROUND(E31/D31,2)</f>
        <v>#DIV/0!</v>
      </c>
      <c r="J5" s="1391"/>
      <c r="K5" s="1391"/>
      <c r="L5" s="1391"/>
      <c r="M5" s="1391"/>
      <c r="N5" s="1391"/>
      <c r="O5" s="1391"/>
      <c r="P5" s="1391"/>
    </row>
    <row r="6" spans="1:16" ht="15" thickBot="1">
      <c r="A6" s="2231"/>
      <c r="B6" s="3077" t="s">
        <v>1878</v>
      </c>
      <c r="C6" s="3077"/>
      <c r="D6" s="48">
        <f>ROUND($D$3*E6/$E$3,2)</f>
        <v>0</v>
      </c>
      <c r="E6" s="49">
        <f>E3-E5</f>
        <v>6478.43</v>
      </c>
      <c r="F6" s="1391"/>
      <c r="G6" s="2232" t="s">
        <v>1879</v>
      </c>
      <c r="H6" s="1398" t="s">
        <v>1880</v>
      </c>
      <c r="I6" s="938" t="e">
        <f>ROUND(F31/D31,2)</f>
        <v>#DIV/0!</v>
      </c>
      <c r="J6" s="1391"/>
      <c r="K6" s="1391"/>
      <c r="L6" s="1391"/>
      <c r="M6" s="1391"/>
      <c r="N6" s="1391"/>
      <c r="O6" s="1391"/>
      <c r="P6" s="1391"/>
    </row>
    <row r="7" spans="1:16" ht="15">
      <c r="A7" s="3069"/>
      <c r="B7" s="3070"/>
      <c r="C7" s="3071"/>
      <c r="D7" s="2228" t="s">
        <v>1874</v>
      </c>
      <c r="E7" s="2233" t="s">
        <v>1881</v>
      </c>
      <c r="F7" s="1391"/>
      <c r="G7" s="2225" t="s">
        <v>1882</v>
      </c>
      <c r="H7" s="64"/>
      <c r="I7" s="420"/>
      <c r="J7" s="1391"/>
      <c r="K7" s="1391"/>
      <c r="L7" s="1391"/>
      <c r="M7" s="1391"/>
      <c r="N7" s="1391"/>
      <c r="O7" s="1391"/>
      <c r="P7" s="1391"/>
    </row>
    <row r="8" spans="1:16">
      <c r="A8" s="47" t="s">
        <v>1883</v>
      </c>
      <c r="B8" s="50" t="s">
        <v>1884</v>
      </c>
      <c r="C8" s="48" t="s">
        <v>1885</v>
      </c>
      <c r="D8" s="48">
        <f t="shared" ref="D8:D15" si="0">ROUND($D$3*E8/$E$3,2)</f>
        <v>0</v>
      </c>
      <c r="E8" s="51">
        <f>SUMIF('数据-基础表'!BB10:BK10,"地上",'数据-基础表'!BB5:BK5)</f>
        <v>8982.83</v>
      </c>
      <c r="F8" s="1391"/>
      <c r="G8" s="2234"/>
      <c r="H8" s="2234"/>
      <c r="I8" s="1391"/>
      <c r="J8" s="1391"/>
      <c r="K8" s="1391"/>
      <c r="L8" s="1391"/>
      <c r="M8" s="1391"/>
      <c r="N8" s="1391"/>
      <c r="O8" s="1391"/>
      <c r="P8" s="1391"/>
    </row>
    <row r="9" spans="1:16">
      <c r="A9" s="2235"/>
      <c r="B9" s="2236"/>
      <c r="C9" s="48" t="s">
        <v>1886</v>
      </c>
      <c r="D9" s="48">
        <f t="shared" si="0"/>
        <v>0</v>
      </c>
      <c r="E9" s="52">
        <v>0</v>
      </c>
      <c r="F9" s="1391"/>
      <c r="G9" s="2234"/>
      <c r="H9" s="2234"/>
      <c r="I9" s="1391"/>
      <c r="J9" s="1391"/>
      <c r="K9" s="1391"/>
      <c r="L9" s="1391"/>
      <c r="M9" s="1391"/>
      <c r="N9" s="1391"/>
      <c r="O9" s="1391"/>
      <c r="P9" s="1391"/>
    </row>
    <row r="10" spans="1:16">
      <c r="A10" s="2235"/>
      <c r="B10" s="2236"/>
      <c r="C10" s="48" t="s">
        <v>1895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1887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1888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1889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1901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1896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1890</v>
      </c>
      <c r="D16" s="50">
        <f>SUM(D8:D15)</f>
        <v>0</v>
      </c>
      <c r="E16" s="53">
        <f>SUM(E8:E15)</f>
        <v>8982.83</v>
      </c>
      <c r="F16" s="1391"/>
      <c r="G16" s="2234"/>
      <c r="H16" s="2237" t="s">
        <v>1902</v>
      </c>
      <c r="I16" s="2238"/>
      <c r="J16" s="1391"/>
      <c r="K16" s="3066" t="s">
        <v>1902</v>
      </c>
      <c r="L16" s="3067"/>
      <c r="M16" s="3067"/>
      <c r="N16" s="3067"/>
      <c r="O16" s="3067"/>
      <c r="P16" s="3068"/>
    </row>
    <row r="17" spans="1:19" ht="15">
      <c r="A17" s="2239" t="s">
        <v>1903</v>
      </c>
      <c r="B17" s="2240" t="s">
        <v>1904</v>
      </c>
      <c r="C17" s="2241" t="s">
        <v>1905</v>
      </c>
      <c r="D17" s="2242" t="s">
        <v>1893</v>
      </c>
      <c r="E17" s="2243" t="s">
        <v>1894</v>
      </c>
      <c r="F17" s="2244"/>
      <c r="G17" s="2245"/>
      <c r="H17" s="2246" t="s">
        <v>1906</v>
      </c>
      <c r="I17" s="2247" t="s">
        <v>1891</v>
      </c>
      <c r="J17" s="1391"/>
      <c r="K17" s="3063" t="s">
        <v>1907</v>
      </c>
      <c r="L17" s="3064"/>
      <c r="M17" s="3065"/>
      <c r="N17" s="3063" t="s">
        <v>1908</v>
      </c>
      <c r="O17" s="3064"/>
      <c r="P17" s="3065"/>
      <c r="R17" s="2225" t="s">
        <v>1909</v>
      </c>
      <c r="S17" s="64"/>
    </row>
    <row r="18" spans="1:19" ht="15">
      <c r="A18" s="2235"/>
      <c r="B18" s="2248"/>
      <c r="C18" s="2249"/>
      <c r="D18" s="2250"/>
      <c r="E18" s="2251" t="s">
        <v>1910</v>
      </c>
      <c r="F18" s="2252" t="s">
        <v>1911</v>
      </c>
      <c r="G18" s="2253" t="s">
        <v>1912</v>
      </c>
      <c r="H18" s="1261" t="s">
        <v>1913</v>
      </c>
      <c r="I18" s="2254" t="s">
        <v>1914</v>
      </c>
      <c r="J18" s="1391"/>
      <c r="K18" s="1261" t="s">
        <v>1915</v>
      </c>
      <c r="L18" s="2255" t="s">
        <v>1916</v>
      </c>
      <c r="M18" s="1045" t="s">
        <v>1917</v>
      </c>
      <c r="N18" s="1261" t="s">
        <v>1915</v>
      </c>
      <c r="O18" s="2255" t="s">
        <v>1916</v>
      </c>
      <c r="P18" s="1045" t="s">
        <v>1917</v>
      </c>
      <c r="R18" s="1246" t="s">
        <v>1918</v>
      </c>
      <c r="S18" s="1246" t="s">
        <v>1919</v>
      </c>
    </row>
    <row r="19" spans="1:19">
      <c r="A19" s="2256"/>
      <c r="B19" s="50" t="s">
        <v>1892</v>
      </c>
      <c r="C19" s="2257" t="str">
        <f>定义!A3</f>
        <v>住宅用房</v>
      </c>
      <c r="D19" s="48">
        <f>ROUND($D$3*E19/$E$3,2)</f>
        <v>0</v>
      </c>
      <c r="E19" s="56">
        <f t="shared" ref="E19:E26" si="1">SUM(F19:G19)</f>
        <v>2504.4</v>
      </c>
      <c r="F19" s="57">
        <f>'数据-基础表'!I13</f>
        <v>2504.4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2504.4</v>
      </c>
    </row>
    <row r="20" spans="1:19">
      <c r="A20" s="2260"/>
      <c r="B20" s="50" t="s">
        <v>1920</v>
      </c>
      <c r="C20" s="2257" t="str">
        <f>定义!A4</f>
        <v>商业用房</v>
      </c>
      <c r="D20" s="48">
        <f t="shared" ref="D20:D26" si="6">ROUND($D$3*E20/$E$3,2)</f>
        <v>0</v>
      </c>
      <c r="E20" s="56">
        <f t="shared" si="1"/>
        <v>6478.43</v>
      </c>
      <c r="F20" s="57">
        <f>'数据-基础表'!K13</f>
        <v>6478.43</v>
      </c>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6478.43</v>
      </c>
    </row>
    <row r="21" spans="1:19">
      <c r="A21" s="2260"/>
      <c r="B21" s="50" t="s">
        <v>1920</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1920</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1920</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1920</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1920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1920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1921</v>
      </c>
      <c r="D27" s="1392">
        <f>SUM(D19:D26)</f>
        <v>0</v>
      </c>
      <c r="E27" s="1393">
        <f>IF(SUM(E19:E26)='数据-基础表'!BA5,SUM(E19:E26),IF(F27="地上面积有误","面积有误","地下面积有误"))</f>
        <v>8982.83</v>
      </c>
      <c r="F27" s="1392">
        <f>IF(SUM(F19:F26)=E8,SUM(F19:F26),"地上面积有误")</f>
        <v>8982.83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8982.83</v>
      </c>
    </row>
    <row r="28" spans="1:19">
      <c r="A28" s="2260"/>
      <c r="B28" s="50" t="s">
        <v>1922</v>
      </c>
      <c r="C28" s="1258" t="s">
        <v>1923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1922</v>
      </c>
      <c r="C29" s="2264" t="s">
        <v>1924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1921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1925</v>
      </c>
      <c r="D31" s="728">
        <f>D27+D30</f>
        <v>0</v>
      </c>
      <c r="E31" s="728">
        <f>E27+E30</f>
        <v>8982.83</v>
      </c>
      <c r="F31" s="729">
        <f>F27+F30</f>
        <v>8982.83</v>
      </c>
      <c r="G31" s="730">
        <f>G27+G30</f>
        <v>0</v>
      </c>
      <c r="H31" s="1391"/>
      <c r="I31" s="1391"/>
      <c r="J31" s="1391"/>
      <c r="K31" s="1391"/>
      <c r="L31" s="1391"/>
      <c r="M31" s="1391"/>
      <c r="N31" s="1391"/>
      <c r="O31" s="1391"/>
      <c r="P31" s="1391"/>
    </row>
    <row r="32" spans="1:19">
      <c r="A32" s="2230"/>
      <c r="B32" s="2230" t="s">
        <v>1926</v>
      </c>
      <c r="C32" s="2230"/>
      <c r="D32" s="2230"/>
      <c r="E32" s="1273">
        <f>SUMIF(C19:C26,"*住宅*",E19:E26)</f>
        <v>2504.4</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O56" sqref="O5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1927</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1928</v>
      </c>
      <c r="B2" s="1265">
        <f>项目基本情况!D3</f>
        <v>43641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1929</v>
      </c>
      <c r="B4" s="2278"/>
      <c r="C4" s="2279"/>
      <c r="D4" s="2280"/>
      <c r="E4" s="2279" t="s">
        <v>1930</v>
      </c>
      <c r="F4" s="2279"/>
      <c r="G4" s="2279"/>
      <c r="H4" s="2279"/>
      <c r="I4" s="2279"/>
      <c r="J4" s="2281"/>
      <c r="K4" s="2282"/>
      <c r="L4" s="2283"/>
      <c r="M4" s="2279"/>
      <c r="N4" s="2279" t="s">
        <v>1931</v>
      </c>
      <c r="O4" s="2279"/>
      <c r="P4" s="2279"/>
      <c r="Q4" s="2279"/>
      <c r="R4" s="2279"/>
      <c r="S4" s="2281"/>
      <c r="T4" s="2284" t="str">
        <f>'数据-汇总表'!I17</f>
        <v>按面积比例</v>
      </c>
      <c r="U4" s="2278" t="s">
        <v>1932</v>
      </c>
      <c r="V4" s="2279"/>
      <c r="W4" s="2279"/>
      <c r="X4" s="2279"/>
      <c r="Y4" s="2281"/>
      <c r="Z4" s="2241" t="s">
        <v>1933</v>
      </c>
      <c r="AA4" s="2241"/>
      <c r="AB4" s="2241"/>
      <c r="AC4" s="2241"/>
      <c r="AD4" s="2241"/>
      <c r="AE4" s="2239" t="s">
        <v>1934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1935</v>
      </c>
      <c r="B5" s="2287" t="s">
        <v>1936</v>
      </c>
      <c r="C5" s="2288" t="s">
        <v>1937</v>
      </c>
      <c r="D5" s="2289" t="s">
        <v>1938</v>
      </c>
      <c r="E5" s="1267" t="s">
        <v>1939</v>
      </c>
      <c r="F5" s="2290" t="s">
        <v>1940</v>
      </c>
      <c r="G5" s="1267" t="s">
        <v>1941</v>
      </c>
      <c r="H5" s="1267" t="s">
        <v>1942</v>
      </c>
      <c r="I5" s="1267" t="s">
        <v>1943</v>
      </c>
      <c r="J5" s="2291" t="s">
        <v>1944</v>
      </c>
      <c r="K5" s="2292" t="s">
        <v>1945</v>
      </c>
      <c r="L5" s="2293" t="s">
        <v>1946</v>
      </c>
      <c r="M5" s="2294" t="s">
        <v>1947</v>
      </c>
      <c r="N5" s="2295" t="s">
        <v>3022</v>
      </c>
      <c r="O5" s="2293" t="s">
        <v>1948</v>
      </c>
      <c r="P5" s="2296" t="s">
        <v>1949</v>
      </c>
      <c r="Q5" s="69" t="s">
        <v>1950</v>
      </c>
      <c r="R5" s="2297" t="s">
        <v>1951</v>
      </c>
      <c r="S5" s="2298" t="s">
        <v>1952</v>
      </c>
      <c r="T5" s="2299" t="s">
        <v>1953</v>
      </c>
      <c r="U5" s="1266" t="s">
        <v>1954</v>
      </c>
      <c r="V5" s="1267" t="s">
        <v>1955</v>
      </c>
      <c r="W5" s="1267" t="s">
        <v>1956</v>
      </c>
      <c r="X5" s="71"/>
      <c r="Y5" s="70" t="s">
        <v>1957</v>
      </c>
      <c r="Z5" s="2300" t="s">
        <v>1954</v>
      </c>
      <c r="AA5" s="1267" t="s">
        <v>1955</v>
      </c>
      <c r="AB5" s="1267" t="s">
        <v>1956</v>
      </c>
      <c r="AC5" s="71"/>
      <c r="AD5" s="71" t="s">
        <v>1957</v>
      </c>
      <c r="AE5" s="1266" t="s">
        <v>1958</v>
      </c>
      <c r="AF5" s="1267" t="s">
        <v>1959</v>
      </c>
      <c r="AG5" s="70" t="s">
        <v>1960</v>
      </c>
      <c r="AH5" s="1266" t="s">
        <v>1961</v>
      </c>
      <c r="AI5" s="2300" t="s">
        <v>1962</v>
      </c>
      <c r="AJ5" s="2300" t="s">
        <v>1963</v>
      </c>
      <c r="AK5" s="1267" t="s">
        <v>1964</v>
      </c>
      <c r="AL5" s="1267" t="s">
        <v>1965</v>
      </c>
      <c r="AM5" s="70" t="s">
        <v>1966</v>
      </c>
      <c r="AN5" s="2301" t="s">
        <v>1967</v>
      </c>
      <c r="AO5" s="2072" t="s">
        <v>1968</v>
      </c>
      <c r="AP5" s="1248" t="s">
        <v>1969</v>
      </c>
      <c r="AQ5" s="2302" t="s">
        <v>1970</v>
      </c>
      <c r="AR5" s="2302" t="s">
        <v>1971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住宅用房</v>
      </c>
      <c r="B6" s="2304" t="str">
        <f>IF(A6=0,"","经营性")</f>
        <v>经营性</v>
      </c>
      <c r="C6" s="2305" t="s">
        <v>3021</v>
      </c>
      <c r="D6" s="1050">
        <f>SUMIF(项目基本情况!D$12:I$12,C6,项目基本情况!D$14:I$14)</f>
        <v>70</v>
      </c>
      <c r="E6" s="1047">
        <f>IF(B6="","",SUMIF(项目基本情况!D$12:I$12,C6,项目基本情况!D$13:I$13))</f>
        <v>0</v>
      </c>
      <c r="F6" s="72">
        <f>SUMIF(项目基本情况!D$12:I$12,C6,项目基本情况!D$15:I$15)</f>
        <v>70</v>
      </c>
      <c r="G6" s="73">
        <f>IF(ISERROR(ROUND(POWER(1+H6,D6-F6)*(POWER(1+H6,F6)-1)/(POWER(1+H6,D6)-1),3)),0,ROUND(POWER(1+H6,D6-F6)*(POWER(1+H6,F6)-1)/(POWER(1+H6,D6)-1),3))</f>
        <v>1</v>
      </c>
      <c r="H6" s="801">
        <v>0.04</v>
      </c>
      <c r="I6" s="801">
        <v>0.05</v>
      </c>
      <c r="J6" s="74">
        <v>8.5000000000000006E-2</v>
      </c>
      <c r="K6" s="1250">
        <f>SUMIF('数据-汇总表'!C$19:C$33,A6,'数据-汇总表'!E$19:E$33)</f>
        <v>2504.4</v>
      </c>
      <c r="L6" s="802">
        <v>3000</v>
      </c>
      <c r="M6" s="75">
        <f t="shared" ref="M6:M14" si="0">ROUND(K6*L6/10000,0)</f>
        <v>751</v>
      </c>
      <c r="N6" s="800">
        <f>ROUND(1-(2019-2015)/60,2)</f>
        <v>0.93</v>
      </c>
      <c r="O6" s="75" t="str">
        <f>IF($N$5="成新度","——",ROUND(M6*N6,0))</f>
        <v>——</v>
      </c>
      <c r="P6" s="76" t="str">
        <f>IF($N$5="成新度","——",M6-O6)</f>
        <v>——</v>
      </c>
      <c r="Q6" s="803">
        <v>0.08</v>
      </c>
      <c r="R6" s="77">
        <f ca="1">SUMIF('数据-汇总表'!C$19:C$33,A6,'数据-汇总表'!R$19:R$27)</f>
        <v>0</v>
      </c>
      <c r="S6" s="54">
        <f>IF('数据-汇总表'!$I$17="按面积比例",SUMIF('数据-汇总表'!C$19:C$33,A6,'数据-汇总表'!K$19:K$33),SUMIF('数据-汇总表'!C$19:C$33,A6,'数据-汇总表'!N$19:N$33))</f>
        <v>0</v>
      </c>
      <c r="T6" s="1442">
        <f>ROUND($L$14*S6/10000,0)</f>
        <v>0</v>
      </c>
      <c r="U6" s="78">
        <v>0.6</v>
      </c>
      <c r="V6" s="79">
        <v>0.02</v>
      </c>
      <c r="W6" s="79">
        <v>0.1</v>
      </c>
      <c r="X6" s="1260"/>
      <c r="Y6" s="80">
        <f>N6</f>
        <v>0.93</v>
      </c>
      <c r="Z6" s="81"/>
      <c r="AA6" s="74"/>
      <c r="AB6" s="74"/>
      <c r="AC6" s="1260"/>
      <c r="AD6" s="82"/>
      <c r="AE6" s="1261">
        <f ca="1">IF(AN6="",0,SUMIF(INDIRECT("'"&amp;AN6&amp;"'"&amp;"!E:E"),$AE$5,INDIRECT("'"&amp;AN6&amp;"'"&amp;"!F:F")))</f>
        <v>70</v>
      </c>
      <c r="AF6" s="1803"/>
      <c r="AG6" s="147">
        <f>IF(AF6="",0,AE6-AF6)</f>
        <v>0</v>
      </c>
      <c r="AH6" s="83"/>
      <c r="AI6" s="85">
        <v>365</v>
      </c>
      <c r="AJ6" s="86"/>
      <c r="AK6" s="87">
        <v>0.02</v>
      </c>
      <c r="AL6" s="88">
        <v>2E-3</v>
      </c>
      <c r="AM6" s="89">
        <v>0.02</v>
      </c>
      <c r="AN6" s="2306" t="s">
        <v>3015</v>
      </c>
      <c r="AO6" s="55">
        <f ca="1">SUMIF(INDIRECT("'"&amp;AN6&amp;"'"&amp;"!A:A"),"总价",INDIRECT("'"&amp;AN6&amp;"'"&amp;"!B:B"))</f>
        <v>434</v>
      </c>
      <c r="AP6" s="2307">
        <f>IF(C6="住宅",K6*L6,0)</f>
        <v>7513200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商业用房</v>
      </c>
      <c r="B7" s="2304" t="str">
        <f t="shared" ref="B7:B13" si="1">IF(A7=0,"","经营性")</f>
        <v>经营性</v>
      </c>
      <c r="C7" s="2305" t="s">
        <v>1369</v>
      </c>
      <c r="D7" s="1050">
        <f>SUMIF(项目基本情况!D$12:I$12,C7,项目基本情况!D$14:I$14)</f>
        <v>40</v>
      </c>
      <c r="E7" s="1047">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1">
        <v>0.05</v>
      </c>
      <c r="I7" s="801">
        <v>0.06</v>
      </c>
      <c r="J7" s="74">
        <v>8.5000000000000006E-2</v>
      </c>
      <c r="K7" s="1250">
        <f>SUMIF('数据-汇总表'!C$19:C$33,A7,'数据-汇总表'!E$19:E$33)</f>
        <v>6478.43</v>
      </c>
      <c r="L7" s="802">
        <v>3000</v>
      </c>
      <c r="M7" s="75">
        <f t="shared" si="0"/>
        <v>1944</v>
      </c>
      <c r="N7" s="800">
        <f>ROUND(1-(2019-2015)/60,2)</f>
        <v>0.93</v>
      </c>
      <c r="O7" s="75" t="str">
        <f t="shared" ref="O7:O14" si="3">IF($N$5="成新度","——",ROUND(M7*N7,0))</f>
        <v>——</v>
      </c>
      <c r="P7" s="76" t="str">
        <f t="shared" ref="P7:P14" si="4">IF($N$5="成新度","——",M7-O7)</f>
        <v>——</v>
      </c>
      <c r="Q7" s="803">
        <v>0.08</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2</v>
      </c>
      <c r="V7" s="79">
        <v>0.03</v>
      </c>
      <c r="W7" s="79">
        <v>0.1</v>
      </c>
      <c r="X7" s="1260"/>
      <c r="Y7" s="80">
        <f>N7</f>
        <v>0.93</v>
      </c>
      <c r="Z7" s="81"/>
      <c r="AA7" s="74"/>
      <c r="AB7" s="74"/>
      <c r="AC7" s="1260"/>
      <c r="AD7" s="82"/>
      <c r="AE7" s="1261">
        <f t="shared" ref="AE7:AE13" ca="1" si="6">IF(AN7="",0,SUMIF(INDIRECT("'"&amp;AN7&amp;"'"&amp;"!E:E"),$AE$5,INDIRECT("'"&amp;AN7&amp;"'"&amp;"!F:F")))</f>
        <v>40</v>
      </c>
      <c r="AF7" s="1803"/>
      <c r="AG7" s="147">
        <f t="shared" ref="AG7:AG13" si="7">IF(AF7="",0,AE7-AF7)</f>
        <v>0</v>
      </c>
      <c r="AH7" s="83"/>
      <c r="AI7" s="85">
        <v>365</v>
      </c>
      <c r="AJ7" s="86"/>
      <c r="AK7" s="87">
        <v>0.02</v>
      </c>
      <c r="AL7" s="88">
        <v>2E-3</v>
      </c>
      <c r="AM7" s="89">
        <v>0.02</v>
      </c>
      <c r="AN7" s="2306" t="s">
        <v>3013</v>
      </c>
      <c r="AO7" s="55">
        <f t="shared" ref="AO7:AO13" ca="1" si="8">SUMIF(INDIRECT("'"&amp;AN7&amp;"'"&amp;"!A:A"),"总价",INDIRECT("'"&amp;AN7&amp;"'"&amp;"!B:B"))</f>
        <v>6510</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1972</v>
      </c>
      <c r="B14" s="2304" t="s">
        <v>1973</v>
      </c>
      <c r="C14" s="2309" t="s">
        <v>1972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1974</v>
      </c>
      <c r="B15" s="2304" t="s">
        <v>1973</v>
      </c>
      <c r="C15" s="2309" t="s">
        <v>1975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1976</v>
      </c>
      <c r="B16" s="97"/>
      <c r="C16" s="1004"/>
      <c r="D16" s="2311"/>
      <c r="E16" s="97"/>
      <c r="F16" s="97"/>
      <c r="G16" s="98">
        <f>ROUND(SUMPRODUCT(G6:G13,K6:K13)/SUMPRODUCT((G6:G13&gt;0)*(K6:K13)),3)</f>
        <v>1</v>
      </c>
      <c r="H16" s="99">
        <f>ROUND(SUMPRODUCT(H6:H13,K6:K13)/SUMPRODUCT((H6:H13&gt;0)*(K6:K13)),3)</f>
        <v>4.7E-2</v>
      </c>
      <c r="I16" s="100"/>
      <c r="J16" s="100"/>
      <c r="K16" s="101">
        <f>SUM(K6:K15)</f>
        <v>8982.83</v>
      </c>
      <c r="L16" s="102">
        <f>ROUND(M16*10000/SUM(K6:K14),0)</f>
        <v>3000</v>
      </c>
      <c r="M16" s="102">
        <f>SUM(M6:M14)</f>
        <v>2695</v>
      </c>
      <c r="N16" s="103">
        <f>ROUND(SUMPRODUCT(M6:M14,N6:N14)/M16,3)</f>
        <v>0.93</v>
      </c>
      <c r="O16" s="102">
        <f>SUM(O6:O14)</f>
        <v>0</v>
      </c>
      <c r="P16" s="102">
        <f>SUM(P6:P14)</f>
        <v>0</v>
      </c>
      <c r="Q16" s="104">
        <f>ROUND(SUMPRODUCT(Q6:Q13,K6:K13)/SUMPRODUCT((Q6:Q13&gt;0)*(K6:K13)),2)</f>
        <v>0.08</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1978</v>
      </c>
      <c r="B19" s="112">
        <v>0</v>
      </c>
      <c r="C19" s="2274" t="s">
        <v>1979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1980</v>
      </c>
      <c r="B20" s="113">
        <v>2</v>
      </c>
      <c r="C20" s="2274" t="s">
        <v>1981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1982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1983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1984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1985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1986</v>
      </c>
      <c r="B26" s="2317" t="s">
        <v>1987</v>
      </c>
      <c r="C26" s="2318" t="s">
        <v>1988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1989</v>
      </c>
      <c r="B27" s="116">
        <v>40</v>
      </c>
      <c r="C27" s="1763" t="s">
        <v>1990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1991</v>
      </c>
      <c r="B28" s="119">
        <v>40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1992</v>
      </c>
      <c r="B29" s="121">
        <v>0</v>
      </c>
      <c r="C29" s="1763" t="s">
        <v>1993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1994</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1995</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1996</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1997</v>
      </c>
      <c r="B33" s="725">
        <v>0.05</v>
      </c>
      <c r="C33" s="1762" t="s">
        <v>1998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1999</v>
      </c>
      <c r="B34" s="122">
        <v>0.1</v>
      </c>
      <c r="C34" s="1762" t="s">
        <v>2000</v>
      </c>
      <c r="D34" s="2275" t="s">
        <v>2001</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2002</v>
      </c>
      <c r="B35" s="119">
        <v>150</v>
      </c>
      <c r="C35" s="1762" t="s">
        <v>2003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2004</v>
      </c>
      <c r="B36" s="123">
        <v>1.4999999999999999E-2</v>
      </c>
      <c r="C36" s="1762" t="s">
        <v>2005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2006</v>
      </c>
      <c r="B37" s="124">
        <v>0.02</v>
      </c>
      <c r="C37" s="1762" t="s">
        <v>2007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2008</v>
      </c>
      <c r="B38" s="122">
        <v>0.02</v>
      </c>
      <c r="C38" s="1762" t="s">
        <v>2007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2009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2010</v>
      </c>
      <c r="B40" s="1299">
        <f ca="1">存贷款利率!G1</f>
        <v>4.7500000000000001E-2</v>
      </c>
      <c r="C40" s="1762" t="s">
        <v>2011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2012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2013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2014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2015</v>
      </c>
      <c r="B44" s="128">
        <v>0.05</v>
      </c>
      <c r="C44" s="1762" t="s">
        <v>2016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2017</v>
      </c>
      <c r="B45" s="126">
        <v>0.03</v>
      </c>
      <c r="C45" s="1763" t="s">
        <v>2018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2019</v>
      </c>
      <c r="B46" s="126">
        <v>0.02</v>
      </c>
      <c r="C46" s="1763" t="s">
        <v>2020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2021</v>
      </c>
      <c r="B47" s="129">
        <v>0</v>
      </c>
      <c r="C47" s="1763" t="s">
        <v>2022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2023</v>
      </c>
      <c r="B48" s="130">
        <v>0.03</v>
      </c>
      <c r="C48" s="1770" t="s">
        <v>2024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2025</v>
      </c>
      <c r="B49" s="126">
        <v>5.0000000000000001E-4</v>
      </c>
      <c r="C49" s="1770" t="s">
        <v>2026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2027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2028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2029</v>
      </c>
      <c r="B52" s="133">
        <f>SUMIF(A54:A63,B53,B54:B63)</f>
        <v>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2030</v>
      </c>
      <c r="B53" s="2333" t="s">
        <v>523</v>
      </c>
      <c r="C53" s="1426" t="s">
        <v>2031</v>
      </c>
      <c r="D53" s="2334" t="s">
        <v>2032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2037</v>
      </c>
      <c r="B58" s="84">
        <v>5</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2038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2039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78" t="s">
        <v>2043</v>
      </c>
      <c r="B1" s="3079"/>
      <c r="C1" s="3079"/>
      <c r="D1" s="3079"/>
      <c r="E1" s="3079"/>
      <c r="F1" s="3079"/>
      <c r="G1" s="307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2044</v>
      </c>
      <c r="D2" s="2363"/>
      <c r="E2" s="2364"/>
      <c r="F2" s="2283"/>
      <c r="G2" s="2362" t="s">
        <v>2045</v>
      </c>
      <c r="H2" s="2365"/>
      <c r="I2" s="2365"/>
      <c r="J2" s="2365"/>
      <c r="K2" s="2365"/>
      <c r="L2" s="2365"/>
      <c r="M2" s="2365"/>
      <c r="N2" s="2365"/>
      <c r="O2" s="2365"/>
      <c r="P2" s="2365"/>
      <c r="Q2" s="2365"/>
      <c r="R2" s="2365"/>
    </row>
    <row r="3" spans="1:29" ht="67.5">
      <c r="A3" s="415" t="s">
        <v>2046</v>
      </c>
      <c r="B3" s="1267" t="s">
        <v>2047</v>
      </c>
      <c r="C3" s="2969" t="s">
        <v>3049</v>
      </c>
      <c r="D3" s="2367"/>
      <c r="E3" s="431" t="s">
        <v>2046</v>
      </c>
      <c r="F3" s="2368" t="s">
        <v>2048</v>
      </c>
      <c r="G3" s="2369"/>
      <c r="H3" s="2365"/>
      <c r="I3" s="2365"/>
      <c r="J3" s="2365"/>
      <c r="K3" s="2365"/>
      <c r="L3" s="2365"/>
      <c r="M3" s="2365"/>
      <c r="N3" s="2365"/>
      <c r="O3" s="2365"/>
      <c r="P3" s="2365"/>
      <c r="Q3" s="2365"/>
      <c r="R3" s="2365"/>
    </row>
    <row r="4" spans="1:29" ht="54">
      <c r="A4" s="431"/>
      <c r="B4" s="1794" t="s">
        <v>2049</v>
      </c>
      <c r="C4" s="2970" t="s">
        <v>3050</v>
      </c>
      <c r="D4" s="2367"/>
      <c r="E4" s="2371"/>
      <c r="F4" s="42" t="s">
        <v>2050</v>
      </c>
      <c r="G4" s="2372"/>
      <c r="H4" s="2365"/>
      <c r="I4" s="2365"/>
      <c r="J4" s="2365"/>
      <c r="K4" s="2365"/>
      <c r="L4" s="2365"/>
      <c r="M4" s="2365"/>
      <c r="N4" s="2365"/>
      <c r="O4" s="2365"/>
      <c r="P4" s="2365"/>
      <c r="Q4" s="2365"/>
      <c r="R4" s="2365"/>
    </row>
    <row r="5" spans="1:29" ht="15">
      <c r="A5" s="431"/>
      <c r="B5" s="1794" t="s">
        <v>2051</v>
      </c>
      <c r="C5" s="2370"/>
      <c r="D5" s="2367"/>
      <c r="E5" s="2371"/>
      <c r="F5" s="1794" t="s">
        <v>2052</v>
      </c>
      <c r="G5" s="2372"/>
      <c r="H5" s="2365"/>
      <c r="I5" s="2365"/>
      <c r="J5" s="2365"/>
      <c r="K5" s="2365"/>
      <c r="L5" s="2365"/>
      <c r="M5" s="2365"/>
      <c r="N5" s="2365"/>
      <c r="O5" s="2365"/>
      <c r="P5" s="2365"/>
      <c r="Q5" s="2365"/>
      <c r="R5" s="2365"/>
    </row>
    <row r="6" spans="1:29" ht="54">
      <c r="A6" s="431"/>
      <c r="B6" s="1794" t="s">
        <v>2053</v>
      </c>
      <c r="C6" s="2971" t="s">
        <v>3051</v>
      </c>
      <c r="D6" s="2367"/>
      <c r="E6" s="2371"/>
      <c r="F6" s="1794" t="s">
        <v>2054</v>
      </c>
      <c r="G6" s="2372"/>
      <c r="H6" s="2365"/>
      <c r="I6" s="2365"/>
      <c r="J6" s="2365"/>
      <c r="K6" s="2365"/>
      <c r="L6" s="2365"/>
      <c r="M6" s="2365"/>
      <c r="N6" s="2365"/>
      <c r="O6" s="2365"/>
      <c r="P6" s="2365"/>
      <c r="Q6" s="2365"/>
      <c r="R6" s="2365"/>
    </row>
    <row r="7" spans="1:29" ht="27.75" thickBot="1">
      <c r="A7" s="431"/>
      <c r="B7" s="1794" t="s">
        <v>2052</v>
      </c>
      <c r="C7" s="2971" t="s">
        <v>3052</v>
      </c>
      <c r="D7" s="2373"/>
      <c r="E7" s="2374"/>
      <c r="F7" s="2375" t="s">
        <v>2055</v>
      </c>
      <c r="G7" s="2376"/>
      <c r="H7" s="2365"/>
      <c r="I7" s="2365"/>
      <c r="J7" s="2365"/>
      <c r="K7" s="2365"/>
      <c r="L7" s="2365"/>
      <c r="M7" s="2365"/>
      <c r="N7" s="2365"/>
      <c r="O7" s="2365"/>
      <c r="P7" s="2365"/>
      <c r="Q7" s="2365"/>
      <c r="R7" s="2365"/>
    </row>
    <row r="8" spans="1:29" ht="27">
      <c r="A8" s="431"/>
      <c r="B8" s="1794" t="s">
        <v>2054</v>
      </c>
      <c r="C8" s="2971" t="s">
        <v>3053</v>
      </c>
      <c r="D8" s="2373"/>
      <c r="E8" s="2373"/>
      <c r="F8" s="1132"/>
      <c r="G8" s="1132"/>
      <c r="H8" s="2365"/>
      <c r="I8" s="2365"/>
      <c r="J8" s="2365"/>
      <c r="K8" s="2365"/>
      <c r="L8" s="2365"/>
      <c r="M8" s="2365"/>
      <c r="N8" s="2365"/>
      <c r="O8" s="2365"/>
      <c r="P8" s="2365"/>
      <c r="Q8" s="2365"/>
      <c r="R8" s="2365"/>
    </row>
    <row r="9" spans="1:29" ht="40.5">
      <c r="A9" s="431"/>
      <c r="B9" s="1794" t="s">
        <v>2056</v>
      </c>
      <c r="C9" s="2970" t="s">
        <v>3054</v>
      </c>
      <c r="D9" s="2367"/>
      <c r="E9" s="2373"/>
      <c r="F9" s="1132"/>
      <c r="G9" s="1132"/>
      <c r="H9" s="2365"/>
      <c r="I9" s="2365"/>
      <c r="J9" s="2365"/>
      <c r="K9" s="2365"/>
      <c r="L9" s="2365"/>
      <c r="M9" s="2365"/>
      <c r="N9" s="2365"/>
      <c r="O9" s="2365"/>
      <c r="P9" s="2365"/>
      <c r="Q9" s="2365"/>
      <c r="R9" s="2365"/>
    </row>
    <row r="10" spans="1:29" s="117" customFormat="1" ht="15.75" thickBot="1">
      <c r="A10" s="2377"/>
      <c r="B10" s="2378" t="s">
        <v>2057</v>
      </c>
      <c r="C10" s="2972" t="s">
        <v>3055</v>
      </c>
      <c r="D10" s="2367"/>
      <c r="E10" s="2367"/>
      <c r="F10" s="1132"/>
      <c r="G10" s="1132"/>
      <c r="H10" s="2379"/>
      <c r="I10" s="2380"/>
      <c r="J10" s="2381"/>
      <c r="K10" s="2379"/>
      <c r="L10" s="2365"/>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0"/>
      <c r="H11" s="2379"/>
      <c r="I11" s="2380"/>
      <c r="J11" s="2381"/>
      <c r="K11" s="2379"/>
      <c r="L11" s="2365"/>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0"/>
      <c r="H12" s="2384"/>
      <c r="I12" s="2385"/>
      <c r="J12" s="2384"/>
      <c r="K12" s="2384"/>
      <c r="L12" s="2365"/>
      <c r="M12" s="2384"/>
      <c r="N12" s="2386"/>
      <c r="O12" s="2387"/>
      <c r="P12" s="2386"/>
      <c r="Q12" s="2386"/>
      <c r="R12" s="2357"/>
      <c r="S12" s="2358"/>
      <c r="T12" s="2358"/>
      <c r="U12" s="2358"/>
      <c r="V12" s="2358"/>
      <c r="W12" s="2358"/>
      <c r="X12" s="2358"/>
      <c r="Y12" s="2358"/>
      <c r="Z12" s="2358"/>
      <c r="AA12" s="2358"/>
      <c r="AB12" s="2358"/>
      <c r="AC12" s="2358"/>
    </row>
    <row r="13" spans="1:29" ht="19.5" thickBot="1">
      <c r="A13" s="2388" t="s">
        <v>2058</v>
      </c>
      <c r="B13" s="2383"/>
      <c r="C13" s="2383"/>
      <c r="D13" s="2389"/>
      <c r="E13" s="2383"/>
      <c r="F13" s="2383"/>
      <c r="G13" s="2383"/>
      <c r="L13" s="2365"/>
    </row>
    <row r="14" spans="1:29" ht="15.75" thickBot="1">
      <c r="A14" s="2393"/>
      <c r="B14" s="2394"/>
      <c r="C14" s="2395" t="s">
        <v>2059</v>
      </c>
      <c r="D14" s="2367"/>
      <c r="E14" s="2396"/>
      <c r="F14" s="2396"/>
      <c r="G14" s="2362" t="s">
        <v>2060</v>
      </c>
    </row>
    <row r="15" spans="1:29" ht="71.25">
      <c r="A15" s="68" t="s">
        <v>2061</v>
      </c>
      <c r="B15" s="1266" t="s">
        <v>2047</v>
      </c>
      <c r="C15" s="2397" t="str">
        <f>C3</f>
        <v>估价对象位于圣莲岛，周边居住用地比例一般、居住小区规模和社区发展完善程度一般，综合评价居住社区成熟度一般</v>
      </c>
      <c r="D15" s="2367"/>
      <c r="E15" s="2398" t="s">
        <v>2062</v>
      </c>
      <c r="F15" s="1266" t="s">
        <v>2063</v>
      </c>
      <c r="G15" s="135">
        <f>G3</f>
        <v>0</v>
      </c>
    </row>
    <row r="16" spans="1:29" ht="42.75">
      <c r="A16" s="644"/>
      <c r="B16" s="2399" t="s">
        <v>2049</v>
      </c>
      <c r="C16" s="2400" t="str">
        <f>C4</f>
        <v>估价对象位于圣莲岛，周边商业氛围成熟度一般，人流量大一般，商业繁华度一般</v>
      </c>
      <c r="D16" s="2367"/>
      <c r="E16" s="2401"/>
      <c r="F16" s="2402" t="s">
        <v>2050</v>
      </c>
      <c r="G16" s="136">
        <f>G4</f>
        <v>0</v>
      </c>
    </row>
    <row r="17" spans="1:18" ht="15">
      <c r="A17" s="644"/>
      <c r="B17" s="2399" t="s">
        <v>2051</v>
      </c>
      <c r="C17" s="2400">
        <f>C5</f>
        <v>0</v>
      </c>
      <c r="D17" s="2373"/>
      <c r="E17" s="2401"/>
      <c r="F17" s="2402" t="s">
        <v>2064</v>
      </c>
      <c r="G17" s="1568"/>
    </row>
    <row r="18" spans="1:18" ht="57">
      <c r="A18" s="644"/>
      <c r="B18" s="2402" t="s">
        <v>2053</v>
      </c>
      <c r="C18" s="136" t="str">
        <f>C6</f>
        <v>估价对象周边道路状况较差、公共交通通达情况较差、停车便捷程度一般，综合评价交通便捷度较差</v>
      </c>
      <c r="D18" s="2373"/>
      <c r="E18" s="2401"/>
      <c r="F18" s="2402" t="s">
        <v>2055</v>
      </c>
      <c r="G18" s="136">
        <f>G7</f>
        <v>0</v>
      </c>
    </row>
    <row r="19" spans="1:18" ht="15">
      <c r="A19" s="644"/>
      <c r="B19" s="2402" t="s">
        <v>2065</v>
      </c>
      <c r="C19" s="2973" t="s">
        <v>3056</v>
      </c>
      <c r="D19" s="2367"/>
      <c r="E19" s="2401"/>
      <c r="F19" s="1794" t="s">
        <v>2052</v>
      </c>
      <c r="G19" s="136">
        <f>G5</f>
        <v>0</v>
      </c>
    </row>
    <row r="20" spans="1:18" ht="42.75">
      <c r="A20" s="644"/>
      <c r="B20" s="2402" t="s">
        <v>2066</v>
      </c>
      <c r="C20" s="2400" t="str">
        <f>C9</f>
        <v>区域自然环境：较好；人文环境：一般；综合评价环境状况一般</v>
      </c>
      <c r="D20" s="2373"/>
      <c r="E20" s="2401"/>
      <c r="F20" s="1794" t="s">
        <v>2067</v>
      </c>
      <c r="G20" s="136">
        <f>G6</f>
        <v>0</v>
      </c>
    </row>
    <row r="21" spans="1:18" ht="28.5">
      <c r="A21" s="644"/>
      <c r="B21" s="1794" t="s">
        <v>2052</v>
      </c>
      <c r="C21" s="136" t="str">
        <f>C7</f>
        <v>估价对象所在区域公共配套设施齐备情况较差</v>
      </c>
      <c r="D21" s="2367"/>
      <c r="E21" s="2401"/>
      <c r="F21" s="2402" t="s">
        <v>2068</v>
      </c>
      <c r="G21" s="2403"/>
    </row>
    <row r="22" spans="1:18" ht="13.5" customHeight="1">
      <c r="A22" s="644"/>
      <c r="B22" s="1794" t="s">
        <v>2054</v>
      </c>
      <c r="C22" s="136" t="str">
        <f>C8</f>
        <v>估价对象所在区域基础设施水平较好</v>
      </c>
      <c r="D22" s="2367"/>
      <c r="E22" s="2401"/>
      <c r="F22" s="2402" t="s">
        <v>2057</v>
      </c>
      <c r="G22" s="1568"/>
    </row>
    <row r="23" spans="1:18" s="2365" customFormat="1" ht="15.75" thickBot="1">
      <c r="A23" s="644"/>
      <c r="B23" s="2402" t="s">
        <v>2068</v>
      </c>
      <c r="C23" s="2403" t="s">
        <v>3057</v>
      </c>
      <c r="D23" s="2390"/>
      <c r="E23" s="2404"/>
      <c r="F23" s="2405" t="s">
        <v>2069</v>
      </c>
      <c r="G23" s="2406"/>
      <c r="H23" s="2390"/>
      <c r="I23" s="2391"/>
      <c r="J23" s="2390"/>
      <c r="K23" s="2390"/>
      <c r="L23" s="2391"/>
      <c r="M23" s="2390"/>
      <c r="N23" s="2390"/>
      <c r="O23" s="2391"/>
      <c r="P23" s="2390"/>
      <c r="Q23" s="2390"/>
      <c r="R23" s="2392"/>
    </row>
    <row r="24" spans="1:18" s="2365" customFormat="1" ht="15.75" thickBot="1">
      <c r="A24" s="2407"/>
      <c r="B24" s="2405" t="s">
        <v>2070</v>
      </c>
      <c r="C24" s="137" t="str">
        <f>C10</f>
        <v>城市支路</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8982.83</v>
      </c>
      <c r="C1" s="1741"/>
      <c r="D1" s="1741"/>
      <c r="E1" s="1741"/>
      <c r="F1" s="1741"/>
      <c r="G1" s="1739"/>
    </row>
    <row r="2" spans="1:10" ht="16.5">
      <c r="A2" s="1742" t="s">
        <v>1345</v>
      </c>
      <c r="B2" s="1742">
        <f>SUM(C14:C23)</f>
        <v>0</v>
      </c>
      <c r="C2" s="1741"/>
      <c r="D2" s="1741"/>
      <c r="E2" s="1741"/>
      <c r="F2" s="1741"/>
      <c r="G2" s="1739"/>
    </row>
    <row r="3" spans="1:10" ht="16.5">
      <c r="A3" s="1742" t="s">
        <v>1354</v>
      </c>
      <c r="B3" s="1743">
        <f>项目基本情况!D3</f>
        <v>43641</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8419</v>
      </c>
      <c r="C5" s="1742">
        <f ca="1">ROUND(B5*10000/$B$1,0)</f>
        <v>9372</v>
      </c>
      <c r="D5" s="1742" t="e">
        <f ca="1">ROUND(B5*10000/$B$2,0)</f>
        <v>#DIV/0!</v>
      </c>
      <c r="E5" s="1741"/>
      <c r="F5" s="1739"/>
      <c r="G5" s="1739"/>
    </row>
    <row r="6" spans="1:10" ht="16.5">
      <c r="A6" s="1742" t="s">
        <v>1348</v>
      </c>
      <c r="B6" s="1742">
        <f ca="1">SUM(G14:G23)</f>
        <v>8419</v>
      </c>
      <c r="C6" s="1742">
        <f ca="1">ROUND(B6*10000/$B$1,0)</f>
        <v>9372</v>
      </c>
      <c r="D6" s="1742" t="e">
        <f ca="1">ROUND(B6*10000/$B$2,0)</f>
        <v>#DIV/0!</v>
      </c>
      <c r="E6" s="1741"/>
      <c r="F6" s="1739"/>
      <c r="G6" s="1739"/>
    </row>
    <row r="7" spans="1:10" ht="16.5">
      <c r="A7" s="1742" t="s">
        <v>1356</v>
      </c>
      <c r="B7" s="1742">
        <f>SUM(H14:H23)</f>
        <v>0</v>
      </c>
      <c r="C7" s="1742">
        <f>ROUND(B7*10000/$B$1,0)</f>
        <v>0</v>
      </c>
      <c r="D7" s="1742" t="e">
        <f>ROUND(B7*10000/$B$2,0)</f>
        <v>#DIV/0!</v>
      </c>
      <c r="E7" s="1741"/>
      <c r="F7" s="1739"/>
      <c r="G7" s="1739"/>
    </row>
    <row r="8" spans="1:10" ht="16.5">
      <c r="A8" s="1742" t="s">
        <v>1277</v>
      </c>
      <c r="B8" s="1742">
        <f>SUM(I14:I23)</f>
        <v>0</v>
      </c>
      <c r="C8" s="1742">
        <f>ROUND(B8*10000/$B$1,0)</f>
        <v>0</v>
      </c>
      <c r="D8" s="1742" t="e">
        <f>ROUND(B8*10000/$B$2,0)</f>
        <v>#DIV/0!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2504.4</v>
      </c>
      <c r="C14" s="1740">
        <f>结果表!C118</f>
        <v>0</v>
      </c>
      <c r="D14" s="1740">
        <f ca="1">结果表!H118</f>
        <v>1811</v>
      </c>
      <c r="E14" s="1740">
        <f ca="1">ROUND(D14*10000/B14,0)</f>
        <v>7231</v>
      </c>
      <c r="F14" s="1740" t="e">
        <f ca="1">ROUND(D14*10000/C14,0)</f>
        <v>#DIV/0!</v>
      </c>
      <c r="G14" s="1740">
        <f ca="1">结果表!D122</f>
        <v>1811</v>
      </c>
      <c r="H14" s="1740" t="str">
        <f>结果表!D124</f>
        <v>——</v>
      </c>
      <c r="I14" s="1740" t="str">
        <f>结果表!D126</f>
        <v>——</v>
      </c>
      <c r="J14" s="1739"/>
    </row>
    <row r="15" spans="1:10" ht="16.5">
      <c r="A15" s="1738" t="s">
        <v>1341</v>
      </c>
      <c r="B15" s="1745">
        <f>'数据-汇总表'!E20</f>
        <v>6478.43</v>
      </c>
      <c r="C15" s="1745">
        <f>'数据-汇总表'!D20</f>
        <v>0</v>
      </c>
      <c r="D15" s="1745">
        <f ca="1">'结果表 (2)'!G19</f>
        <v>6608</v>
      </c>
      <c r="E15" s="1740">
        <f t="shared" ref="E15:E23" ca="1" si="0">ROUND(D15*10000/B15,0)</f>
        <v>10200</v>
      </c>
      <c r="F15" s="1740" t="e">
        <f t="shared" ref="F15:F23" ca="1" si="1">ROUND(D15*10000/C15,0)</f>
        <v>#DIV/0!</v>
      </c>
      <c r="G15" s="1746">
        <f ca="1">D15</f>
        <v>6608</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3009</v>
      </c>
      <c r="D1" s="2413"/>
      <c r="E1" s="2413"/>
      <c r="F1" s="2415" t="s">
        <v>2072</v>
      </c>
      <c r="G1" s="2068" t="s">
        <v>3023</v>
      </c>
      <c r="H1" s="2416" t="str">
        <f>IF(G1="现房","——","估价对象范围")</f>
        <v>——</v>
      </c>
      <c r="I1" s="2417" t="s">
        <v>3024</v>
      </c>
    </row>
    <row r="2" spans="1:12" ht="21.75" customHeight="1" thickBot="1">
      <c r="A2" s="3113" t="str">
        <f>项目基本情况!S2</f>
        <v>四川省遂宁市圣莲岛（仁里镇猫儿洲）棚户区改造项目房地产</v>
      </c>
      <c r="B2" s="3114"/>
      <c r="C2" s="3114"/>
      <c r="D2" s="3114"/>
      <c r="E2" s="3114"/>
      <c r="F2" s="3114"/>
      <c r="G2" s="3114"/>
      <c r="H2" s="3114"/>
      <c r="I2" s="3115"/>
    </row>
    <row r="3" spans="1:12" ht="12.75">
      <c r="A3" s="3117" t="s">
        <v>2073</v>
      </c>
      <c r="B3" s="3118"/>
      <c r="C3" s="3118"/>
      <c r="D3" s="3118"/>
      <c r="E3" s="3118"/>
      <c r="F3" s="3118"/>
      <c r="G3" s="3118"/>
      <c r="H3" s="3118"/>
      <c r="I3" s="3118"/>
    </row>
    <row r="4" spans="1:12" ht="14.25">
      <c r="A4" s="2420" t="s">
        <v>2074</v>
      </c>
      <c r="B4" s="2421" t="s">
        <v>2075</v>
      </c>
      <c r="C4" s="2422" t="s">
        <v>3025</v>
      </c>
      <c r="D4" s="2422" t="s">
        <v>3015</v>
      </c>
      <c r="E4" s="3110" t="s">
        <v>2076</v>
      </c>
      <c r="F4" s="3111"/>
      <c r="G4" s="3111"/>
      <c r="H4" s="3111"/>
      <c r="I4" s="3119"/>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93" t="s">
        <v>2077</v>
      </c>
      <c r="B5" s="3031">
        <v>25</v>
      </c>
      <c r="C5" s="3096"/>
      <c r="D5" s="3116"/>
      <c r="E5" s="140" t="s">
        <v>2078</v>
      </c>
      <c r="F5" s="2424"/>
      <c r="G5" s="2424"/>
      <c r="H5" s="2424"/>
      <c r="I5" s="1830"/>
    </row>
    <row r="6" spans="1:12" ht="12.75">
      <c r="A6" s="3093"/>
      <c r="B6" s="3031"/>
      <c r="C6" s="3097"/>
      <c r="D6" s="3116"/>
      <c r="E6" s="140" t="s">
        <v>2079</v>
      </c>
      <c r="F6" s="2424"/>
      <c r="G6" s="2424"/>
      <c r="H6" s="2424"/>
      <c r="I6" s="1830"/>
    </row>
    <row r="7" spans="1:12" ht="12.75">
      <c r="A7" s="3093"/>
      <c r="B7" s="3031"/>
      <c r="C7" s="3098"/>
      <c r="D7" s="3116"/>
      <c r="E7" s="140" t="s">
        <v>2080</v>
      </c>
      <c r="F7" s="2424"/>
      <c r="G7" s="2424"/>
      <c r="H7" s="2424"/>
      <c r="I7" s="1830"/>
    </row>
    <row r="8" spans="1:12" ht="12.75">
      <c r="A8" s="3093" t="s">
        <v>2081</v>
      </c>
      <c r="B8" s="3031">
        <v>15</v>
      </c>
      <c r="C8" s="3096"/>
      <c r="D8" s="3116"/>
      <c r="E8" s="140" t="s">
        <v>2082</v>
      </c>
      <c r="F8" s="2424"/>
      <c r="G8" s="2424"/>
      <c r="H8" s="2424"/>
      <c r="I8" s="1830"/>
    </row>
    <row r="9" spans="1:12" ht="12.75">
      <c r="A9" s="3093"/>
      <c r="B9" s="3031"/>
      <c r="C9" s="3098"/>
      <c r="D9" s="3116"/>
      <c r="E9" s="140" t="s">
        <v>2083</v>
      </c>
      <c r="F9" s="2424"/>
      <c r="G9" s="2424"/>
      <c r="H9" s="2424"/>
      <c r="I9" s="1830"/>
    </row>
    <row r="10" spans="1:12" ht="12.75">
      <c r="A10" s="3093" t="s">
        <v>2084</v>
      </c>
      <c r="B10" s="3031">
        <v>15</v>
      </c>
      <c r="C10" s="3096"/>
      <c r="D10" s="3116"/>
      <c r="E10" s="140" t="s">
        <v>2085</v>
      </c>
      <c r="F10" s="2424"/>
      <c r="G10" s="2424"/>
      <c r="H10" s="2424"/>
      <c r="I10" s="1830"/>
    </row>
    <row r="11" spans="1:12" ht="12.75">
      <c r="A11" s="3093"/>
      <c r="B11" s="3031"/>
      <c r="C11" s="3098"/>
      <c r="D11" s="3116"/>
      <c r="E11" s="140" t="s">
        <v>2086</v>
      </c>
      <c r="F11" s="2424"/>
      <c r="G11" s="2424"/>
      <c r="H11" s="2424"/>
      <c r="I11" s="1830"/>
    </row>
    <row r="12" spans="1:12" ht="12.75">
      <c r="A12" s="3093" t="s">
        <v>2087</v>
      </c>
      <c r="B12" s="3031">
        <v>15</v>
      </c>
      <c r="C12" s="3096"/>
      <c r="D12" s="3116"/>
      <c r="E12" s="140" t="s">
        <v>2088</v>
      </c>
      <c r="F12" s="2424"/>
      <c r="G12" s="2424"/>
      <c r="H12" s="2424"/>
      <c r="I12" s="1830"/>
    </row>
    <row r="13" spans="1:12" ht="12.75">
      <c r="A13" s="3093"/>
      <c r="B13" s="3031"/>
      <c r="C13" s="3098"/>
      <c r="D13" s="3116"/>
      <c r="E13" s="140" t="s">
        <v>2089</v>
      </c>
      <c r="F13" s="2424"/>
      <c r="G13" s="2424"/>
      <c r="H13" s="2424"/>
      <c r="I13" s="1830"/>
    </row>
    <row r="14" spans="1:12" ht="12.75">
      <c r="A14" s="3093" t="s">
        <v>2090</v>
      </c>
      <c r="B14" s="3031">
        <v>30</v>
      </c>
      <c r="C14" s="3096">
        <v>8</v>
      </c>
      <c r="D14" s="3116">
        <v>2</v>
      </c>
      <c r="E14" s="140" t="s">
        <v>2091</v>
      </c>
      <c r="F14" s="2424"/>
      <c r="G14" s="2424"/>
      <c r="H14" s="2424"/>
      <c r="I14" s="1830"/>
    </row>
    <row r="15" spans="1:12" ht="12.75">
      <c r="A15" s="3093"/>
      <c r="B15" s="3031"/>
      <c r="C15" s="3097"/>
      <c r="D15" s="3116"/>
      <c r="E15" s="140" t="s">
        <v>2092</v>
      </c>
      <c r="F15" s="2424"/>
      <c r="G15" s="2424"/>
      <c r="H15" s="2424"/>
      <c r="I15" s="1830"/>
    </row>
    <row r="16" spans="1:12" ht="12.75">
      <c r="A16" s="3093"/>
      <c r="B16" s="3031"/>
      <c r="C16" s="3098"/>
      <c r="D16" s="3116"/>
      <c r="E16" s="140" t="s">
        <v>2093</v>
      </c>
      <c r="F16" s="2424"/>
      <c r="G16" s="2424"/>
      <c r="H16" s="2424"/>
      <c r="I16" s="1830"/>
    </row>
    <row r="17" spans="1:35" ht="15">
      <c r="A17" s="2425" t="s">
        <v>2094</v>
      </c>
      <c r="B17" s="64"/>
      <c r="C17" s="141">
        <f>SUM(C5:C16)</f>
        <v>8</v>
      </c>
      <c r="D17" s="141">
        <f>SUM(D5:D16)</f>
        <v>2</v>
      </c>
      <c r="E17" s="138"/>
      <c r="F17" s="138"/>
      <c r="G17" s="138"/>
      <c r="H17" s="138"/>
      <c r="I17" s="138"/>
      <c r="K17" s="2423"/>
      <c r="L17" s="2426" t="s">
        <v>2095</v>
      </c>
      <c r="M17" s="2426" t="s">
        <v>2096</v>
      </c>
    </row>
    <row r="18" spans="1:35" ht="15.75" thickBot="1">
      <c r="A18" s="2427" t="s">
        <v>2097</v>
      </c>
      <c r="B18" s="2428"/>
      <c r="C18" s="142">
        <f>ROUND(C17/SUM(C17:D17),2)</f>
        <v>0.8</v>
      </c>
      <c r="D18" s="142">
        <f>1-C18</f>
        <v>0.19999999999999996</v>
      </c>
      <c r="E18" s="138"/>
      <c r="F18" s="138"/>
      <c r="G18" s="138"/>
      <c r="H18" s="138"/>
      <c r="I18" s="138"/>
      <c r="K18" s="2423" t="s">
        <v>2098</v>
      </c>
      <c r="L18" s="2423">
        <f>IF(C1="",'数据-汇总表'!E3,SUMIF(项目类型,C1,'数据-汇总表'!E17:E26)+SUMIF(项目类型,C1,'数据-汇总表'!I17:I26))</f>
        <v>2504.4</v>
      </c>
      <c r="M18" s="2423">
        <f>IF(C1="",'数据-汇总表'!E3,SUMIF(项目类型,C1,'数据-汇总表'!E17:E26))</f>
        <v>2504.4</v>
      </c>
    </row>
    <row r="19" spans="1:35" ht="15">
      <c r="A19" s="2429" t="s">
        <v>2099</v>
      </c>
      <c r="B19" s="2430" t="s">
        <v>2100</v>
      </c>
      <c r="C19" s="143">
        <f ca="1">SUMIF(INDIRECT("'"&amp;C4&amp;"'"&amp;"!A:A"),结果表!B19,INDIRECT("'"&amp;C4&amp;"'"&amp;"!B:B"))</f>
        <v>2155</v>
      </c>
      <c r="D19" s="144">
        <f ca="1">SUMIF(INDIRECT("'"&amp;D4&amp;"'"&amp;"!A:A"),结果表!B19,INDIRECT("'"&amp;D4&amp;"'"&amp;"!B:B"))</f>
        <v>434</v>
      </c>
      <c r="E19" s="2429" t="s">
        <v>2101</v>
      </c>
      <c r="F19" s="2430" t="s">
        <v>2100</v>
      </c>
      <c r="G19" s="145">
        <f ca="1">ROUND(C19*$C$18+D19*$D$18,0)</f>
        <v>1811</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SUMIF(INDIRECT("'"&amp;C4&amp;"'"&amp;"!A:A"),结果表!B20,INDIRECT("'"&amp;C4&amp;"'"&amp;"!B:B"))</f>
        <v>8604</v>
      </c>
      <c r="D20" s="147">
        <f ca="1">SUMIF(INDIRECT("'"&amp;D4&amp;"'"&amp;"!A:A"),结果表!B20,INDIRECT("'"&amp;D4&amp;"'"&amp;"!B:B"))</f>
        <v>1733</v>
      </c>
      <c r="E20" s="2432"/>
      <c r="F20" s="1246" t="s">
        <v>2104</v>
      </c>
      <c r="G20" s="148">
        <f ca="1">ROUND(C20*$C$18+D20*$D$18,0)</f>
        <v>7230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3.9654377880184333</v>
      </c>
      <c r="E22" s="138"/>
      <c r="F22" s="138"/>
      <c r="G22" s="138"/>
      <c r="H22" s="138"/>
      <c r="I22" s="138"/>
    </row>
    <row r="23" spans="1:35" ht="13.5" thickBot="1">
      <c r="A23" s="2413"/>
      <c r="B23" s="2413"/>
      <c r="C23" s="2413"/>
      <c r="D23" s="2413"/>
      <c r="E23" s="138"/>
      <c r="F23" s="138"/>
      <c r="G23" s="138"/>
      <c r="H23" s="138"/>
      <c r="I23" s="138"/>
    </row>
    <row r="24" spans="1:35" ht="14.25">
      <c r="A24" s="3087" t="s">
        <v>2108</v>
      </c>
      <c r="B24" s="2430" t="s">
        <v>2100</v>
      </c>
      <c r="C24" s="145">
        <f>IF(B30=0,0,D30)</f>
        <v>0</v>
      </c>
      <c r="D24" s="2437"/>
      <c r="E24" s="138"/>
      <c r="F24" s="138"/>
      <c r="G24" s="138"/>
      <c r="H24" s="138"/>
      <c r="I24" s="138"/>
    </row>
    <row r="25" spans="1:35" ht="14.25">
      <c r="A25" s="3088"/>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1811</v>
      </c>
      <c r="D32" s="2444" t="s">
        <v>2115</v>
      </c>
      <c r="E32" s="138"/>
      <c r="F32" s="138"/>
      <c r="G32" s="138"/>
      <c r="H32" s="138"/>
      <c r="I32" s="138"/>
    </row>
    <row r="33" spans="1:15" ht="15">
      <c r="A33" s="956" t="s">
        <v>2116</v>
      </c>
      <c r="B33" s="2445"/>
      <c r="C33" s="2446"/>
      <c r="D33" s="2447"/>
      <c r="E33" s="2448" t="s">
        <v>2117</v>
      </c>
      <c r="F33" s="2449"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05" t="s">
        <v>2122</v>
      </c>
      <c r="B36" s="2456" t="s">
        <v>2123</v>
      </c>
      <c r="C36" s="154"/>
      <c r="D36" s="2457"/>
      <c r="E36" s="2458"/>
      <c r="F36" s="2459"/>
      <c r="G36" s="138"/>
      <c r="H36" s="138"/>
      <c r="I36" s="138"/>
    </row>
    <row r="37" spans="1:15" ht="15.75" thickBot="1">
      <c r="A37" s="3106"/>
      <c r="B37" s="2264" t="s">
        <v>2124</v>
      </c>
      <c r="C37" s="156"/>
      <c r="D37" s="1391"/>
      <c r="E37" s="1391"/>
      <c r="F37" s="2459"/>
      <c r="G37" s="138"/>
      <c r="H37" s="138"/>
      <c r="I37" s="138"/>
    </row>
    <row r="38" spans="1:15" ht="15.75" thickBot="1">
      <c r="A38" s="3107"/>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084" t="s">
        <v>2136</v>
      </c>
      <c r="B45" s="3085"/>
      <c r="C45" s="3086"/>
      <c r="D45" s="164">
        <f ca="1">ROUND(H101*F45,0)</f>
        <v>1811</v>
      </c>
      <c r="E45" s="165" t="s">
        <v>2137</v>
      </c>
      <c r="F45" s="166">
        <v>1</v>
      </c>
      <c r="G45" s="167" t="s">
        <v>2138</v>
      </c>
      <c r="H45" s="138"/>
      <c r="I45" s="138"/>
      <c r="J45" s="3144" t="s">
        <v>2139</v>
      </c>
      <c r="K45" s="3144"/>
      <c r="L45" s="3144"/>
      <c r="M45" s="3144"/>
      <c r="N45" s="3144"/>
      <c r="O45" s="3144"/>
    </row>
    <row r="46" spans="1:15" ht="14.25" customHeight="1">
      <c r="A46" s="3081" t="s">
        <v>2140</v>
      </c>
      <c r="B46" s="3082"/>
      <c r="C46" s="3082"/>
      <c r="D46" s="3082"/>
      <c r="E46" s="3082"/>
      <c r="F46" s="3082"/>
      <c r="G46" s="3083"/>
      <c r="H46" s="2475"/>
      <c r="I46" s="168"/>
      <c r="J46" s="1808">
        <v>1</v>
      </c>
      <c r="K46" s="3144" t="s">
        <v>2141</v>
      </c>
      <c r="L46" s="3144"/>
      <c r="M46" s="3164"/>
      <c r="N46" s="3164"/>
      <c r="O46" s="3164"/>
    </row>
    <row r="47" spans="1:15" ht="12" customHeight="1">
      <c r="A47" s="169" t="s">
        <v>2142</v>
      </c>
      <c r="B47" s="170"/>
      <c r="C47" s="171"/>
      <c r="D47" s="172" t="s">
        <v>2143</v>
      </c>
      <c r="E47" s="24" t="s">
        <v>2144</v>
      </c>
      <c r="F47" s="173" t="s">
        <v>2145</v>
      </c>
      <c r="G47" s="174" t="s">
        <v>2146</v>
      </c>
      <c r="H47" s="2475"/>
      <c r="I47" s="168"/>
      <c r="J47" s="1808">
        <v>2</v>
      </c>
      <c r="K47" s="3144" t="s">
        <v>2147</v>
      </c>
      <c r="L47" s="3144"/>
      <c r="M47" s="3165">
        <f>'数据-取费表'!B2</f>
        <v>43641</v>
      </c>
      <c r="N47" s="3165"/>
      <c r="O47" s="3165"/>
    </row>
    <row r="48" spans="1:15" ht="25.5">
      <c r="A48" s="3112" t="s">
        <v>2148</v>
      </c>
      <c r="B48" s="3095"/>
      <c r="C48" s="3095"/>
      <c r="D48" s="140">
        <f>IF(H48="情况1",0,IF(H48="情况2",D52,IF(H48="情况3",D53,IF(H48="情况4",D54))))</f>
        <v>0</v>
      </c>
      <c r="E48" s="1797" t="str">
        <f>IF(H48="情况4","(销售额-原购置价)×税（费）率","销售额×税（费）率")</f>
        <v>销售额×税（费）率</v>
      </c>
      <c r="F48" s="175" t="str">
        <f>IF(H48="情况1","免征",'数据-取费表'!B41)</f>
        <v>免征</v>
      </c>
      <c r="G48" s="2476" t="s">
        <v>2149</v>
      </c>
      <c r="H48" s="2477" t="s">
        <v>2150</v>
      </c>
      <c r="I48" s="2475"/>
      <c r="J48" s="1808">
        <v>3</v>
      </c>
      <c r="K48" s="3144" t="s">
        <v>2151</v>
      </c>
      <c r="L48" s="3144"/>
      <c r="M48" s="3166">
        <f ca="1">H101</f>
        <v>1811</v>
      </c>
      <c r="N48" s="3166"/>
      <c r="O48" s="3166"/>
    </row>
    <row r="49" spans="1:35" ht="25.5" customHeight="1">
      <c r="A49" s="176" t="s">
        <v>2152</v>
      </c>
      <c r="B49" s="3080" t="s">
        <v>2153</v>
      </c>
      <c r="C49" s="3080"/>
      <c r="D49" s="177">
        <v>0</v>
      </c>
      <c r="E49" s="23" t="s">
        <v>2154</v>
      </c>
      <c r="F49" s="28" t="s">
        <v>34</v>
      </c>
      <c r="G49" s="3150"/>
      <c r="H49" s="138"/>
      <c r="I49" s="2478"/>
      <c r="J49" s="1808">
        <v>4</v>
      </c>
      <c r="K49" s="3144" t="str">
        <f>IF(项目基本情况!E8="房地产抵押价值","房地产抵押价值","抵押担保权已注销时的房地产抵押价值")</f>
        <v>房地产抵押价值</v>
      </c>
      <c r="L49" s="3144"/>
      <c r="M49" s="3166">
        <f ca="1">IF(项目基本情况!E8="房地产抵押价值",H107,H109)</f>
        <v>1811</v>
      </c>
      <c r="N49" s="3166"/>
      <c r="O49" s="3166"/>
    </row>
    <row r="50" spans="1:35" ht="25.5" customHeight="1">
      <c r="A50" s="178"/>
      <c r="B50" s="3080" t="s">
        <v>2155</v>
      </c>
      <c r="C50" s="3080"/>
      <c r="D50" s="179"/>
      <c r="E50" s="31"/>
      <c r="F50" s="180"/>
      <c r="G50" s="3151"/>
      <c r="H50" s="138"/>
      <c r="I50" s="2478"/>
      <c r="J50" s="3144" t="s">
        <v>2156</v>
      </c>
      <c r="K50" s="3144"/>
      <c r="L50" s="3144"/>
      <c r="M50" s="3144"/>
      <c r="N50" s="3144"/>
      <c r="O50" s="3144"/>
    </row>
    <row r="51" spans="1:35" ht="12" customHeight="1">
      <c r="A51" s="181"/>
      <c r="B51" s="3080" t="s">
        <v>2157</v>
      </c>
      <c r="C51" s="3080"/>
      <c r="D51" s="182"/>
      <c r="E51" s="30"/>
      <c r="F51" s="180"/>
      <c r="G51" s="3152"/>
      <c r="H51" s="138"/>
      <c r="I51" s="2478"/>
      <c r="J51" s="2479" t="s">
        <v>2158</v>
      </c>
      <c r="K51" s="3144" t="s">
        <v>2159</v>
      </c>
      <c r="L51" s="3144"/>
      <c r="M51" s="2479" t="s">
        <v>2160</v>
      </c>
      <c r="N51" s="2479" t="s">
        <v>2161</v>
      </c>
      <c r="O51" s="2479" t="s">
        <v>2162</v>
      </c>
    </row>
    <row r="52" spans="1:35" ht="24" customHeight="1">
      <c r="A52" s="183" t="s">
        <v>2163</v>
      </c>
      <c r="B52" s="3080" t="s">
        <v>2164</v>
      </c>
      <c r="C52" s="3080"/>
      <c r="D52" s="182">
        <f ca="1">ROUND(D45*'数据-取费表'!B41/(1+'数据-取费表'!C42),0)</f>
        <v>95</v>
      </c>
      <c r="E52" s="11" t="s">
        <v>2165</v>
      </c>
      <c r="F52" s="184">
        <f>'数据-取费表'!B41</f>
        <v>5.5000000000000007E-2</v>
      </c>
      <c r="G52" s="2480"/>
      <c r="H52" s="138"/>
      <c r="I52" s="2478"/>
      <c r="J52" s="1808">
        <v>1</v>
      </c>
      <c r="K52" s="3145" t="s">
        <v>2166</v>
      </c>
      <c r="L52" s="3145"/>
      <c r="M52" s="1750">
        <f>D48</f>
        <v>0</v>
      </c>
      <c r="N52" s="1808" t="str">
        <f>E48</f>
        <v>销售额×税（费）率</v>
      </c>
      <c r="O52" s="1751" t="str">
        <f>F48</f>
        <v>免征</v>
      </c>
    </row>
    <row r="53" spans="1:35" ht="12" customHeight="1">
      <c r="A53" s="183" t="s">
        <v>2167</v>
      </c>
      <c r="B53" s="3103" t="s">
        <v>2168</v>
      </c>
      <c r="C53" s="3104"/>
      <c r="D53" s="182">
        <f ca="1">ROUND(D45*'数据-取费表'!B41/(1+'数据-取费表'!C42),0)</f>
        <v>95</v>
      </c>
      <c r="E53" s="11" t="s">
        <v>2165</v>
      </c>
      <c r="F53" s="184">
        <f>'数据-取费表'!B41</f>
        <v>5.5000000000000007E-2</v>
      </c>
      <c r="G53" s="2480"/>
      <c r="H53" s="138"/>
      <c r="I53" s="2478"/>
      <c r="J53" s="1808">
        <v>2</v>
      </c>
      <c r="K53" s="3145" t="s">
        <v>2169</v>
      </c>
      <c r="L53" s="3145"/>
      <c r="M53" s="1750">
        <f t="shared" ref="M53:O54" ca="1" si="0">D55</f>
        <v>1</v>
      </c>
      <c r="N53" s="1808" t="str">
        <f t="shared" si="0"/>
        <v>销售额×税（费）率</v>
      </c>
      <c r="O53" s="1751">
        <f t="shared" si="0"/>
        <v>5.0000000000000001E-4</v>
      </c>
    </row>
    <row r="54" spans="1:35" ht="12" customHeight="1">
      <c r="A54" s="183" t="s">
        <v>2170</v>
      </c>
      <c r="B54" s="3103" t="s">
        <v>2171</v>
      </c>
      <c r="C54" s="3104"/>
      <c r="D54" s="182">
        <f ca="1">C68</f>
        <v>95</v>
      </c>
      <c r="E54" s="30" t="s">
        <v>2172</v>
      </c>
      <c r="F54" s="184">
        <f>'数据-取费表'!B41</f>
        <v>5.5000000000000007E-2</v>
      </c>
      <c r="G54" s="2480"/>
      <c r="H54" s="2481"/>
      <c r="I54" s="2478"/>
      <c r="J54" s="1808">
        <v>3</v>
      </c>
      <c r="K54" s="3145" t="s">
        <v>2173</v>
      </c>
      <c r="L54" s="3145"/>
      <c r="M54" s="1750">
        <f t="shared" ca="1" si="0"/>
        <v>1026</v>
      </c>
      <c r="N54" s="1808" t="str">
        <f t="shared" si="0"/>
        <v>增值额×税（费）率</v>
      </c>
      <c r="O54" s="1752" t="str">
        <f t="shared" si="0"/>
        <v>——</v>
      </c>
    </row>
    <row r="55" spans="1:35" ht="24" customHeight="1">
      <c r="A55" s="3094" t="s">
        <v>2174</v>
      </c>
      <c r="B55" s="3095"/>
      <c r="C55" s="3095"/>
      <c r="D55" s="185">
        <f ca="1">IF(H55="个人住宅",0,ROUND(D45*I55,0))</f>
        <v>1</v>
      </c>
      <c r="E55" s="11" t="s">
        <v>2175</v>
      </c>
      <c r="F55" s="184">
        <f>IF(H55="正常",I55,"免征")</f>
        <v>5.0000000000000001E-4</v>
      </c>
      <c r="G55" s="2480"/>
      <c r="H55" s="2477" t="s">
        <v>2176</v>
      </c>
      <c r="I55" s="186">
        <f>'数据-取费表'!B49</f>
        <v>5.0000000000000001E-4</v>
      </c>
      <c r="J55" s="1808" t="str">
        <f>IF(H59="非个人房产","",4)</f>
        <v/>
      </c>
      <c r="K55" s="3145" t="str">
        <f>IF(H59="非个人房产","——","个人所得税")</f>
        <v>——</v>
      </c>
      <c r="L55" s="3145"/>
      <c r="M55" s="1753" t="str">
        <f>D59</f>
        <v>——</v>
      </c>
      <c r="N55" s="1806" t="str">
        <f>E59</f>
        <v>——</v>
      </c>
      <c r="O55" s="1754" t="str">
        <f>F59</f>
        <v>——</v>
      </c>
    </row>
    <row r="56" spans="1:35" ht="24.75">
      <c r="A56" s="3094" t="s">
        <v>2177</v>
      </c>
      <c r="B56" s="3095"/>
      <c r="C56" s="3095"/>
      <c r="D56" s="185">
        <f ca="1">IF(H56="个人住宅",D57,D58)</f>
        <v>1026</v>
      </c>
      <c r="E56" s="11" t="s">
        <v>2178</v>
      </c>
      <c r="F56" s="184" t="str">
        <f>IF(H56="正常",F58,"免征")</f>
        <v>——</v>
      </c>
      <c r="G56" s="2482" t="s">
        <v>2179</v>
      </c>
      <c r="H56" s="2483" t="s">
        <v>2176</v>
      </c>
      <c r="I56" s="2484"/>
      <c r="J56" s="1808"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2152</v>
      </c>
      <c r="B57" s="3110" t="s">
        <v>2180</v>
      </c>
      <c r="C57" s="3119"/>
      <c r="D57" s="187">
        <v>0</v>
      </c>
      <c r="E57" s="23" t="s">
        <v>2154</v>
      </c>
      <c r="F57" s="155"/>
      <c r="G57" s="2480"/>
      <c r="H57" s="2484"/>
      <c r="I57" s="2484"/>
      <c r="J57" s="3145">
        <f>IF(AND(J55="",J56=""),4,IF(项目基本情况!K6="上海银行",结果表!J56+1,结果表!J55+1))</f>
        <v>4</v>
      </c>
      <c r="K57" s="3145" t="s">
        <v>2181</v>
      </c>
      <c r="L57" s="2485" t="s">
        <v>2182</v>
      </c>
      <c r="M57" s="1755"/>
      <c r="N57" s="1756">
        <f ca="1">SUMIF(M52:M56,"&lt;9e307")</f>
        <v>1027</v>
      </c>
      <c r="O57" s="2486"/>
      <c r="P57" s="1749">
        <f ca="1">N57/M49</f>
        <v>0.5670900055218111</v>
      </c>
    </row>
    <row r="58" spans="1:35" ht="24.75">
      <c r="A58" s="183" t="s">
        <v>2163</v>
      </c>
      <c r="B58" s="3110" t="s">
        <v>2183</v>
      </c>
      <c r="C58" s="3111"/>
      <c r="D58" s="185">
        <f ca="1">IF(H58="转让取得",C81,C97)</f>
        <v>1026</v>
      </c>
      <c r="E58" s="11" t="s">
        <v>2178</v>
      </c>
      <c r="F58" s="24" t="s">
        <v>34</v>
      </c>
      <c r="G58" s="2480"/>
      <c r="H58" s="2483" t="s">
        <v>2184</v>
      </c>
      <c r="I58" s="2484"/>
      <c r="J58" s="3145"/>
      <c r="K58" s="3145"/>
      <c r="L58" s="2485" t="s">
        <v>2185</v>
      </c>
      <c r="M58" s="1757"/>
      <c r="N58" s="2487" t="str">
        <f ca="1">NUMBERSTRING(INT(N57*10000),2)&amp;"元整"</f>
        <v>壹仟零贰拾柒万元整</v>
      </c>
      <c r="O58" s="2488"/>
    </row>
    <row r="59" spans="1:35" ht="24.75" thickBot="1">
      <c r="A59" s="3148" t="s">
        <v>2186</v>
      </c>
      <c r="B59" s="3149"/>
      <c r="C59" s="3149"/>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46">
        <f>J57+1</f>
        <v>5</v>
      </c>
      <c r="K59" s="3145" t="s">
        <v>2188</v>
      </c>
      <c r="L59" s="1808" t="s">
        <v>2182</v>
      </c>
      <c r="M59" s="1758"/>
      <c r="N59" s="1759">
        <f ca="1">M49-N57</f>
        <v>784</v>
      </c>
      <c r="O59" s="2490"/>
    </row>
    <row r="60" spans="1:35" ht="12" customHeight="1">
      <c r="A60" s="2491"/>
      <c r="B60" s="2413"/>
      <c r="C60" s="2413"/>
      <c r="D60" s="2413"/>
      <c r="E60" s="2163"/>
      <c r="F60" s="2484"/>
      <c r="G60" s="2484"/>
      <c r="H60" s="2492"/>
      <c r="I60" s="138"/>
      <c r="J60" s="3147"/>
      <c r="K60" s="3145"/>
      <c r="L60" s="2485" t="s">
        <v>2185</v>
      </c>
      <c r="M60" s="1757"/>
      <c r="N60" s="2487" t="str">
        <f ca="1">NUMBERSTRING(INT(N59*10000),2)&amp;"元整"</f>
        <v>柒佰捌拾肆万元整</v>
      </c>
      <c r="O60" s="2488"/>
    </row>
    <row r="61" spans="1:35" ht="13.5" thickBot="1">
      <c r="A61" s="3092" t="s">
        <v>2189</v>
      </c>
      <c r="B61" s="3092"/>
      <c r="C61" s="3092"/>
      <c r="D61" s="3092"/>
      <c r="E61" s="3092"/>
      <c r="F61" s="2484"/>
      <c r="G61" s="2484"/>
      <c r="H61" s="2492"/>
      <c r="I61" s="138"/>
      <c r="J61" s="1808">
        <f>J59+1</f>
        <v>6</v>
      </c>
      <c r="K61" s="3145" t="s">
        <v>2190</v>
      </c>
      <c r="L61" s="3145"/>
      <c r="M61" s="1760"/>
      <c r="N61" s="1761">
        <f ca="1">ROUND(N59*10000/'数据-汇总表'!E3,0)</f>
        <v>873</v>
      </c>
      <c r="O61" s="2493"/>
    </row>
    <row r="62" spans="1:35" ht="12.75">
      <c r="A62" s="3108" t="s">
        <v>2191</v>
      </c>
      <c r="B62" s="3109"/>
      <c r="C62" s="1800"/>
      <c r="D62" s="1800" t="s">
        <v>2192</v>
      </c>
      <c r="E62" s="192" t="s">
        <v>2193</v>
      </c>
      <c r="F62" s="2484"/>
      <c r="G62" s="2484"/>
      <c r="H62" s="2492"/>
      <c r="I62" s="138"/>
    </row>
    <row r="63" spans="1:35" ht="12.75">
      <c r="A63" s="203" t="s">
        <v>774</v>
      </c>
      <c r="B63" s="193" t="s">
        <v>2194</v>
      </c>
      <c r="C63" s="194">
        <f ca="1">ROUND((C64+C65)/(1+'数据-取费表'!C42),0)</f>
        <v>1725</v>
      </c>
      <c r="D63" s="195"/>
      <c r="E63" s="196"/>
      <c r="F63" s="2484"/>
      <c r="G63" s="2484"/>
      <c r="H63" s="2492"/>
      <c r="I63" s="138"/>
      <c r="J63" s="3170" t="s">
        <v>2195</v>
      </c>
      <c r="K63" s="2494" t="s">
        <v>2196</v>
      </c>
      <c r="L63" s="1748">
        <f ca="1">IF(M49&gt;10000,M49*0.5%,IF(AND(M49&gt;1000,M49&lt;=10000),M49*1%,IF(AND(M49&gt;100,M49&lt;=1000),M49*3%,IF(AND(M49&gt;10,M49&lt;=100),M49*5%,M49*8%))))</f>
        <v>18.11</v>
      </c>
      <c r="M63" s="24">
        <f ca="1">ROUND(L63,1)</f>
        <v>18.100000000000001</v>
      </c>
      <c r="Z63" s="2418"/>
      <c r="AI63" s="2419"/>
    </row>
    <row r="64" spans="1:35" ht="14.25" customHeight="1">
      <c r="A64" s="197" t="s">
        <v>769</v>
      </c>
      <c r="B64" s="198" t="s">
        <v>2197</v>
      </c>
      <c r="C64" s="199">
        <f ca="1">D45</f>
        <v>1811</v>
      </c>
      <c r="D64" s="200" t="s">
        <v>32</v>
      </c>
      <c r="E64" s="201"/>
      <c r="F64" s="2484"/>
      <c r="G64" s="2484"/>
      <c r="H64" s="2492"/>
      <c r="I64" s="138"/>
      <c r="J64" s="3170"/>
      <c r="K64" s="2494" t="s">
        <v>2198</v>
      </c>
      <c r="L64" s="1748">
        <f ca="1">IF(M49&gt;2000,M49*0.5%,IF(AND(M49&gt;1000,M49&lt;=2000),M49*0.6%,IF(AND(M49&gt;500,M49&lt;=1000),M49*0.7%,IF(AND(M49&gt;200,M49&lt;=500),M49*0.8%,IF(AND(M49&gt;100,M49&lt;=200),M49*0.9%,IF(AND(M49&gt;50,M49&lt;=100),M49*1%,IF(AND(M49&gt;20,M49&lt;=50),M49*1.5%,IF(AND(M49&gt;10,M49&lt;=20),M49*2%,IF(AND(M49&gt;1,M49&lt;=10),M49*2.5%)))))))))</f>
        <v>10.866</v>
      </c>
      <c r="M64" s="24">
        <f t="shared" ref="M64:M65" ca="1" si="1">ROUND(L64,1)</f>
        <v>10.9</v>
      </c>
      <c r="N64" s="138" t="s">
        <v>2199</v>
      </c>
      <c r="Z64" s="2418"/>
      <c r="AI64" s="2419"/>
    </row>
    <row r="65" spans="1:35" ht="14.25" customHeight="1">
      <c r="A65" s="197" t="s">
        <v>770</v>
      </c>
      <c r="B65" s="198" t="s">
        <v>2200</v>
      </c>
      <c r="C65" s="202"/>
      <c r="D65" s="200"/>
      <c r="E65" s="201"/>
      <c r="F65" s="2484"/>
      <c r="G65" s="2484"/>
      <c r="H65" s="2492"/>
      <c r="I65" s="138"/>
      <c r="J65" s="3170"/>
      <c r="K65" s="2494" t="s">
        <v>2201</v>
      </c>
      <c r="L65" s="1748">
        <f ca="1">IF(M49&gt;1000,M49*0.1%,IF(AND(M49&gt;500,M49&lt;=1000),M49*0.5%,IF(AND(M49&gt;50,M49&lt;=500),M49*1%,IF(AND(M49&gt;1,M49&lt;=50),M49*1.5%))))</f>
        <v>1.8109999999999999</v>
      </c>
      <c r="M65" s="24">
        <f t="shared" ca="1" si="1"/>
        <v>1.8</v>
      </c>
      <c r="N65" s="138" t="s">
        <v>2199</v>
      </c>
      <c r="Z65" s="2418"/>
      <c r="AI65" s="2419"/>
    </row>
    <row r="66" spans="1:35" ht="14.25" customHeight="1">
      <c r="A66" s="203" t="s">
        <v>771</v>
      </c>
      <c r="B66" s="204" t="s">
        <v>2202</v>
      </c>
      <c r="C66" s="205"/>
      <c r="D66" s="206" t="s">
        <v>32</v>
      </c>
      <c r="E66" s="1772" t="s">
        <v>1363</v>
      </c>
      <c r="F66" s="2484"/>
      <c r="G66" s="2484"/>
      <c r="H66" s="2492"/>
      <c r="I66" s="138"/>
      <c r="J66" s="3170"/>
      <c r="K66" s="2494" t="s">
        <v>2203</v>
      </c>
      <c r="L66" s="1748">
        <f ca="1">M49*0.5%</f>
        <v>9.0549999999999997</v>
      </c>
      <c r="M66" s="24">
        <f ca="1">IF(L66&gt;0.5,0.5,ROUND(L66,0))</f>
        <v>0.5</v>
      </c>
      <c r="N66" s="138" t="s">
        <v>2204</v>
      </c>
      <c r="Z66" s="2418"/>
      <c r="AI66" s="2419"/>
    </row>
    <row r="67" spans="1:35" ht="14.25" customHeight="1">
      <c r="A67" s="203" t="s">
        <v>772</v>
      </c>
      <c r="B67" s="204" t="s">
        <v>2205</v>
      </c>
      <c r="C67" s="207">
        <f ca="1">C63-C66</f>
        <v>1725</v>
      </c>
      <c r="D67" s="200" t="s">
        <v>32</v>
      </c>
      <c r="E67" s="201"/>
      <c r="F67" s="2484"/>
      <c r="G67" s="2484"/>
      <c r="H67" s="2492"/>
      <c r="I67" s="138"/>
      <c r="J67" s="3170"/>
      <c r="K67" s="2494" t="s">
        <v>2206</v>
      </c>
      <c r="L67" s="1748">
        <f ca="1">IF(M49&gt;=10000,(8.25+(M49-10000)*0.01%),IF(AND(M49&gt;=8000,M49&lt;10000),(7.85+(M49-8000)*0.02%),IF(AND(M49&gt;=5000,M49&lt;8000),(6.65+(M49-5000)*0.04%),IF(AND(M49&gt;=2000,M49&lt;5000),(4.25+(PM49-2000)*0.08%),IF(AND(M49&gt;=1000,M49&lt;2000),(2.75+(M49-1000)*0.15%),IF(AND(M49&gt;=100,M49&lt;1000),(0.5+(M49-100)*0.25%),IF(AND(M49&gt;0,M49&lt;100),M49*0.5%)))))))</f>
        <v>3.9664999999999999</v>
      </c>
      <c r="M67" s="24">
        <f ca="1">ROUND(L67*0.9,1)</f>
        <v>3.6</v>
      </c>
      <c r="Z67" s="2418"/>
      <c r="AI67" s="2419"/>
    </row>
    <row r="68" spans="1:35" ht="14.25" customHeight="1" thickBot="1">
      <c r="A68" s="208" t="s">
        <v>773</v>
      </c>
      <c r="B68" s="209" t="s">
        <v>2207</v>
      </c>
      <c r="C68" s="210">
        <f ca="1">IF(C67&lt;=0,0,ROUND(C67*D68,0))</f>
        <v>95</v>
      </c>
      <c r="D68" s="211">
        <f>'数据-取费表'!B41</f>
        <v>5.5000000000000007E-2</v>
      </c>
      <c r="E68" s="212"/>
      <c r="F68" s="2484"/>
      <c r="G68" s="2484"/>
      <c r="H68" s="2492"/>
      <c r="I68" s="138"/>
      <c r="J68" s="3170"/>
      <c r="K68" s="2494" t="s">
        <v>2208</v>
      </c>
      <c r="L68" s="1748">
        <f ca="1">IF(M49&gt;10000,M49*0.5%,IF(AND(M49&gt;5000,M49&lt;=10000),M49*1%,IF(AND(M49&gt;1000,M49&lt;=5000),M49*2%,IF(AND(M49&gt;200,M49&lt;=1000),M49*3%,M49*5%))))</f>
        <v>36.22</v>
      </c>
      <c r="M68" s="24">
        <f ca="1">ROUND(L68,1)</f>
        <v>36.200000000000003</v>
      </c>
      <c r="Z68" s="2418"/>
      <c r="AI68" s="2419"/>
    </row>
    <row r="69" spans="1:35" s="2441" customFormat="1" ht="16.5" customHeight="1">
      <c r="A69" s="2495"/>
      <c r="B69" s="2496"/>
      <c r="C69" s="2497"/>
      <c r="D69" s="2498"/>
      <c r="E69" s="2499"/>
      <c r="F69" s="2163"/>
      <c r="G69" s="2163"/>
      <c r="H69" s="2162"/>
      <c r="I69" s="2413"/>
      <c r="J69" s="3170"/>
      <c r="K69" s="2494" t="s">
        <v>2209</v>
      </c>
      <c r="L69" s="2500"/>
      <c r="M69" s="24">
        <f ca="1">ROUND(SUM(M63:M68),0)</f>
        <v>71</v>
      </c>
      <c r="N69" s="1749">
        <f ca="1">M69/M49</f>
        <v>3.9204859193815569E-2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29" t="s">
        <v>2210</v>
      </c>
      <c r="B70" s="3130"/>
      <c r="C70" s="3130"/>
      <c r="D70" s="3130"/>
      <c r="E70" s="3130"/>
      <c r="F70" s="3130"/>
      <c r="G70" s="3130"/>
      <c r="H70" s="313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2191</v>
      </c>
      <c r="B71" s="3109"/>
      <c r="C71" s="1800"/>
      <c r="D71" s="1800"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1725</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9</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03" t="s">
        <v>2219</v>
      </c>
      <c r="F76" s="3080"/>
      <c r="G76" s="3080"/>
      <c r="H76" s="312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08" t="s">
        <v>2222</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9</v>
      </c>
      <c r="D78" s="226">
        <f>'数据-取费表'!B43</f>
        <v>5.000000000000001E-3</v>
      </c>
      <c r="E78" s="3089" t="s">
        <v>2224</v>
      </c>
      <c r="F78" s="3090"/>
      <c r="G78" s="3090"/>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1716</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190.66666666666666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1026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9" t="s">
        <v>2228</v>
      </c>
      <c r="B83" s="3130"/>
      <c r="C83" s="3130"/>
      <c r="D83" s="3130"/>
      <c r="E83" s="3130"/>
      <c r="F83" s="3130"/>
      <c r="G83" s="3130"/>
      <c r="H83" s="313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2191</v>
      </c>
      <c r="B84" s="3109"/>
      <c r="C84" s="1800"/>
      <c r="D84" s="1800"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1725</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9</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1796"/>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089" t="s">
        <v>2237</v>
      </c>
      <c r="F91" s="3090"/>
      <c r="G91" s="3090"/>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089" t="s">
        <v>2241</v>
      </c>
      <c r="F92" s="3090"/>
      <c r="G92" s="3090"/>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9</v>
      </c>
      <c r="D93" s="226">
        <f>'数据-取费表'!B43</f>
        <v>5.000000000000001E-3</v>
      </c>
      <c r="E93" s="3089" t="s">
        <v>2224</v>
      </c>
      <c r="F93" s="3090"/>
      <c r="G93" s="3090"/>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00" t="s">
        <v>2245</v>
      </c>
      <c r="F94" s="3101"/>
      <c r="G94" s="3101"/>
      <c r="H94" s="310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1716</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190.66666666666666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1026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091"/>
      <c r="E100" s="3075" t="s">
        <v>2248</v>
      </c>
      <c r="F100" s="3075"/>
      <c r="G100" s="3075"/>
      <c r="H100" s="3091"/>
      <c r="I100" s="138"/>
    </row>
    <row r="101" spans="1:35" ht="18.75" customHeight="1">
      <c r="A101" s="3153" t="s">
        <v>2249</v>
      </c>
      <c r="B101" s="3154"/>
      <c r="C101" s="735" t="str">
        <f>C4</f>
        <v>比较法-住宅</v>
      </c>
      <c r="D101" s="736" t="str">
        <f>D4</f>
        <v>收益法-住宅</v>
      </c>
      <c r="E101" s="3167" t="s">
        <v>2250</v>
      </c>
      <c r="F101" s="3121"/>
      <c r="G101" s="2515" t="s">
        <v>2251</v>
      </c>
      <c r="H101" s="1044">
        <f ca="1">H118</f>
        <v>1811</v>
      </c>
      <c r="I101" s="138"/>
    </row>
    <row r="102" spans="1:35" ht="18.75" customHeight="1">
      <c r="A102" s="3123" t="s">
        <v>2252</v>
      </c>
      <c r="B102" s="2515" t="s">
        <v>2251</v>
      </c>
      <c r="C102" s="735">
        <f ca="1">C19</f>
        <v>2155</v>
      </c>
      <c r="D102" s="736">
        <f ca="1">D19</f>
        <v>434</v>
      </c>
      <c r="E102" s="3167"/>
      <c r="F102" s="3121"/>
      <c r="G102" s="2515" t="s">
        <v>2253</v>
      </c>
      <c r="H102" s="371">
        <f ca="1">I118</f>
        <v>7231</v>
      </c>
      <c r="I102" s="138"/>
    </row>
    <row r="103" spans="1:35" ht="42.75" customHeight="1">
      <c r="A103" s="3123"/>
      <c r="B103" s="2515" t="s">
        <v>2253</v>
      </c>
      <c r="C103" s="737">
        <f ca="1">C20</f>
        <v>8604</v>
      </c>
      <c r="D103" s="738">
        <f ca="1">D20</f>
        <v>1733</v>
      </c>
      <c r="E103" s="3162" t="s">
        <v>2254</v>
      </c>
      <c r="F103" s="3163"/>
      <c r="G103" s="2516" t="s">
        <v>2255</v>
      </c>
      <c r="H103" s="1044">
        <f>IF(D36="正常操作",H104+H105+H106,H105+H106)</f>
        <v>0</v>
      </c>
      <c r="I103" s="138"/>
    </row>
    <row r="104" spans="1:35" ht="18.75" customHeight="1">
      <c r="A104" s="3123" t="s">
        <v>2256</v>
      </c>
      <c r="B104" s="2517" t="s">
        <v>2251</v>
      </c>
      <c r="C104" s="739">
        <f ca="1">H118</f>
        <v>1811</v>
      </c>
      <c r="D104" s="740"/>
      <c r="E104" s="2264" t="s">
        <v>2257</v>
      </c>
      <c r="F104" s="2255"/>
      <c r="G104" s="2516" t="s">
        <v>2255</v>
      </c>
      <c r="H104" s="1045">
        <f>IF(D36="同一抵押权人同一抵押物续贷",C36&amp;"（未扣减，详见特别提示）",C36)</f>
        <v>0</v>
      </c>
      <c r="I104" s="138"/>
    </row>
    <row r="105" spans="1:35" ht="18.75" customHeight="1" thickBot="1">
      <c r="A105" s="3124"/>
      <c r="B105" s="2518" t="s">
        <v>2253</v>
      </c>
      <c r="C105" s="741">
        <f ca="1">I118</f>
        <v>7231</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20" t="str">
        <f>IF(项目基本情况!E8="已注销","——","3.房地产抵押价值")</f>
        <v>3.房地产抵押价值</v>
      </c>
      <c r="F107" s="3121"/>
      <c r="G107" s="2515" t="s">
        <v>2251</v>
      </c>
      <c r="H107" s="1044">
        <f ca="1">IF(E107="——","——",H101-H103)</f>
        <v>1811</v>
      </c>
      <c r="I107" s="138"/>
    </row>
    <row r="108" spans="1:35" ht="18.75" customHeight="1">
      <c r="A108" s="138"/>
      <c r="B108" s="138"/>
      <c r="C108" s="138"/>
      <c r="D108" s="138"/>
      <c r="E108" s="3120"/>
      <c r="F108" s="3121"/>
      <c r="G108" s="2515" t="s">
        <v>2253</v>
      </c>
      <c r="H108" s="371">
        <f ca="1">ROUND(H107*10000/'数据-汇总表'!E3,0)</f>
        <v>2016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5" t="s">
        <v>2251</v>
      </c>
      <c r="H109" s="348" t="str">
        <f>IF(E109="——","——",H101-H105-H106)</f>
        <v>——</v>
      </c>
      <c r="I109" s="138"/>
    </row>
    <row r="110" spans="1:35" ht="18.75" customHeight="1">
      <c r="A110" s="138"/>
      <c r="B110" s="138"/>
      <c r="C110" s="138"/>
      <c r="D110" s="138"/>
      <c r="E110" s="3120"/>
      <c r="F110" s="3121"/>
      <c r="G110" s="2515" t="s">
        <v>2253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5" t="s">
        <v>2251</v>
      </c>
      <c r="H111" s="1044" t="str">
        <f>IF(E111="——","——",N59)</f>
        <v>——</v>
      </c>
      <c r="I111" s="138"/>
    </row>
    <row r="112" spans="1:35" ht="18.75" customHeight="1" thickBot="1">
      <c r="A112" s="138"/>
      <c r="B112" s="138"/>
      <c r="C112" s="138"/>
      <c r="D112" s="138"/>
      <c r="E112" s="3157"/>
      <c r="F112" s="3158"/>
      <c r="G112" s="2520" t="s">
        <v>2253</v>
      </c>
      <c r="H112" s="789" t="str">
        <f>IF(E111="——","——",N61)</f>
        <v>——</v>
      </c>
      <c r="I112" s="138"/>
    </row>
    <row r="113" spans="1:11" ht="18.75" customHeight="1">
      <c r="A113" s="138"/>
      <c r="B113" s="138"/>
      <c r="C113" s="138"/>
      <c r="D113" s="138"/>
      <c r="E113" s="3125" t="s">
        <v>2259</v>
      </c>
      <c r="F113" s="3125"/>
      <c r="G113" s="3125"/>
      <c r="H113" s="3125"/>
      <c r="I113" s="138"/>
    </row>
    <row r="114" spans="1:11" ht="3.75" customHeight="1">
      <c r="A114" s="2413"/>
      <c r="B114" s="2413"/>
      <c r="C114" s="2413"/>
      <c r="D114" s="2413"/>
      <c r="E114" s="2491"/>
      <c r="F114" s="2491"/>
      <c r="G114" s="2491"/>
      <c r="H114" s="2491"/>
      <c r="I114" s="2413"/>
    </row>
    <row r="115" spans="1:11" ht="18.75" customHeight="1">
      <c r="A115" s="3138" t="s">
        <v>2261</v>
      </c>
      <c r="B115" s="3139"/>
      <c r="C115" s="3139"/>
      <c r="D115" s="3139"/>
      <c r="E115" s="3139"/>
      <c r="F115" s="3139"/>
      <c r="G115" s="3139"/>
      <c r="H115" s="3139"/>
      <c r="I115" s="3140"/>
    </row>
    <row r="116" spans="1:11" ht="27" customHeight="1">
      <c r="A116" s="3031" t="s">
        <v>2262</v>
      </c>
      <c r="B116" s="3126" t="s">
        <v>2263</v>
      </c>
      <c r="C116" s="3126" t="s">
        <v>2264</v>
      </c>
      <c r="D116" s="3142" t="s">
        <v>2265</v>
      </c>
      <c r="E116" s="3143"/>
      <c r="F116" s="3134" t="s">
        <v>2266</v>
      </c>
      <c r="G116" s="3134"/>
      <c r="H116" s="3031" t="s">
        <v>2267</v>
      </c>
      <c r="I116" s="3031"/>
    </row>
    <row r="117" spans="1:11" ht="18.75" customHeight="1">
      <c r="A117" s="3031"/>
      <c r="B117" s="3127"/>
      <c r="C117" s="3127"/>
      <c r="D117" s="1794" t="s">
        <v>2268</v>
      </c>
      <c r="E117" s="1794" t="s">
        <v>2269</v>
      </c>
      <c r="F117" s="1794" t="s">
        <v>2268</v>
      </c>
      <c r="G117" s="1794" t="s">
        <v>2270</v>
      </c>
      <c r="H117" s="1794" t="s">
        <v>2268</v>
      </c>
      <c r="I117" s="1794" t="s">
        <v>2270</v>
      </c>
    </row>
    <row r="118" spans="1:11" ht="24.75" customHeight="1">
      <c r="A118" s="2521" t="str">
        <f>项目基本情况!S2</f>
        <v>四川省遂宁市圣莲岛（仁里镇猫儿洲）棚户区改造项目房地产</v>
      </c>
      <c r="B118" s="1794">
        <f>M18</f>
        <v>2504.4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1811</v>
      </c>
      <c r="I118" s="1794">
        <f ca="1">ROUND(IF(D32="楼面单价",C32,H118*10000/B118),0)</f>
        <v>7231</v>
      </c>
    </row>
    <row r="119" spans="1:11" ht="18.75" customHeight="1">
      <c r="A119" s="3031" t="s">
        <v>2271</v>
      </c>
      <c r="B119" s="3031"/>
      <c r="C119" s="3031"/>
      <c r="D119" s="3131" t="e">
        <f ca="1">NUMBERSTRING(INT(D118*10000),2)&amp;"元整"</f>
        <v>#REF!</v>
      </c>
      <c r="E119" s="3133"/>
      <c r="F119" s="3131" t="e">
        <f ca="1">NUMBERSTRING(INT(F118*10000),2)&amp;"元整"</f>
        <v>#REF!</v>
      </c>
      <c r="G119" s="3133"/>
      <c r="H119" s="3131" t="str">
        <f ca="1">NUMBERSTRING(INT(H118*10000),2)&amp;"元整"</f>
        <v>壹仟捌佰壹拾壹万元整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8" t="str">
        <f>IF(D120=0,"故，本次评估不存在"&amp;A120,"故，本次评估"&amp;A120&amp;"为人民币"&amp;D120&amp;"万元整。")</f>
        <v>故，本次评估不存在估价师知悉的法定优先受偿款</v>
      </c>
    </row>
    <row r="121" spans="1:11" ht="18.75" customHeight="1">
      <c r="A121" s="3135" t="s">
        <v>2271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1811</v>
      </c>
      <c r="E122" s="3160"/>
      <c r="F122" s="3160"/>
      <c r="G122" s="3160"/>
      <c r="H122" s="3160"/>
      <c r="I122" s="3161"/>
    </row>
    <row r="123" spans="1:11" ht="18.75" customHeight="1">
      <c r="A123" s="3031" t="s">
        <v>2271</v>
      </c>
      <c r="B123" s="3031"/>
      <c r="C123" s="3031"/>
      <c r="D123" s="3131" t="str">
        <f ca="1">NUMBERSTRING(INT(D122*10000),2)&amp;"元整"</f>
        <v>壹仟捌佰壹拾壹万元整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2271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2271</v>
      </c>
      <c r="B127" s="3031"/>
      <c r="C127" s="3031"/>
      <c r="D127" s="3131" t="e">
        <f>NUMBERSTRING(INT(D126*10000),2)&amp;"元整"</f>
        <v>#VALUE!</v>
      </c>
      <c r="E127" s="3132"/>
      <c r="F127" s="3132"/>
      <c r="G127" s="3132"/>
      <c r="H127" s="3132"/>
      <c r="I127" s="3133"/>
    </row>
    <row r="128" spans="1:11" ht="21.75" customHeight="1">
      <c r="A128" s="3141" t="s">
        <v>2272</v>
      </c>
      <c r="B128" s="3141"/>
      <c r="C128" s="3141"/>
      <c r="D128" s="3141"/>
      <c r="E128" s="3141"/>
      <c r="F128" s="3141"/>
      <c r="G128" s="3141"/>
      <c r="H128" s="3141"/>
      <c r="I128" s="314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6"/>
      <c r="C1" s="242"/>
      <c r="D1" s="242"/>
      <c r="E1" s="242"/>
      <c r="F1" s="242"/>
      <c r="G1" s="1378">
        <f>MATCH(B1,'数据-取费表'!A6:A16,0)+5</f>
        <v>8</v>
      </c>
    </row>
    <row r="2" spans="1:9" s="244" customFormat="1" ht="18" customHeight="1">
      <c r="A2" s="245" t="s">
        <v>2281</v>
      </c>
      <c r="B2" s="246">
        <f ca="1">IF(D2="——",C52,C52-E2)</f>
        <v>3736</v>
      </c>
      <c r="C2" s="243" t="s">
        <v>2282</v>
      </c>
      <c r="D2" s="2544" t="s">
        <v>70</v>
      </c>
      <c r="E2" s="1439" t="e">
        <f ca="1">SUMIF(INDIRECT("'"&amp;G2&amp;"'"&amp;"!A:A"),"承租人权益价值",INDIRECT("'"&amp;G2&amp;"'"&amp;"!c:c"))</f>
        <v>#REF!</v>
      </c>
      <c r="F2" s="2545" t="s">
        <v>2282</v>
      </c>
      <c r="G2" s="2546"/>
    </row>
    <row r="3" spans="1:9" s="244" customFormat="1" ht="18" customHeight="1" thickBot="1">
      <c r="A3" s="247" t="s">
        <v>2283</v>
      </c>
      <c r="B3" s="248">
        <f ca="1">ROUND(B2*10000/(IF(B1="",'数据-汇总表'!E3,INDIRECT("'数据-取费表'!k"&amp;$G$1))),0)</f>
        <v>4159</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0</v>
      </c>
      <c r="D5" s="255" t="s">
        <v>2288</v>
      </c>
      <c r="E5" s="256" t="s">
        <v>2289</v>
      </c>
      <c r="F5" s="256" t="s">
        <v>2290</v>
      </c>
      <c r="G5" s="257"/>
    </row>
    <row r="6" spans="1:9" s="258" customFormat="1" ht="13.5" customHeight="1">
      <c r="A6" s="948" t="s">
        <v>2291</v>
      </c>
      <c r="B6" s="259" t="s">
        <v>2292</v>
      </c>
      <c r="C6" s="260"/>
      <c r="D6" s="261"/>
      <c r="E6" s="262"/>
      <c r="F6" s="262"/>
      <c r="G6" s="263"/>
    </row>
    <row r="7" spans="1:9" s="258" customFormat="1" ht="13.5" customHeight="1">
      <c r="A7" s="948" t="s">
        <v>2293</v>
      </c>
      <c r="B7" s="259" t="s">
        <v>2294</v>
      </c>
      <c r="C7" s="264">
        <f>ROUND(C6*F7,0)</f>
        <v>0</v>
      </c>
      <c r="D7" s="264"/>
      <c r="E7" s="262"/>
      <c r="F7" s="265">
        <f>IF(项目基本情况!B8="出让",0,'数据-取费表'!B48+'数据-取费表'!B49)</f>
        <v>3.0499999999999999E-2</v>
      </c>
      <c r="G7" s="263"/>
    </row>
    <row r="8" spans="1:9" s="267" customFormat="1">
      <c r="A8" s="948" t="s">
        <v>2295</v>
      </c>
      <c r="B8" s="259" t="s">
        <v>2296</v>
      </c>
      <c r="C8" s="264">
        <f>IF(G8="已包含在土地购买价格中","0",IF(B1="",'数据-取费表'!B29,IF(G9="全部缴纳",C9+C10,H9)))</f>
        <v>0</v>
      </c>
      <c r="D8" s="266"/>
      <c r="E8" s="264"/>
      <c r="F8" s="265"/>
      <c r="G8" s="2547"/>
    </row>
    <row r="9" spans="1:9" s="258" customFormat="1" ht="13.5" customHeight="1">
      <c r="A9" s="949" t="s">
        <v>799</v>
      </c>
      <c r="B9" s="268" t="s">
        <v>2297</v>
      </c>
      <c r="C9" s="269">
        <f ca="1">ROUND(D9*E9/10000,0)</f>
        <v>10</v>
      </c>
      <c r="D9" s="1031">
        <f ca="1">IF(B1="",'数据-汇总表'!E5,IF(INDIRECT("'数据-取费表'!c"&amp;$G$1)="住宅",INDIRECT("'数据-取费表'!k"&amp;$G$1),0))</f>
        <v>2504.4</v>
      </c>
      <c r="E9" s="269">
        <f>'数据-取费表'!B27</f>
        <v>40</v>
      </c>
      <c r="F9" s="265"/>
      <c r="G9" s="2548"/>
      <c r="H9" s="1389"/>
      <c r="I9" s="2549" t="s">
        <v>2298</v>
      </c>
    </row>
    <row r="10" spans="1:9" s="258" customFormat="1" ht="13.5" customHeight="1">
      <c r="A10" s="949" t="s">
        <v>800</v>
      </c>
      <c r="B10" s="268" t="s">
        <v>2299</v>
      </c>
      <c r="C10" s="269">
        <f ca="1">ROUND(D10*E10/10000,0)</f>
        <v>26</v>
      </c>
      <c r="D10" s="1031">
        <f ca="1">IF(B1="",'数据-汇总表'!E6,IF(INDIRECT("'数据-取费表'!c"&amp;$G$1)="住宅",INDIRECT("'数据-取费表'!s"&amp;$G$1),INDIRECT("'数据-取费表'!k"&amp;$G$1)+INDIRECT("'数据-取费表'!s"&amp;$G$1)))</f>
        <v>6478.43</v>
      </c>
      <c r="E10" s="269">
        <f>'数据-取费表'!B28</f>
        <v>40</v>
      </c>
      <c r="F10" s="265"/>
      <c r="G10" s="270"/>
    </row>
    <row r="11" spans="1:9" s="258" customFormat="1" ht="13.5" hidden="1" customHeight="1">
      <c r="A11" s="271" t="s">
        <v>7</v>
      </c>
      <c r="B11" s="259" t="s">
        <v>2300</v>
      </c>
      <c r="C11" s="255"/>
      <c r="D11" s="1033"/>
      <c r="E11" s="262"/>
      <c r="F11" s="262"/>
      <c r="G11" s="263"/>
    </row>
    <row r="12" spans="1:9" s="258" customFormat="1" ht="13.5" hidden="1" customHeight="1">
      <c r="A12" s="271" t="s">
        <v>8</v>
      </c>
      <c r="B12" s="259" t="s">
        <v>2301</v>
      </c>
      <c r="C12" s="255">
        <v>0</v>
      </c>
      <c r="D12" s="1033"/>
      <c r="E12" s="272"/>
      <c r="F12" s="265">
        <v>3.0499999999999999E-2</v>
      </c>
      <c r="G12" s="263"/>
    </row>
    <row r="13" spans="1:9" s="258" customFormat="1" ht="13.5" hidden="1" customHeight="1">
      <c r="A13" s="271" t="s">
        <v>9</v>
      </c>
      <c r="B13" s="259" t="s">
        <v>2302</v>
      </c>
      <c r="C13" s="255"/>
      <c r="D13" s="1033"/>
      <c r="E13" s="262"/>
      <c r="F13" s="262"/>
      <c r="G13" s="263"/>
    </row>
    <row r="14" spans="1:9" s="258" customFormat="1" ht="13.5" hidden="1" customHeight="1">
      <c r="A14" s="271" t="s">
        <v>10</v>
      </c>
      <c r="B14" s="259" t="s">
        <v>2303</v>
      </c>
      <c r="C14" s="255"/>
      <c r="D14" s="1033"/>
      <c r="E14" s="262"/>
      <c r="F14" s="262"/>
      <c r="G14" s="263" t="s">
        <v>2304</v>
      </c>
    </row>
    <row r="15" spans="1:9" s="258" customFormat="1" ht="13.5" hidden="1" customHeight="1">
      <c r="A15" s="271" t="s">
        <v>11</v>
      </c>
      <c r="B15" s="259" t="s">
        <v>2305</v>
      </c>
      <c r="C15" s="264"/>
      <c r="D15" s="1033"/>
      <c r="E15" s="262"/>
      <c r="F15" s="262"/>
      <c r="G15" s="263" t="s">
        <v>2306</v>
      </c>
    </row>
    <row r="16" spans="1:9" s="258" customFormat="1" ht="13.5" hidden="1" customHeight="1">
      <c r="A16" s="271" t="s">
        <v>12</v>
      </c>
      <c r="B16" s="259" t="s">
        <v>2303</v>
      </c>
      <c r="C16" s="264"/>
      <c r="D16" s="1033"/>
      <c r="E16" s="262"/>
      <c r="F16" s="262"/>
      <c r="G16" s="263"/>
    </row>
    <row r="17" spans="1:7" s="258" customFormat="1" ht="13.5" hidden="1" customHeight="1">
      <c r="A17" s="271" t="s">
        <v>13</v>
      </c>
      <c r="B17" s="259" t="s">
        <v>2307</v>
      </c>
      <c r="C17" s="273"/>
      <c r="D17" s="1034"/>
      <c r="E17" s="273"/>
      <c r="F17" s="273"/>
      <c r="G17" s="263" t="s">
        <v>2306</v>
      </c>
    </row>
    <row r="18" spans="1:7" s="258" customFormat="1" ht="13.5" hidden="1" customHeight="1">
      <c r="A18" s="271" t="s">
        <v>14</v>
      </c>
      <c r="B18" s="259" t="s">
        <v>2308</v>
      </c>
      <c r="C18" s="264">
        <v>0</v>
      </c>
      <c r="D18" s="1033"/>
      <c r="E18" s="262"/>
      <c r="F18" s="265">
        <v>3.0499999999999999E-2</v>
      </c>
      <c r="G18" s="263" t="s">
        <v>2309</v>
      </c>
    </row>
    <row r="19" spans="1:7" s="267" customFormat="1" ht="13.5" customHeight="1">
      <c r="A19" s="299" t="s">
        <v>2310</v>
      </c>
      <c r="B19" s="254" t="s">
        <v>2311</v>
      </c>
      <c r="C19" s="255">
        <f ca="1">IF(G19="已包含在土地取得成本中","0",ROUND(D19*E19/10000,0))</f>
        <v>135</v>
      </c>
      <c r="D19" s="1035">
        <f ca="1">D9+D10</f>
        <v>8982.83</v>
      </c>
      <c r="E19" s="255">
        <f>'数据-取费表'!B31</f>
        <v>150</v>
      </c>
      <c r="F19" s="275"/>
      <c r="G19" s="2547"/>
    </row>
    <row r="20" spans="1:7" s="258" customFormat="1" ht="13.5" customHeight="1">
      <c r="A20" s="299" t="s">
        <v>2312</v>
      </c>
      <c r="B20" s="254" t="s">
        <v>2313</v>
      </c>
      <c r="C20" s="276">
        <f ca="1">ROUND((C5+C19)*F20,0)</f>
        <v>3</v>
      </c>
      <c r="D20" s="276"/>
      <c r="E20" s="276"/>
      <c r="F20" s="277">
        <f>'数据-取费表'!B37</f>
        <v>0.02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3">
        <f ca="1">ROUND(SUM(C23:C25),0)</f>
        <v>13</v>
      </c>
      <c r="D22" s="279">
        <f ca="1">C26</f>
        <v>1E-3</v>
      </c>
      <c r="E22" s="280" t="s">
        <v>2317</v>
      </c>
      <c r="F22" s="281">
        <f ca="1">'数据-取费表'!B40</f>
        <v>4.7500000000000001E-2</v>
      </c>
      <c r="G22" s="278" t="str">
        <f>IF('数据-取费表'!B22&lt;=1,"单利计息","复利计息")</f>
        <v>复利计息</v>
      </c>
    </row>
    <row r="23" spans="1:7" s="258" customFormat="1" ht="13.5" customHeight="1">
      <c r="A23" s="950" t="s">
        <v>2321</v>
      </c>
      <c r="B23" s="259" t="s">
        <v>2322</v>
      </c>
      <c r="C23" s="1354">
        <f ca="1">ROUND(IF('数据-取费表'!B22&lt;=1,C5*F22*'数据-取费表'!B23,C5*(POWER((1+F22),'数据-取费表'!B23)-1)),0)</f>
        <v>0</v>
      </c>
      <c r="D23" s="282"/>
      <c r="E23" s="282"/>
      <c r="F23" s="283"/>
      <c r="G23" s="284" t="s">
        <v>2323</v>
      </c>
    </row>
    <row r="24" spans="1:7" s="258" customFormat="1" ht="13.5" customHeight="1">
      <c r="A24" s="950" t="s">
        <v>2324</v>
      </c>
      <c r="B24" s="259" t="s">
        <v>2325</v>
      </c>
      <c r="C24" s="1354">
        <f ca="1">ROUND(IF('数据-取费表'!B22&lt;=1,C19*F22*('数据-取费表'!B19/2+'数据-取费表'!B21),C19*(POWER((1+F22),('数据-取费表'!B19/2+'数据-取费表'!B21))-1)),0)</f>
        <v>13</v>
      </c>
      <c r="D24" s="282"/>
      <c r="E24" s="282"/>
      <c r="F24" s="283"/>
      <c r="G24" s="284" t="s">
        <v>2326</v>
      </c>
    </row>
    <row r="25" spans="1:7" s="258" customFormat="1" ht="24">
      <c r="A25" s="950" t="s">
        <v>2327</v>
      </c>
      <c r="B25" s="259" t="s">
        <v>2328</v>
      </c>
      <c r="C25" s="1354">
        <f ca="1">ROUND(IF('数据-取费表'!B22&lt;=1,C20*F22*'数据-取费表'!B23/2,C20*(POWER((1+F22),'数据-取费表'!B23/2)-1)),0)</f>
        <v>0</v>
      </c>
      <c r="D25" s="282"/>
      <c r="E25" s="285"/>
      <c r="F25" s="283"/>
      <c r="G25" s="286" t="s">
        <v>2329</v>
      </c>
    </row>
    <row r="26" spans="1:7" s="258" customFormat="1">
      <c r="A26" s="950" t="s">
        <v>794</v>
      </c>
      <c r="B26" s="259" t="s">
        <v>2330</v>
      </c>
      <c r="C26" s="282">
        <f ca="1">ROUND(IF('数据-取费表'!B22&lt;=1,F21*F22*'数据-取费表'!B23/2,F21*(POWER((1+F22),'数据-取费表'!B23/2)-1)),4)</f>
        <v>1E-3</v>
      </c>
      <c r="D26" s="282"/>
      <c r="E26" s="285"/>
      <c r="F26" s="283"/>
      <c r="G26" s="287"/>
    </row>
    <row r="27" spans="1:7" s="258" customFormat="1" ht="24.75">
      <c r="A27" s="299" t="s">
        <v>2331</v>
      </c>
      <c r="B27" s="288" t="s">
        <v>2332</v>
      </c>
      <c r="C27" s="289">
        <f ca="1">C28</f>
        <v>11</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ROUND((C5+C19+C20)*F27*'数据-取费表'!B21/'数据-取费表'!B20,0)</f>
        <v>11</v>
      </c>
      <c r="D28" s="279"/>
      <c r="E28" s="280"/>
      <c r="F28" s="290"/>
      <c r="G28" s="291"/>
    </row>
    <row r="29" spans="1:7" s="258" customFormat="1" ht="13.5" customHeight="1">
      <c r="A29" s="950" t="s">
        <v>791</v>
      </c>
      <c r="B29" s="292" t="s">
        <v>2336</v>
      </c>
      <c r="C29" s="282">
        <f ca="1">ROUND(C21*F27*'数据-取费表'!B21/'数据-取费表'!B20,4)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175</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3080</v>
      </c>
      <c r="D33" s="276"/>
      <c r="E33" s="256"/>
      <c r="F33" s="285"/>
      <c r="G33" s="278"/>
    </row>
    <row r="34" spans="1:7" s="302" customFormat="1" ht="13.5" customHeight="1">
      <c r="A34" s="950" t="s">
        <v>790</v>
      </c>
      <c r="B34" s="259" t="s">
        <v>2344</v>
      </c>
      <c r="C34" s="264">
        <f ca="1">IF(B1="",IF(F34=100%,'数据-取费表'!M16,'数据-取费表'!O16),IF(F34=100%,INDIRECT("'数据-取费表'!m"&amp;$G$1)+INDIRECT("'数据-取费表'!t"&amp;$G$1),INDIRECT("'数据-取费表'!o"&amp;$G$1)+INDIRECT("'数据-取费表'!aq"&amp;$G$1)))</f>
        <v>2695</v>
      </c>
      <c r="D34" s="261"/>
      <c r="E34" s="264"/>
      <c r="F34" s="301">
        <f ca="1">IF('数据-取费表'!B24=0,1,IF(B1="",'数据-取费表'!N16,INDIRECT("'数据-取费表'!n"&amp;$G$1)))</f>
        <v>1</v>
      </c>
      <c r="G34" s="263" t="s">
        <v>2345</v>
      </c>
    </row>
    <row r="35" spans="1:7" ht="13.5" customHeight="1">
      <c r="A35" s="950" t="s">
        <v>795</v>
      </c>
      <c r="B35" s="259" t="s">
        <v>2346</v>
      </c>
      <c r="C35" s="264">
        <f ca="1">ROUND(C34*F35,0)</f>
        <v>135</v>
      </c>
      <c r="D35" s="264"/>
      <c r="E35" s="264"/>
      <c r="F35" s="303">
        <f>'数据-取费表'!B33</f>
        <v>0.05</v>
      </c>
      <c r="G35" s="263" t="s">
        <v>2347</v>
      </c>
    </row>
    <row r="36" spans="1:7" ht="24">
      <c r="A36" s="950" t="s">
        <v>796</v>
      </c>
      <c r="B36" s="259" t="s">
        <v>2348</v>
      </c>
      <c r="C36" s="264">
        <f ca="1">ROUND(IF(B1="",SUMIF('数据-取费表'!C:C,"住宅",IF(F34=100%,'数据-取费表'!M:M,'数据-取费表'!O:O))*F36,IF(INDIRECT("'数据-取费表'!c"&amp;$G$1)="住宅",IF(F34=100%,INDIRECT("'数据-取费表'!m"&amp;$G$1)*F36,INDIRECT("'数据-取费表'!o"&amp;$G$1)*F36),0)),0)</f>
        <v>75</v>
      </c>
      <c r="D36" s="264"/>
      <c r="E36" s="264"/>
      <c r="F36" s="303">
        <f>'数据-取费表'!B34</f>
        <v>0.1</v>
      </c>
      <c r="G36" s="304" t="s">
        <v>2349</v>
      </c>
    </row>
    <row r="37" spans="1:7" s="302" customFormat="1" ht="13.5" customHeight="1">
      <c r="A37" s="950" t="s">
        <v>797</v>
      </c>
      <c r="B37" s="259" t="s">
        <v>2350</v>
      </c>
      <c r="C37" s="293">
        <f ca="1">ROUND(E37*D37*F34/10000,0)</f>
        <v>135</v>
      </c>
      <c r="D37" s="261">
        <f ca="1">D19</f>
        <v>8982.83</v>
      </c>
      <c r="E37" s="293">
        <f>'数据-取费表'!B35</f>
        <v>150</v>
      </c>
      <c r="F37" s="303"/>
      <c r="G37" s="305" t="s">
        <v>2351</v>
      </c>
    </row>
    <row r="38" spans="1:7" ht="13.5" customHeight="1">
      <c r="A38" s="950" t="s">
        <v>798</v>
      </c>
      <c r="B38" s="259" t="s">
        <v>2352</v>
      </c>
      <c r="C38" s="264">
        <f ca="1">ROUND(C34*F38,0)</f>
        <v>40</v>
      </c>
      <c r="D38" s="264"/>
      <c r="E38" s="264"/>
      <c r="F38" s="303">
        <f>'数据-取费表'!B36</f>
        <v>1.4999999999999999E-2</v>
      </c>
      <c r="G38" s="263" t="s">
        <v>2347</v>
      </c>
    </row>
    <row r="39" spans="1:7" s="258" customFormat="1" ht="13.5" customHeight="1">
      <c r="A39" s="299" t="s">
        <v>2353</v>
      </c>
      <c r="B39" s="254" t="s">
        <v>2354</v>
      </c>
      <c r="C39" s="276">
        <f ca="1">ROUND(C33*F20,0)</f>
        <v>62</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ROUND(IF('数据-取费表'!B22&lt;=1,C33*F22*'数据-取费表'!B21/2,C33*(POWER((1+F22),'数据-取费表'!B21/2)-1)),0)</f>
        <v>146</v>
      </c>
      <c r="D42" s="282"/>
      <c r="E42" s="282"/>
      <c r="F42" s="283"/>
      <c r="G42" s="3173" t="s">
        <v>2363</v>
      </c>
    </row>
    <row r="43" spans="1:7" ht="13.5" customHeight="1">
      <c r="A43" s="950" t="s">
        <v>791</v>
      </c>
      <c r="B43" s="259" t="s">
        <v>2364</v>
      </c>
      <c r="C43" s="282">
        <f ca="1">ROUND(IF('数据-取费表'!B22&lt;=1,C39*F22*'数据-取费表'!B21/2,C39*(POWER((1+F22),'数据-取费表'!B21/2)-1)),0)</f>
        <v>3</v>
      </c>
      <c r="D43" s="282"/>
      <c r="E43" s="282"/>
      <c r="F43" s="283"/>
      <c r="G43" s="3174"/>
    </row>
    <row r="44" spans="1:7" ht="13.5" customHeight="1">
      <c r="A44" s="950" t="s">
        <v>792</v>
      </c>
      <c r="B44" s="259" t="s">
        <v>2365</v>
      </c>
      <c r="C44" s="282">
        <f ca="1">ROUND(IF('数据-取费表'!B22&lt;=1,C40*F22*'数据-取费表'!B21/2,C40*(POWER((1+F22),'数据-取费表'!B21/2)-1)),4)</f>
        <v>1E-3</v>
      </c>
      <c r="D44" s="282"/>
      <c r="E44" s="282"/>
      <c r="F44" s="283"/>
      <c r="G44" s="3175"/>
    </row>
    <row r="45" spans="1:7" s="258" customFormat="1" ht="13.5" customHeight="1">
      <c r="A45" s="299" t="s">
        <v>2366</v>
      </c>
      <c r="B45" s="288" t="s">
        <v>2332</v>
      </c>
      <c r="C45" s="289">
        <f ca="1">C46</f>
        <v>251</v>
      </c>
      <c r="D45" s="279">
        <f ca="1">C47</f>
        <v>1.6000000000000001E-3</v>
      </c>
      <c r="E45" s="280" t="s">
        <v>2358</v>
      </c>
      <c r="F45" s="290"/>
      <c r="G45" s="291" t="s">
        <v>2367</v>
      </c>
    </row>
    <row r="46" spans="1:7" s="258" customFormat="1" ht="13.5" customHeight="1">
      <c r="A46" s="950" t="s">
        <v>790</v>
      </c>
      <c r="B46" s="292" t="s">
        <v>2368</v>
      </c>
      <c r="C46" s="293">
        <f ca="1">ROUND((C33+C39)*F27,0)</f>
        <v>251</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1727">
        <f>ROUND(F30/(1+'数据-取费表'!C42),4)</f>
        <v>5.2400000000000002E-2</v>
      </c>
      <c r="D48" s="280" t="s">
        <v>2358</v>
      </c>
      <c r="E48" s="276"/>
      <c r="F48" s="281"/>
      <c r="G48" s="278" t="s">
        <v>2371</v>
      </c>
    </row>
    <row r="49" spans="1:7" ht="16.5" customHeight="1">
      <c r="A49" s="299" t="s">
        <v>2337</v>
      </c>
      <c r="B49" s="254" t="s">
        <v>2372</v>
      </c>
      <c r="C49" s="276">
        <f ca="1">ROUND((C33+C39+C41+C45)/(1-C40-D41-D45-C48),0)</f>
        <v>3829</v>
      </c>
      <c r="D49" s="276"/>
      <c r="E49" s="276"/>
      <c r="F49" s="308"/>
      <c r="G49" s="278" t="s">
        <v>2373</v>
      </c>
    </row>
    <row r="50" spans="1:7" s="302" customFormat="1" ht="24">
      <c r="A50" s="299" t="s">
        <v>2374</v>
      </c>
      <c r="B50" s="254" t="s">
        <v>2375</v>
      </c>
      <c r="C50" s="276"/>
      <c r="D50" s="276"/>
      <c r="E50" s="276"/>
      <c r="F50" s="308">
        <f>IF('数据-取费表'!B24=0,'数据-取费表'!N16,1)</f>
        <v>0.93</v>
      </c>
      <c r="G50" s="291" t="s">
        <v>2376</v>
      </c>
    </row>
    <row r="51" spans="1:7" ht="16.5" customHeight="1">
      <c r="A51" s="299" t="s">
        <v>2377</v>
      </c>
      <c r="B51" s="254" t="s">
        <v>2378</v>
      </c>
      <c r="C51" s="276">
        <f ca="1">ROUND(C49*F50,0)</f>
        <v>3561</v>
      </c>
      <c r="D51" s="276"/>
      <c r="E51" s="276"/>
      <c r="F51" s="308"/>
      <c r="G51" s="278" t="s">
        <v>2379</v>
      </c>
    </row>
    <row r="52" spans="1:7" s="252" customFormat="1" ht="16.5" thickBot="1">
      <c r="A52" s="309" t="s">
        <v>2380</v>
      </c>
      <c r="B52" s="310"/>
      <c r="C52" s="311">
        <f ca="1">C31+C51</f>
        <v>3736</v>
      </c>
      <c r="D52" s="310"/>
      <c r="E52" s="310"/>
      <c r="F52" s="310"/>
      <c r="G52" s="312"/>
    </row>
    <row r="55" spans="1:7" ht="15">
      <c r="B55" s="314" t="s">
        <v>2381</v>
      </c>
      <c r="C55" s="315"/>
    </row>
    <row r="56" spans="1:7">
      <c r="B56" s="317" t="s">
        <v>1505</v>
      </c>
      <c r="C56" s="319">
        <f ca="1">1-C57</f>
        <v>4.7000000000000042E-2</v>
      </c>
    </row>
    <row r="57" spans="1:7">
      <c r="B57" s="317" t="s">
        <v>1506</v>
      </c>
      <c r="C57" s="318">
        <f ca="1">ROUND(C51/C52,3)</f>
        <v>0.95299999999999996</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7" t="str">
        <f>项目基本情况!B1</f>
        <v>四川省遂宁市圣莲岛（仁里镇猫儿洲）棚户区改造项目房地产抵押价值预评估</v>
      </c>
      <c r="C37" s="2987"/>
      <c r="D37" s="2987"/>
      <c r="E37" s="2987"/>
      <c r="F37" s="2987"/>
      <c r="G37" s="2987"/>
      <c r="H37" s="2987"/>
      <c r="I37" s="2987"/>
    </row>
    <row r="38" spans="1:9">
      <c r="A38" s="1015"/>
      <c r="B38" s="1015"/>
    </row>
    <row r="39" spans="1:9">
      <c r="A39" s="1013" t="s">
        <v>817</v>
      </c>
      <c r="B39" s="1013" t="s">
        <v>819</v>
      </c>
    </row>
    <row r="40" spans="1:9">
      <c r="A40" s="1013"/>
      <c r="B40" s="1941">
        <f>项目基本情况!B5</f>
        <v>0</v>
      </c>
    </row>
    <row r="41" spans="1:9">
      <c r="A41" s="1013"/>
      <c r="B41" s="1013"/>
    </row>
    <row r="42" spans="1:9">
      <c r="A42" s="1013" t="s">
        <v>817</v>
      </c>
      <c r="B42" s="1013" t="s">
        <v>820</v>
      </c>
    </row>
    <row r="43" spans="1:9">
      <c r="A43" s="1013"/>
      <c r="B43" s="1941" t="s">
        <v>821</v>
      </c>
    </row>
    <row r="44" spans="1:9">
      <c r="A44" s="1013"/>
      <c r="B44" s="1013"/>
    </row>
    <row r="45" spans="1:9">
      <c r="A45" s="1013" t="s">
        <v>817</v>
      </c>
      <c r="B45" s="1013" t="s">
        <v>822</v>
      </c>
    </row>
    <row r="46" spans="1:9" s="1013" customFormat="1" ht="12.75">
      <c r="B46" s="1941" t="str">
        <f>项目基本情况!K4</f>
        <v>（注册号：0)、（注册号：0)</v>
      </c>
    </row>
    <row r="47" spans="1:9">
      <c r="A47" s="1013"/>
      <c r="B47" s="1013" t="str">
        <f>项目基本情况!K5</f>
        <v/>
      </c>
    </row>
    <row r="48" spans="1:9">
      <c r="A48" s="1013" t="s">
        <v>817</v>
      </c>
      <c r="B48" s="1013"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6"/>
      <c r="C1" s="2550" t="s">
        <v>2382</v>
      </c>
      <c r="D1" s="242"/>
      <c r="E1" s="242"/>
      <c r="F1" s="242"/>
      <c r="G1" s="1378">
        <f>MATCH(B1,'数据-取费表'!A6:A16,0)+5</f>
        <v>8</v>
      </c>
      <c r="H1" s="1281" t="str">
        <f>IF(ISERROR(FIND("住宅",B1)),"非住宅","住宅")</f>
        <v>非住宅</v>
      </c>
    </row>
    <row r="2" spans="1:8" s="244" customFormat="1" ht="18" customHeight="1">
      <c r="A2" s="245" t="s">
        <v>2281</v>
      </c>
      <c r="B2" s="246">
        <f ca="1">ROUND(IF(D2="——",C52/10000,C52/10000-E2),0)</f>
        <v>3783</v>
      </c>
      <c r="C2" s="243" t="s">
        <v>2282</v>
      </c>
      <c r="D2" s="2544" t="s">
        <v>70</v>
      </c>
      <c r="E2" s="1439" t="e">
        <f ca="1">SUMIF(INDIRECT("'"&amp;G2&amp;"'"&amp;"!A:A"),"承租人权益价值",INDIRECT("'"&amp;G2&amp;"'"&amp;"!c:c"))</f>
        <v>#REF!</v>
      </c>
      <c r="F2" s="2545" t="s">
        <v>2282</v>
      </c>
      <c r="G2" s="2546"/>
    </row>
    <row r="3" spans="1:8" s="244" customFormat="1" ht="18" customHeight="1" thickBot="1">
      <c r="A3" s="247" t="s">
        <v>2283</v>
      </c>
      <c r="B3" s="248">
        <f ca="1">ROUND(B2*10000/(IF(B1="",'数据-汇总表'!E3,INDIRECT("'数据-取费表'!k"&amp;$G$1))),0)</f>
        <v>4211</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359313</v>
      </c>
      <c r="D5" s="255" t="s">
        <v>2288</v>
      </c>
      <c r="E5" s="256" t="s">
        <v>2289</v>
      </c>
      <c r="F5" s="256" t="s">
        <v>2290</v>
      </c>
      <c r="G5" s="257"/>
    </row>
    <row r="6" spans="1:8" s="258" customFormat="1" ht="13.5" customHeight="1">
      <c r="A6" s="948" t="s">
        <v>2291</v>
      </c>
      <c r="B6" s="259" t="s">
        <v>2292</v>
      </c>
      <c r="C6" s="260"/>
      <c r="D6" s="261"/>
      <c r="E6" s="262"/>
      <c r="F6" s="262"/>
      <c r="G6" s="263"/>
    </row>
    <row r="7" spans="1:8" s="258" customFormat="1" ht="13.5" customHeight="1">
      <c r="A7" s="948" t="s">
        <v>2293</v>
      </c>
      <c r="B7" s="259" t="s">
        <v>2294</v>
      </c>
      <c r="C7" s="264">
        <f>ROUND(C6*F7,0)</f>
        <v>0</v>
      </c>
      <c r="D7" s="264"/>
      <c r="E7" s="262"/>
      <c r="F7" s="265">
        <f>IF(项目基本情况!B8="出让",0,'数据-取费表'!B48+'数据-取费表'!B49)</f>
        <v>3.0499999999999999E-2</v>
      </c>
      <c r="G7" s="263"/>
    </row>
    <row r="8" spans="1:8" s="267" customFormat="1">
      <c r="A8" s="948" t="s">
        <v>2295</v>
      </c>
      <c r="B8" s="259" t="s">
        <v>2296</v>
      </c>
      <c r="C8" s="264">
        <f ca="1">IF(G8="已包含在土地购买价格中",0,C9+C10)</f>
        <v>359313</v>
      </c>
      <c r="D8" s="266"/>
      <c r="E8" s="264"/>
      <c r="F8" s="265"/>
      <c r="G8" s="2547"/>
    </row>
    <row r="9" spans="1:8" s="258" customFormat="1" ht="13.5" customHeight="1">
      <c r="A9" s="949" t="s">
        <v>799</v>
      </c>
      <c r="B9" s="268" t="s">
        <v>2297</v>
      </c>
      <c r="C9" s="269">
        <f ca="1">ROUND(D9*E9,0)</f>
        <v>100176</v>
      </c>
      <c r="D9" s="1031">
        <f ca="1">IF(B1="",'数据-汇总表'!E5,IF(INDIRECT("'数据-取费表'!c"&amp;$G$1)="住宅",INDIRECT("'数据-取费表'!k"&amp;$G$1),0))</f>
        <v>2504.4</v>
      </c>
      <c r="E9" s="269">
        <f>'数据-取费表'!B27</f>
        <v>40</v>
      </c>
      <c r="F9" s="265"/>
      <c r="G9" s="270"/>
    </row>
    <row r="10" spans="1:8" s="258" customFormat="1" ht="13.5" customHeight="1">
      <c r="A10" s="949" t="s">
        <v>800</v>
      </c>
      <c r="B10" s="268" t="s">
        <v>2299</v>
      </c>
      <c r="C10" s="269">
        <f ca="1">ROUND(D10*E10,0)</f>
        <v>259137</v>
      </c>
      <c r="D10" s="1031">
        <f ca="1">IF(B1="",'数据-汇总表'!E6,IF(INDIRECT("'数据-取费表'!c"&amp;$G$1)="住宅",INDIRECT("'数据-取费表'!s"&amp;$G$1),INDIRECT("'数据-取费表'!k"&amp;$G$1)+INDIRECT("'数据-取费表'!s"&amp;$G$1)))</f>
        <v>6478.43</v>
      </c>
      <c r="E10" s="269">
        <f>'数据-取费表'!B28</f>
        <v>40</v>
      </c>
      <c r="F10" s="265"/>
      <c r="G10" s="270"/>
    </row>
    <row r="11" spans="1:8" s="258" customFormat="1" ht="13.5" hidden="1" customHeight="1">
      <c r="A11" s="271" t="s">
        <v>7</v>
      </c>
      <c r="B11" s="259" t="s">
        <v>2300</v>
      </c>
      <c r="C11" s="255"/>
      <c r="D11" s="1033"/>
      <c r="E11" s="262"/>
      <c r="F11" s="262"/>
      <c r="G11" s="263"/>
    </row>
    <row r="12" spans="1:8" s="258" customFormat="1" ht="13.5" hidden="1" customHeight="1">
      <c r="A12" s="271" t="s">
        <v>8</v>
      </c>
      <c r="B12" s="259" t="s">
        <v>2383</v>
      </c>
      <c r="C12" s="255">
        <v>0</v>
      </c>
      <c r="D12" s="1033"/>
      <c r="E12" s="272"/>
      <c r="F12" s="265">
        <v>3.0499999999999999E-2</v>
      </c>
      <c r="G12" s="263"/>
    </row>
    <row r="13" spans="1:8" s="258" customFormat="1" ht="13.5" hidden="1" customHeight="1">
      <c r="A13" s="271" t="s">
        <v>9</v>
      </c>
      <c r="B13" s="259" t="s">
        <v>2384</v>
      </c>
      <c r="C13" s="255"/>
      <c r="D13" s="1033"/>
      <c r="E13" s="262"/>
      <c r="F13" s="262"/>
      <c r="G13" s="263"/>
    </row>
    <row r="14" spans="1:8" s="258" customFormat="1" ht="13.5" hidden="1" customHeight="1">
      <c r="A14" s="271" t="s">
        <v>10</v>
      </c>
      <c r="B14" s="259" t="s">
        <v>2296</v>
      </c>
      <c r="C14" s="255"/>
      <c r="D14" s="1033"/>
      <c r="E14" s="262"/>
      <c r="F14" s="262"/>
      <c r="G14" s="263" t="s">
        <v>2385</v>
      </c>
    </row>
    <row r="15" spans="1:8" s="258" customFormat="1" ht="13.5" hidden="1" customHeight="1">
      <c r="A15" s="271" t="s">
        <v>11</v>
      </c>
      <c r="B15" s="259" t="s">
        <v>2386</v>
      </c>
      <c r="C15" s="264"/>
      <c r="D15" s="1033"/>
      <c r="E15" s="262"/>
      <c r="F15" s="262"/>
      <c r="G15" s="263" t="s">
        <v>2387</v>
      </c>
    </row>
    <row r="16" spans="1:8" s="258" customFormat="1" ht="13.5" hidden="1" customHeight="1">
      <c r="A16" s="271" t="s">
        <v>12</v>
      </c>
      <c r="B16" s="259" t="s">
        <v>2296</v>
      </c>
      <c r="C16" s="264"/>
      <c r="D16" s="1033"/>
      <c r="E16" s="262"/>
      <c r="F16" s="262"/>
      <c r="G16" s="263"/>
    </row>
    <row r="17" spans="1:7" s="258" customFormat="1" ht="13.5" hidden="1" customHeight="1">
      <c r="A17" s="271" t="s">
        <v>13</v>
      </c>
      <c r="B17" s="259" t="s">
        <v>2388</v>
      </c>
      <c r="C17" s="273"/>
      <c r="D17" s="1034"/>
      <c r="E17" s="273"/>
      <c r="F17" s="273"/>
      <c r="G17" s="263" t="s">
        <v>2387</v>
      </c>
    </row>
    <row r="18" spans="1:7" s="258" customFormat="1" ht="13.5" hidden="1" customHeight="1">
      <c r="A18" s="271" t="s">
        <v>14</v>
      </c>
      <c r="B18" s="259" t="s">
        <v>2389</v>
      </c>
      <c r="C18" s="264">
        <v>0</v>
      </c>
      <c r="D18" s="1033"/>
      <c r="E18" s="262"/>
      <c r="F18" s="265">
        <v>3.0499999999999999E-2</v>
      </c>
      <c r="G18" s="263" t="s">
        <v>2390</v>
      </c>
    </row>
    <row r="19" spans="1:7" s="267" customFormat="1" ht="13.5" customHeight="1">
      <c r="A19" s="299" t="s">
        <v>2391</v>
      </c>
      <c r="B19" s="254" t="s">
        <v>2392</v>
      </c>
      <c r="C19" s="255">
        <f ca="1">IF(G19="已包含在土地取得成本中","0",ROUND(D19*E19,0))</f>
        <v>1347425</v>
      </c>
      <c r="D19" s="1035">
        <f ca="1">D9+D10</f>
        <v>8982.83</v>
      </c>
      <c r="E19" s="255">
        <f>'数据-取费表'!B31</f>
        <v>150</v>
      </c>
      <c r="F19" s="275"/>
      <c r="G19" s="2547"/>
    </row>
    <row r="20" spans="1:7" s="258" customFormat="1" ht="13.5" customHeight="1">
      <c r="A20" s="299" t="s">
        <v>2393</v>
      </c>
      <c r="B20" s="254" t="s">
        <v>2394</v>
      </c>
      <c r="C20" s="276">
        <f ca="1">ROUND((C5+C19)*F20,0)</f>
        <v>34135</v>
      </c>
      <c r="D20" s="276"/>
      <c r="E20" s="276"/>
      <c r="F20" s="277">
        <f>'数据-取费表'!B37</f>
        <v>0.02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79">
        <f ca="1">ROUND(SUM(C23:C25),0)</f>
        <v>167612</v>
      </c>
      <c r="D22" s="279">
        <f ca="1">C26</f>
        <v>1E-3</v>
      </c>
      <c r="E22" s="280" t="s">
        <v>2398</v>
      </c>
      <c r="F22" s="281">
        <f ca="1">'数据-取费表'!B40</f>
        <v>4.7500000000000001E-2</v>
      </c>
      <c r="G22" s="278" t="str">
        <f>IF('数据-取费表'!B22&lt;=1,"单利计息","复利计息")</f>
        <v>复利计息</v>
      </c>
    </row>
    <row r="23" spans="1:7" s="258" customFormat="1" ht="13.5" customHeight="1">
      <c r="A23" s="950" t="s">
        <v>2291</v>
      </c>
      <c r="B23" s="259" t="s">
        <v>2402</v>
      </c>
      <c r="C23" s="1380">
        <f ca="1">ROUND(IF('数据-取费表'!B22&lt;=1,C5*F22*'数据-取费表'!B22,C5*(POWER((1+F22),'数据-取费表'!B22)-1)),0)</f>
        <v>34945</v>
      </c>
      <c r="D23" s="282"/>
      <c r="E23" s="282"/>
      <c r="F23" s="283"/>
      <c r="G23" s="284" t="s">
        <v>2403</v>
      </c>
    </row>
    <row r="24" spans="1:7" s="258" customFormat="1" ht="13.5" customHeight="1">
      <c r="A24" s="950" t="s">
        <v>2293</v>
      </c>
      <c r="B24" s="259" t="s">
        <v>2404</v>
      </c>
      <c r="C24" s="1380">
        <f ca="1">ROUND(IF('数据-取费表'!B22&lt;=1,C19*F22*('数据-取费表'!B19/2+'数据-取费表'!B20),C19*(POWER((1+F22),('数据-取费表'!B19/2+'数据-取费表'!B20))-1)),0)</f>
        <v>131046</v>
      </c>
      <c r="D24" s="282"/>
      <c r="E24" s="282"/>
      <c r="F24" s="283"/>
      <c r="G24" s="284" t="s">
        <v>2405</v>
      </c>
    </row>
    <row r="25" spans="1:7" s="258" customFormat="1" ht="24">
      <c r="A25" s="950" t="s">
        <v>2295</v>
      </c>
      <c r="B25" s="259" t="s">
        <v>2406</v>
      </c>
      <c r="C25" s="1380">
        <f ca="1">ROUND(IF('数据-取费表'!B22&lt;=1,C20*F22*'数据-取费表'!B22/2,C20*(POWER((1+F22),'数据-取费表'!B22/2)-1)),0)</f>
        <v>1621</v>
      </c>
      <c r="D25" s="282"/>
      <c r="E25" s="285"/>
      <c r="F25" s="283"/>
      <c r="G25" s="286" t="s">
        <v>2407</v>
      </c>
    </row>
    <row r="26" spans="1:7" s="258" customFormat="1">
      <c r="A26" s="950" t="s">
        <v>794</v>
      </c>
      <c r="B26" s="259" t="s">
        <v>2330</v>
      </c>
      <c r="C26" s="282">
        <f ca="1">ROUND(IF('数据-取费表'!B22&lt;=1,F21*F22*'数据-取费表'!B22/2,F21*(POWER((1+F22),'数据-取费表'!B22/2)-1)),4)</f>
        <v>1E-3</v>
      </c>
      <c r="D26" s="282"/>
      <c r="E26" s="285"/>
      <c r="F26" s="283"/>
      <c r="G26" s="287"/>
    </row>
    <row r="27" spans="1:7" s="258" customFormat="1" ht="24.75">
      <c r="A27" s="299" t="s">
        <v>2331</v>
      </c>
      <c r="B27" s="288" t="s">
        <v>2332</v>
      </c>
      <c r="C27" s="289">
        <f ca="1">C28</f>
        <v>139270</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ROUND((C5+C19+C20)*F27,0)</f>
        <v>139270</v>
      </c>
      <c r="D28" s="279"/>
      <c r="E28" s="280"/>
      <c r="F28" s="290"/>
      <c r="G28" s="291"/>
    </row>
    <row r="29" spans="1:7" s="258" customFormat="1" ht="13.5" customHeight="1">
      <c r="A29" s="950" t="s">
        <v>791</v>
      </c>
      <c r="B29" s="292" t="s">
        <v>2336</v>
      </c>
      <c r="C29" s="282">
        <f ca="1">ROUND(C21*F27,4)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2213789</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30798887</v>
      </c>
      <c r="D33" s="276"/>
      <c r="E33" s="256"/>
      <c r="F33" s="285"/>
      <c r="G33" s="278"/>
    </row>
    <row r="34" spans="1:7" s="302" customFormat="1" ht="13.5" customHeight="1">
      <c r="A34" s="950" t="s">
        <v>790</v>
      </c>
      <c r="B34" s="259" t="s">
        <v>2344</v>
      </c>
      <c r="C34" s="264">
        <f ca="1">ROUND(IF(B1="",SUMPRODUCT('数据-取费表'!K6:K14,'数据-取费表'!L6:L14),INDIRECT("'数据-取费表'!l"&amp;$G$1)*INDIRECT("'数据-取费表'!k"&amp;$G$1)+'数据-取费表'!L14*INDIRECT("'数据-取费表'!S"&amp;$G$1)),0)</f>
        <v>26948490</v>
      </c>
      <c r="D34" s="261"/>
      <c r="E34" s="264"/>
      <c r="F34" s="301"/>
      <c r="G34" s="263"/>
    </row>
    <row r="35" spans="1:7" ht="13.5" customHeight="1">
      <c r="A35" s="950" t="s">
        <v>795</v>
      </c>
      <c r="B35" s="259" t="s">
        <v>2346</v>
      </c>
      <c r="C35" s="264">
        <f ca="1">ROUND(C34*F35,0)</f>
        <v>1347425</v>
      </c>
      <c r="D35" s="264"/>
      <c r="E35" s="264"/>
      <c r="F35" s="303">
        <f>'数据-取费表'!B33</f>
        <v>0.05</v>
      </c>
      <c r="G35" s="263" t="s">
        <v>2347</v>
      </c>
    </row>
    <row r="36" spans="1:7" ht="24">
      <c r="A36" s="950" t="s">
        <v>796</v>
      </c>
      <c r="B36" s="259" t="s">
        <v>2348</v>
      </c>
      <c r="C36" s="264">
        <f ca="1">ROUND(IF(B1="",SUM('数据-取费表'!AP6:AP13)*F36,IF(INDIRECT("'数据-取费表'!c"&amp;$G$1)="住宅",INDIRECT("'数据-取费表'!k"&amp;$G$1)*INDIRECT("'数据-取费表'!l"&amp;$G$1)*F36,0)),0)</f>
        <v>751320</v>
      </c>
      <c r="D36" s="264"/>
      <c r="E36" s="264"/>
      <c r="F36" s="303">
        <f>'数据-取费表'!B34</f>
        <v>0.1</v>
      </c>
      <c r="G36" s="304" t="s">
        <v>2349</v>
      </c>
    </row>
    <row r="37" spans="1:7" s="302" customFormat="1" ht="13.5" customHeight="1">
      <c r="A37" s="950" t="s">
        <v>797</v>
      </c>
      <c r="B37" s="259" t="s">
        <v>2350</v>
      </c>
      <c r="C37" s="293">
        <f ca="1">ROUND(E37*D37,0)</f>
        <v>1347425</v>
      </c>
      <c r="D37" s="261">
        <f ca="1">D19</f>
        <v>8982.83</v>
      </c>
      <c r="E37" s="293">
        <f>'数据-取费表'!B35</f>
        <v>150</v>
      </c>
      <c r="F37" s="303"/>
      <c r="G37" s="305"/>
    </row>
    <row r="38" spans="1:7" ht="13.5" customHeight="1">
      <c r="A38" s="950" t="s">
        <v>798</v>
      </c>
      <c r="B38" s="259" t="s">
        <v>2352</v>
      </c>
      <c r="C38" s="264">
        <f ca="1">ROUND(C34*F38,0)</f>
        <v>404227</v>
      </c>
      <c r="D38" s="264"/>
      <c r="E38" s="264"/>
      <c r="F38" s="303">
        <f>'数据-取费表'!B36</f>
        <v>1.4999999999999999E-2</v>
      </c>
      <c r="G38" s="263" t="s">
        <v>2347</v>
      </c>
    </row>
    <row r="39" spans="1:7" s="258" customFormat="1" ht="13.5" customHeight="1">
      <c r="A39" s="299" t="s">
        <v>2353</v>
      </c>
      <c r="B39" s="254" t="s">
        <v>2354</v>
      </c>
      <c r="C39" s="276">
        <f ca="1">ROUND(C33*F20,0)</f>
        <v>615978</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1492206</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ROUND(IF('数据-取费表'!B22&lt;=1,C33*F22*'数据-取费表'!B20/2,C33*(POWER((1+F22),'数据-取费表'!B20/2)-1)),0)</f>
        <v>1462947</v>
      </c>
      <c r="D42" s="282"/>
      <c r="E42" s="282"/>
      <c r="F42" s="283"/>
      <c r="G42" s="3173" t="s">
        <v>2410</v>
      </c>
    </row>
    <row r="43" spans="1:7" ht="13.5" customHeight="1">
      <c r="A43" s="950" t="s">
        <v>791</v>
      </c>
      <c r="B43" s="259" t="s">
        <v>2364</v>
      </c>
      <c r="C43" s="282">
        <f ca="1">ROUND(IF('数据-取费表'!B22&lt;=1,C39*F22*'数据-取费表'!B20/2,C39*(POWER((1+F22),'数据-取费表'!B20/2)-1)),0)</f>
        <v>29259</v>
      </c>
      <c r="D43" s="282"/>
      <c r="E43" s="282"/>
      <c r="F43" s="283"/>
      <c r="G43" s="3174"/>
    </row>
    <row r="44" spans="1:7" ht="13.5" customHeight="1">
      <c r="A44" s="950" t="s">
        <v>792</v>
      </c>
      <c r="B44" s="259" t="s">
        <v>2365</v>
      </c>
      <c r="C44" s="282">
        <f ca="1">ROUND(IF('数据-取费表'!B22&lt;=1,C40*F22*'数据-取费表'!B20/2,C40*(POWER((1+F22),'数据-取费表'!B20/2)-1)),4)</f>
        <v>1E-3</v>
      </c>
      <c r="D44" s="282"/>
      <c r="E44" s="282"/>
      <c r="F44" s="283"/>
      <c r="G44" s="3175"/>
    </row>
    <row r="45" spans="1:7" s="258" customFormat="1" ht="13.5" customHeight="1">
      <c r="A45" s="299" t="s">
        <v>2366</v>
      </c>
      <c r="B45" s="288" t="s">
        <v>2332</v>
      </c>
      <c r="C45" s="289">
        <f ca="1">C46</f>
        <v>2513189</v>
      </c>
      <c r="D45" s="279">
        <f ca="1">C47</f>
        <v>1.6000000000000001E-3</v>
      </c>
      <c r="E45" s="280" t="s">
        <v>2358</v>
      </c>
      <c r="F45" s="290"/>
      <c r="G45" s="291" t="s">
        <v>2367</v>
      </c>
    </row>
    <row r="46" spans="1:7" s="258" customFormat="1" ht="13.5" customHeight="1">
      <c r="A46" s="950" t="s">
        <v>790</v>
      </c>
      <c r="B46" s="292" t="s">
        <v>2368</v>
      </c>
      <c r="C46" s="293">
        <f ca="1">ROUND((C33+C39)*F27,0)</f>
        <v>2513189</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306">
        <f>ROUND(F30/(1+'数据-取费表'!C42),4)</f>
        <v>5.2400000000000002E-2</v>
      </c>
      <c r="D48" s="280" t="s">
        <v>2358</v>
      </c>
      <c r="E48" s="276"/>
      <c r="F48" s="281"/>
      <c r="G48" s="278" t="s">
        <v>2371</v>
      </c>
    </row>
    <row r="49" spans="1:7" ht="16.5" customHeight="1">
      <c r="A49" s="299" t="s">
        <v>2337</v>
      </c>
      <c r="B49" s="254" t="s">
        <v>2411</v>
      </c>
      <c r="C49" s="276">
        <f ca="1">ROUND((C33+C39+C41+C45)/(1-C40-D41-D45-C48),0)</f>
        <v>38292173</v>
      </c>
      <c r="D49" s="276"/>
      <c r="E49" s="276"/>
      <c r="F49" s="308"/>
      <c r="G49" s="278" t="s">
        <v>2373</v>
      </c>
    </row>
    <row r="50" spans="1:7" s="302" customFormat="1">
      <c r="A50" s="299" t="s">
        <v>2374</v>
      </c>
      <c r="B50" s="254" t="s">
        <v>2375</v>
      </c>
      <c r="C50" s="276"/>
      <c r="D50" s="276"/>
      <c r="E50" s="276"/>
      <c r="F50" s="308">
        <f>IF('数据-取费表'!B24=0,'数据-取费表'!N16,1)</f>
        <v>0.93</v>
      </c>
      <c r="G50" s="291"/>
    </row>
    <row r="51" spans="1:7" ht="16.5" customHeight="1">
      <c r="A51" s="299" t="s">
        <v>2377</v>
      </c>
      <c r="B51" s="254" t="s">
        <v>2412</v>
      </c>
      <c r="C51" s="276">
        <f ca="1">ROUND(C49*F50,0)</f>
        <v>35611721</v>
      </c>
      <c r="D51" s="276"/>
      <c r="E51" s="276"/>
      <c r="F51" s="308"/>
      <c r="G51" s="278" t="s">
        <v>2379</v>
      </c>
    </row>
    <row r="52" spans="1:7" s="252" customFormat="1" ht="16.5" thickBot="1">
      <c r="A52" s="309" t="s">
        <v>2380</v>
      </c>
      <c r="B52" s="310"/>
      <c r="C52" s="311">
        <f ca="1">C31+C51</f>
        <v>37825510</v>
      </c>
      <c r="D52" s="310"/>
      <c r="E52" s="310"/>
      <c r="F52" s="310"/>
      <c r="G52" s="312"/>
    </row>
    <row r="55" spans="1:7" ht="15">
      <c r="B55" s="314" t="s">
        <v>2381</v>
      </c>
      <c r="C55" s="315"/>
    </row>
    <row r="56" spans="1:7">
      <c r="B56" s="317" t="s">
        <v>1505</v>
      </c>
      <c r="C56" s="319">
        <f ca="1">1-C57</f>
        <v>5.9000000000000052E-2</v>
      </c>
    </row>
    <row r="57" spans="1:7">
      <c r="B57" s="317" t="s">
        <v>1506</v>
      </c>
      <c r="C57" s="318">
        <f ca="1">ROUND(C51/C52,3)</f>
        <v>0.94099999999999995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2413</v>
      </c>
      <c r="B1" s="1580"/>
      <c r="C1" s="1581"/>
      <c r="D1" s="1579"/>
      <c r="E1" s="320"/>
      <c r="F1" s="320"/>
      <c r="G1" s="1580"/>
      <c r="H1" s="320"/>
      <c r="I1" s="320"/>
      <c r="J1" s="320"/>
      <c r="K1" s="320">
        <f>MATCH(C1,'数据-取费表'!A6:A16,0)+5</f>
        <v>8</v>
      </c>
    </row>
    <row r="2" spans="1:33" ht="18" customHeight="1">
      <c r="A2" s="245" t="s">
        <v>2281</v>
      </c>
      <c r="B2" s="248">
        <f ca="1">C32</f>
        <v>-39</v>
      </c>
      <c r="C2" s="320" t="s">
        <v>2414</v>
      </c>
      <c r="D2" s="320"/>
      <c r="E2" s="320"/>
      <c r="F2" s="320"/>
      <c r="G2" s="320"/>
      <c r="H2" s="320"/>
      <c r="I2" s="320"/>
      <c r="J2" s="320"/>
      <c r="K2" s="320"/>
    </row>
    <row r="3" spans="1:33" ht="18" customHeight="1" thickBot="1">
      <c r="A3" s="247" t="s">
        <v>2283</v>
      </c>
      <c r="B3" s="248">
        <f ca="1">ROUND(B2*10000/IF(C1="",'数据-汇总表'!E3,INDIRECT("'数据-取费表'!K"&amp;$K$1)),0)</f>
        <v>-43</v>
      </c>
      <c r="C3" s="320" t="s">
        <v>2415</v>
      </c>
      <c r="D3" s="320"/>
      <c r="E3" s="320"/>
      <c r="F3" s="320"/>
      <c r="G3" s="320"/>
      <c r="H3" s="320"/>
      <c r="I3" s="320"/>
      <c r="J3" s="320"/>
      <c r="K3" s="320"/>
    </row>
    <row r="4" spans="1:33" s="955" customFormat="1" ht="16.5" customHeight="1">
      <c r="A4" s="952" t="s">
        <v>2416</v>
      </c>
      <c r="B4" s="953"/>
      <c r="C4" s="995">
        <f>SUM(C8:K8)</f>
        <v>0</v>
      </c>
      <c r="D4" s="953"/>
      <c r="E4" s="953"/>
      <c r="F4" s="953"/>
      <c r="G4" s="953"/>
      <c r="H4" s="953"/>
      <c r="I4" s="953"/>
      <c r="J4" s="953"/>
      <c r="K4" s="954"/>
    </row>
    <row r="5" spans="1:33" s="959" customFormat="1" ht="24.75">
      <c r="A5" s="956" t="s">
        <v>2417</v>
      </c>
      <c r="B5" s="957" t="s">
        <v>2418</v>
      </c>
      <c r="C5" s="2551" t="s">
        <v>2419</v>
      </c>
      <c r="D5" s="2551" t="s">
        <v>2420</v>
      </c>
      <c r="E5" s="2551" t="s">
        <v>2421</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2425</v>
      </c>
      <c r="B8" s="177" t="s">
        <v>2426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1327</v>
      </c>
      <c r="B12" s="971" t="s">
        <v>2435</v>
      </c>
      <c r="C12" s="24">
        <f ca="1">ROUND(C11*F12,0)</f>
        <v>0</v>
      </c>
      <c r="D12" s="972"/>
      <c r="E12" s="375"/>
      <c r="F12" s="975">
        <f>'数据-取费表'!B33</f>
        <v>0.05</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0</v>
      </c>
      <c r="D13" s="1032"/>
      <c r="E13" s="375"/>
      <c r="F13" s="975">
        <f>'数据-取费表'!B34</f>
        <v>0.1</v>
      </c>
      <c r="G13" s="8" t="s">
        <v>2438</v>
      </c>
      <c r="H13" s="967"/>
      <c r="I13" s="967"/>
      <c r="J13" s="967"/>
      <c r="K13" s="968"/>
    </row>
    <row r="14" spans="1:33" s="976" customFormat="1" ht="13.5" customHeight="1">
      <c r="A14" s="970" t="s">
        <v>1329</v>
      </c>
      <c r="B14" s="971" t="s">
        <v>2439</v>
      </c>
      <c r="C14" s="24">
        <f ca="1">ROUND(D14*E14*F11/10000,0)</f>
        <v>0</v>
      </c>
      <c r="D14" s="1032">
        <f ca="1">IF(C1="",'数据-汇总表'!E3,INDIRECT("'数据-取费表'!K"&amp;$K$1)+INDIRECT("'数据-取费表'!S"&amp;$K$1))</f>
        <v>8982.83</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0</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8982.83</v>
      </c>
      <c r="E17" s="24">
        <f>'数据-取费表'!B32</f>
        <v>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36</v>
      </c>
      <c r="D18" s="1032"/>
      <c r="E18" s="24"/>
      <c r="F18" s="975"/>
      <c r="G18" s="2553"/>
      <c r="H18" s="1576"/>
      <c r="I18" s="2554" t="s">
        <v>2447</v>
      </c>
      <c r="J18" s="978"/>
      <c r="K18" s="979"/>
    </row>
    <row r="19" spans="1:33" s="974" customFormat="1" ht="13.5" customHeight="1">
      <c r="A19" s="970" t="s">
        <v>804</v>
      </c>
      <c r="B19" s="971" t="s">
        <v>2448</v>
      </c>
      <c r="C19" s="24">
        <f ca="1">ROUND(D19*E19/10000,0)</f>
        <v>10</v>
      </c>
      <c r="D19" s="1032">
        <f ca="1">IF(C1="",'数据-汇总表'!E5,IF(INDIRECT("'数据-取费表'!c"&amp;$K$1)="住宅",INDIRECT("'数据-取费表'!k"&amp;$K$1),0))</f>
        <v>2504.4</v>
      </c>
      <c r="E19" s="24">
        <f>'数据-取费表'!B27</f>
        <v>40</v>
      </c>
      <c r="F19" s="975"/>
      <c r="G19" s="15"/>
      <c r="H19" s="1578"/>
      <c r="I19" s="980"/>
      <c r="J19" s="980"/>
      <c r="K19" s="981"/>
    </row>
    <row r="20" spans="1:33" s="974" customFormat="1" ht="13.5" customHeight="1">
      <c r="A20" s="970" t="s">
        <v>805</v>
      </c>
      <c r="B20" s="971" t="s">
        <v>2449</v>
      </c>
      <c r="C20" s="24">
        <f ca="1">ROUND(D20*E20/10000,0)</f>
        <v>26</v>
      </c>
      <c r="D20" s="1032">
        <f ca="1">IF(C1="",'数据-汇总表'!E6,IF(INDIRECT("'数据-取费表'!c"&amp;$K$1)="住宅",INDIRECT("'数据-取费表'!s"&amp;$K$1),INDIRECT("'数据-取费表'!k"&amp;$K$1)+INDIRECT("'数据-取费表'!s"&amp;$K$1)))</f>
        <v>6478.43</v>
      </c>
      <c r="E20" s="24">
        <f>'数据-取费表'!B28</f>
        <v>40</v>
      </c>
      <c r="F20" s="975"/>
      <c r="G20" s="15"/>
      <c r="H20" s="980"/>
      <c r="I20" s="980"/>
      <c r="J20" s="980"/>
      <c r="K20" s="981"/>
    </row>
    <row r="21" spans="1:33" s="974" customFormat="1" ht="13.5" customHeight="1">
      <c r="A21" s="960" t="s">
        <v>801</v>
      </c>
      <c r="B21" s="984" t="s">
        <v>2450</v>
      </c>
      <c r="C21" s="985">
        <f ca="1">C16+C17+C18</f>
        <v>36</v>
      </c>
      <c r="D21" s="986"/>
      <c r="E21" s="325"/>
      <c r="F21" s="325"/>
      <c r="G21" s="140" t="s">
        <v>2451</v>
      </c>
      <c r="H21" s="978"/>
      <c r="I21" s="978"/>
      <c r="J21" s="978"/>
      <c r="K21" s="979"/>
    </row>
    <row r="22" spans="1:33" s="974" customFormat="1" ht="13.5" customHeight="1">
      <c r="A22" s="960" t="s">
        <v>2423</v>
      </c>
      <c r="B22" s="984" t="s">
        <v>2452</v>
      </c>
      <c r="C22" s="985">
        <f ca="1">ROUND(C21*F22,0)</f>
        <v>1</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0</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2.9000000000000001E-2</v>
      </c>
      <c r="D24" s="325" t="s">
        <v>15</v>
      </c>
      <c r="E24" s="325"/>
      <c r="F24" s="987">
        <f>IF(项目基本情况!B8="出让",0,'数据-取费表'!B48+'数据-取费表'!B49)</f>
        <v>3.0499999999999999E-2</v>
      </c>
      <c r="G24" s="8" t="s">
        <v>2458</v>
      </c>
      <c r="H24" s="989"/>
      <c r="I24" s="989"/>
      <c r="J24" s="989"/>
      <c r="K24" s="990"/>
    </row>
    <row r="25" spans="1:33" s="974" customFormat="1" ht="13.5" customHeight="1">
      <c r="A25" s="960" t="s">
        <v>2459</v>
      </c>
      <c r="B25" s="986" t="s">
        <v>2460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2463</v>
      </c>
      <c r="B28" s="2556" t="s">
        <v>2464</v>
      </c>
      <c r="C28" s="331">
        <f ca="1">C30</f>
        <v>3</v>
      </c>
      <c r="D28" s="324">
        <f ca="1">C29</f>
        <v>0</v>
      </c>
      <c r="E28" s="326" t="s">
        <v>15</v>
      </c>
      <c r="F28" s="332">
        <f ca="1">IF(C1="",'数据-取费表'!Q16,INDIRECT("'数据-取费表'!q"&amp;$K$1))</f>
        <v>0.08</v>
      </c>
      <c r="G28" s="988"/>
      <c r="H28" s="989"/>
      <c r="I28" s="989"/>
      <c r="J28" s="989"/>
      <c r="K28" s="990"/>
    </row>
    <row r="29" spans="1:33" s="335" customFormat="1" ht="13.5" customHeight="1">
      <c r="A29" s="970" t="s">
        <v>802</v>
      </c>
      <c r="B29" s="993" t="s">
        <v>2465</v>
      </c>
      <c r="C29" s="328">
        <f ca="1">ROUND((1+C24)*F28*'数据-取费表'!B24/'数据-取费表'!B20,4)</f>
        <v>0</v>
      </c>
      <c r="D29" s="328"/>
      <c r="E29" s="329"/>
      <c r="F29" s="334"/>
      <c r="G29" s="140" t="s">
        <v>2466</v>
      </c>
      <c r="H29" s="978"/>
      <c r="I29" s="978"/>
      <c r="J29" s="978"/>
      <c r="K29" s="979"/>
    </row>
    <row r="30" spans="1:33" s="335" customFormat="1" ht="13.5" customHeight="1">
      <c r="A30" s="970" t="s">
        <v>803</v>
      </c>
      <c r="B30" s="993" t="s">
        <v>2467</v>
      </c>
      <c r="C30" s="336">
        <f ca="1">ROUND((C21+C22+C23)*F28,0)</f>
        <v>3</v>
      </c>
      <c r="D30" s="328"/>
      <c r="E30" s="329"/>
      <c r="F30" s="334"/>
      <c r="G30" s="140"/>
      <c r="H30" s="978"/>
      <c r="I30" s="978"/>
      <c r="J30" s="978"/>
      <c r="K30" s="979"/>
    </row>
    <row r="31" spans="1:33" s="974" customFormat="1" ht="13.5" customHeight="1" thickBot="1">
      <c r="A31" s="2557" t="s">
        <v>2468</v>
      </c>
      <c r="B31" s="1004" t="s">
        <v>2469</v>
      </c>
      <c r="C31" s="1005">
        <f>ROUND(C4*F31/(1+'数据-取费表'!C42),0)</f>
        <v>0</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-39</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3011</v>
      </c>
      <c r="D1" s="2413"/>
      <c r="E1" s="2413"/>
      <c r="F1" s="2415" t="s">
        <v>2072</v>
      </c>
      <c r="G1" s="2068" t="s">
        <v>3023</v>
      </c>
      <c r="H1" s="2416" t="str">
        <f>IF(G1="现房","——","估价对象范围")</f>
        <v>——</v>
      </c>
      <c r="I1" s="2417" t="s">
        <v>3024</v>
      </c>
    </row>
    <row r="2" spans="1:12" ht="21.75" customHeight="1" thickBot="1">
      <c r="A2" s="3113" t="str">
        <f>项目基本情况!S2</f>
        <v>四川省遂宁市圣莲岛（仁里镇猫儿洲）棚户区改造项目房地产</v>
      </c>
      <c r="B2" s="3114"/>
      <c r="C2" s="3114"/>
      <c r="D2" s="3114"/>
      <c r="E2" s="3114"/>
      <c r="F2" s="3114"/>
      <c r="G2" s="3114"/>
      <c r="H2" s="3114"/>
      <c r="I2" s="3115"/>
    </row>
    <row r="3" spans="1:12" ht="12.75">
      <c r="A3" s="3117" t="s">
        <v>2073</v>
      </c>
      <c r="B3" s="3118"/>
      <c r="C3" s="3118"/>
      <c r="D3" s="3118"/>
      <c r="E3" s="3118"/>
      <c r="F3" s="3118"/>
      <c r="G3" s="3118"/>
      <c r="H3" s="3118"/>
      <c r="I3" s="3118"/>
    </row>
    <row r="4" spans="1:12" ht="14.25">
      <c r="A4" s="2420" t="s">
        <v>2074</v>
      </c>
      <c r="B4" s="2421" t="s">
        <v>2075</v>
      </c>
      <c r="C4" s="2422" t="s">
        <v>3026</v>
      </c>
      <c r="D4" s="2422" t="s">
        <v>3013</v>
      </c>
      <c r="E4" s="3110" t="s">
        <v>2076</v>
      </c>
      <c r="F4" s="3111"/>
      <c r="G4" s="3111"/>
      <c r="H4" s="3111"/>
      <c r="I4" s="3119"/>
      <c r="K4" s="2423" t="str">
        <f>IF(ISNUMBER(FIND("比较法",'结果表 (2)'!C4)),"比较法",IF(ISNUMBER(FIND("成本法",'结果表 (2)'!C4)),"成本法",IF(ISNUMBER(FIND("假设开发法",'结果表 (2)'!C4)),"假设开发法",IF(ISNUMBER(FIND("收益法",'结果表 (2)'!C4)),"收益法","基准地价系数修正法"))))</f>
        <v>比较法</v>
      </c>
      <c r="L4" s="2423" t="str">
        <f>IF(ISNUMBER(FIND("比较法",'结果表 (2)'!D4)),"比较法",IF(ISNUMBER(FIND("成本法",'结果表 (2)'!D4)),"成本法",IF(ISNUMBER(FIND("假设开发法",'结果表 (2)'!D4)),"假设开发法",IF(ISNUMBER(FIND("收益法",'结果表 (2)'!D4)),"收益法","基准地价系数修正法"))))</f>
        <v>收益法</v>
      </c>
    </row>
    <row r="5" spans="1:12" ht="12.75">
      <c r="A5" s="3093" t="s">
        <v>2077</v>
      </c>
      <c r="B5" s="3031">
        <v>25</v>
      </c>
      <c r="C5" s="3096"/>
      <c r="D5" s="3116"/>
      <c r="E5" s="140" t="s">
        <v>2078</v>
      </c>
      <c r="F5" s="2424"/>
      <c r="G5" s="2424"/>
      <c r="H5" s="2424"/>
      <c r="I5" s="1830"/>
    </row>
    <row r="6" spans="1:12" ht="12.75">
      <c r="A6" s="3093"/>
      <c r="B6" s="3031"/>
      <c r="C6" s="3097"/>
      <c r="D6" s="3116"/>
      <c r="E6" s="140" t="s">
        <v>2079</v>
      </c>
      <c r="F6" s="2424"/>
      <c r="G6" s="2424"/>
      <c r="H6" s="2424"/>
      <c r="I6" s="1830"/>
    </row>
    <row r="7" spans="1:12" ht="12.75">
      <c r="A7" s="3093"/>
      <c r="B7" s="3031"/>
      <c r="C7" s="3098"/>
      <c r="D7" s="3116"/>
      <c r="E7" s="140" t="s">
        <v>2080</v>
      </c>
      <c r="F7" s="2424"/>
      <c r="G7" s="2424"/>
      <c r="H7" s="2424"/>
      <c r="I7" s="1830"/>
    </row>
    <row r="8" spans="1:12" ht="12.75">
      <c r="A8" s="3093" t="s">
        <v>2081</v>
      </c>
      <c r="B8" s="3031">
        <v>15</v>
      </c>
      <c r="C8" s="3096"/>
      <c r="D8" s="3116"/>
      <c r="E8" s="140" t="s">
        <v>2082</v>
      </c>
      <c r="F8" s="2424"/>
      <c r="G8" s="2424"/>
      <c r="H8" s="2424"/>
      <c r="I8" s="1830"/>
    </row>
    <row r="9" spans="1:12" ht="12.75">
      <c r="A9" s="3093"/>
      <c r="B9" s="3031"/>
      <c r="C9" s="3098"/>
      <c r="D9" s="3116"/>
      <c r="E9" s="140" t="s">
        <v>2083</v>
      </c>
      <c r="F9" s="2424"/>
      <c r="G9" s="2424"/>
      <c r="H9" s="2424"/>
      <c r="I9" s="1830"/>
    </row>
    <row r="10" spans="1:12" ht="12.75">
      <c r="A10" s="3093" t="s">
        <v>2084</v>
      </c>
      <c r="B10" s="3031">
        <v>15</v>
      </c>
      <c r="C10" s="3096"/>
      <c r="D10" s="3116"/>
      <c r="E10" s="140" t="s">
        <v>2085</v>
      </c>
      <c r="F10" s="2424"/>
      <c r="G10" s="2424"/>
      <c r="H10" s="2424"/>
      <c r="I10" s="1830"/>
    </row>
    <row r="11" spans="1:12" ht="12.75">
      <c r="A11" s="3093"/>
      <c r="B11" s="3031"/>
      <c r="C11" s="3098"/>
      <c r="D11" s="3116"/>
      <c r="E11" s="140" t="s">
        <v>2086</v>
      </c>
      <c r="F11" s="2424"/>
      <c r="G11" s="2424"/>
      <c r="H11" s="2424"/>
      <c r="I11" s="1830"/>
    </row>
    <row r="12" spans="1:12" ht="12.75">
      <c r="A12" s="3093" t="s">
        <v>2087</v>
      </c>
      <c r="B12" s="3031">
        <v>15</v>
      </c>
      <c r="C12" s="3096"/>
      <c r="D12" s="3116"/>
      <c r="E12" s="140" t="s">
        <v>2088</v>
      </c>
      <c r="F12" s="2424"/>
      <c r="G12" s="2424"/>
      <c r="H12" s="2424"/>
      <c r="I12" s="1830"/>
    </row>
    <row r="13" spans="1:12" ht="12.75">
      <c r="A13" s="3093"/>
      <c r="B13" s="3031"/>
      <c r="C13" s="3098"/>
      <c r="D13" s="3116"/>
      <c r="E13" s="140" t="s">
        <v>2089</v>
      </c>
      <c r="F13" s="2424"/>
      <c r="G13" s="2424"/>
      <c r="H13" s="2424"/>
      <c r="I13" s="1830"/>
    </row>
    <row r="14" spans="1:12" ht="12.75">
      <c r="A14" s="3093" t="s">
        <v>2090</v>
      </c>
      <c r="B14" s="3031">
        <v>30</v>
      </c>
      <c r="C14" s="3096">
        <v>5</v>
      </c>
      <c r="D14" s="3116">
        <v>5</v>
      </c>
      <c r="E14" s="140" t="s">
        <v>2091</v>
      </c>
      <c r="F14" s="2424"/>
      <c r="G14" s="2424"/>
      <c r="H14" s="2424"/>
      <c r="I14" s="1830"/>
    </row>
    <row r="15" spans="1:12" ht="12.75">
      <c r="A15" s="3093"/>
      <c r="B15" s="3031"/>
      <c r="C15" s="3097"/>
      <c r="D15" s="3116"/>
      <c r="E15" s="140" t="s">
        <v>2092</v>
      </c>
      <c r="F15" s="2424"/>
      <c r="G15" s="2424"/>
      <c r="H15" s="2424"/>
      <c r="I15" s="1830"/>
    </row>
    <row r="16" spans="1:12" ht="12.75">
      <c r="A16" s="3093"/>
      <c r="B16" s="3031"/>
      <c r="C16" s="3098"/>
      <c r="D16" s="3116"/>
      <c r="E16" s="140" t="s">
        <v>2093</v>
      </c>
      <c r="F16" s="2424"/>
      <c r="G16" s="2424"/>
      <c r="H16" s="2424"/>
      <c r="I16" s="1830"/>
    </row>
    <row r="17" spans="1:35" ht="15">
      <c r="A17" s="2425" t="s">
        <v>2094</v>
      </c>
      <c r="B17" s="64"/>
      <c r="C17" s="141">
        <f>SUM(C5:C16)</f>
        <v>5</v>
      </c>
      <c r="D17" s="141">
        <f>SUM(D5:D16)</f>
        <v>5</v>
      </c>
      <c r="E17" s="138"/>
      <c r="F17" s="138"/>
      <c r="G17" s="138"/>
      <c r="H17" s="138"/>
      <c r="I17" s="138"/>
      <c r="K17" s="2423"/>
      <c r="L17" s="2426" t="s">
        <v>2095</v>
      </c>
      <c r="M17" s="2426" t="s">
        <v>2096</v>
      </c>
    </row>
    <row r="18" spans="1:35" ht="15.75" thickBot="1">
      <c r="A18" s="2427" t="s">
        <v>2097</v>
      </c>
      <c r="B18" s="2428"/>
      <c r="C18" s="142">
        <f>ROUND(C17/SUM(C17:D17),2)</f>
        <v>0.5</v>
      </c>
      <c r="D18" s="142">
        <f>1-C18</f>
        <v>0.5</v>
      </c>
      <c r="E18" s="138"/>
      <c r="F18" s="138"/>
      <c r="G18" s="138"/>
      <c r="H18" s="138"/>
      <c r="I18" s="138"/>
      <c r="K18" s="2423" t="s">
        <v>2098</v>
      </c>
      <c r="L18" s="2423">
        <f>IF(C1="",'数据-汇总表'!E3,SUMIF(项目类型,C1,'数据-汇总表'!E17:E26)+SUMIF(项目类型,C1,'数据-汇总表'!I17:I26))</f>
        <v>6478.43</v>
      </c>
      <c r="M18" s="2423">
        <f>IF(C1="",'数据-汇总表'!E3,SUMIF(项目类型,C1,'数据-汇总表'!E17:E26))</f>
        <v>6478.43</v>
      </c>
    </row>
    <row r="19" spans="1:35" ht="15">
      <c r="A19" s="2429" t="s">
        <v>2099</v>
      </c>
      <c r="B19" s="2430" t="s">
        <v>2100</v>
      </c>
      <c r="C19" s="143">
        <f ca="1">SUMIF(INDIRECT("'"&amp;C4&amp;"'"&amp;"!A:A"),'结果表 (2)'!B19,INDIRECT("'"&amp;C4&amp;"'"&amp;"!B:B"))</f>
        <v>6705</v>
      </c>
      <c r="D19" s="144">
        <f ca="1">SUMIF(INDIRECT("'"&amp;D4&amp;"'"&amp;"!A:A"),'结果表 (2)'!B19,INDIRECT("'"&amp;D4&amp;"'"&amp;"!B:B"))</f>
        <v>6510</v>
      </c>
      <c r="E19" s="2429" t="s">
        <v>2101</v>
      </c>
      <c r="F19" s="2430" t="s">
        <v>2100</v>
      </c>
      <c r="G19" s="145">
        <f ca="1">ROUND(C19*$C$18+D19*$D$18,0)</f>
        <v>6608</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 (2)'!B20,INDIRECT("'"&amp;C4&amp;"'"&amp;"!B:B"))</f>
        <v>10350</v>
      </c>
      <c r="D20" s="147">
        <f ca="1">SUMIF(INDIRECT("'"&amp;D4&amp;"'"&amp;"!A:A"),'结果表 (2)'!B20,INDIRECT("'"&amp;D4&amp;"'"&amp;"!B:B"))</f>
        <v>10049</v>
      </c>
      <c r="E20" s="2432"/>
      <c r="F20" s="1246" t="s">
        <v>2104</v>
      </c>
      <c r="G20" s="148">
        <f ca="1">ROUND(C20*$C$18+D20*$D$18,0)</f>
        <v>10200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2.9953917050691281E-2</v>
      </c>
      <c r="E22" s="138"/>
      <c r="F22" s="138"/>
      <c r="G22" s="138"/>
      <c r="H22" s="138"/>
      <c r="I22" s="138"/>
    </row>
    <row r="23" spans="1:35" ht="13.5" thickBot="1">
      <c r="A23" s="2413"/>
      <c r="B23" s="2413"/>
      <c r="C23" s="2413"/>
      <c r="D23" s="2413"/>
      <c r="E23" s="138"/>
      <c r="F23" s="138"/>
      <c r="G23" s="138"/>
      <c r="H23" s="138"/>
      <c r="I23" s="138"/>
    </row>
    <row r="24" spans="1:35" ht="14.25">
      <c r="A24" s="3087" t="s">
        <v>2108</v>
      </c>
      <c r="B24" s="2430" t="s">
        <v>2100</v>
      </c>
      <c r="C24" s="145">
        <f>IF(B30=0,0,D30)</f>
        <v>0</v>
      </c>
      <c r="D24" s="2437"/>
      <c r="E24" s="138"/>
      <c r="F24" s="138"/>
      <c r="G24" s="138"/>
      <c r="H24" s="138"/>
      <c r="I24" s="138"/>
    </row>
    <row r="25" spans="1:35" ht="14.25">
      <c r="A25" s="3088"/>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6608</v>
      </c>
      <c r="D32" s="2444" t="s">
        <v>2115</v>
      </c>
      <c r="E32" s="138"/>
      <c r="F32" s="138"/>
      <c r="G32" s="138"/>
      <c r="H32" s="138"/>
      <c r="I32" s="138"/>
    </row>
    <row r="33" spans="1:15" ht="15">
      <c r="A33" s="956" t="s">
        <v>2116</v>
      </c>
      <c r="B33" s="2445"/>
      <c r="C33" s="2446"/>
      <c r="D33" s="2447"/>
      <c r="E33" s="2448" t="s">
        <v>2117</v>
      </c>
      <c r="F33" s="2947"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05" t="s">
        <v>2122</v>
      </c>
      <c r="B36" s="2456" t="s">
        <v>2123</v>
      </c>
      <c r="C36" s="154"/>
      <c r="D36" s="2457"/>
      <c r="E36" s="2458"/>
      <c r="F36" s="2459"/>
      <c r="G36" s="138"/>
      <c r="H36" s="138"/>
      <c r="I36" s="138"/>
    </row>
    <row r="37" spans="1:15" ht="15.75" thickBot="1">
      <c r="A37" s="3106"/>
      <c r="B37" s="2264" t="s">
        <v>2124</v>
      </c>
      <c r="C37" s="156"/>
      <c r="D37" s="1391"/>
      <c r="E37" s="1391"/>
      <c r="F37" s="2459"/>
      <c r="G37" s="138"/>
      <c r="H37" s="138"/>
      <c r="I37" s="138"/>
    </row>
    <row r="38" spans="1:15" ht="15.75" thickBot="1">
      <c r="A38" s="3107"/>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084" t="s">
        <v>2136</v>
      </c>
      <c r="B45" s="3085"/>
      <c r="C45" s="3086"/>
      <c r="D45" s="164">
        <f ca="1">ROUND(H101*F45,0)</f>
        <v>6608</v>
      </c>
      <c r="E45" s="165" t="s">
        <v>2137</v>
      </c>
      <c r="F45" s="166">
        <v>1</v>
      </c>
      <c r="G45" s="167" t="s">
        <v>2138</v>
      </c>
      <c r="H45" s="138"/>
      <c r="I45" s="138"/>
      <c r="J45" s="3144" t="s">
        <v>2139</v>
      </c>
      <c r="K45" s="3144"/>
      <c r="L45" s="3144"/>
      <c r="M45" s="3144"/>
      <c r="N45" s="3144"/>
      <c r="O45" s="3144"/>
    </row>
    <row r="46" spans="1:15" ht="14.25" customHeight="1">
      <c r="A46" s="3081" t="s">
        <v>2140</v>
      </c>
      <c r="B46" s="3082"/>
      <c r="C46" s="3082"/>
      <c r="D46" s="3082"/>
      <c r="E46" s="3082"/>
      <c r="F46" s="3082"/>
      <c r="G46" s="3083"/>
      <c r="H46" s="2475"/>
      <c r="I46" s="168"/>
      <c r="J46" s="2956">
        <v>1</v>
      </c>
      <c r="K46" s="3144" t="s">
        <v>2141</v>
      </c>
      <c r="L46" s="3144"/>
      <c r="M46" s="3164"/>
      <c r="N46" s="3164"/>
      <c r="O46" s="3164"/>
    </row>
    <row r="47" spans="1:15" ht="12" customHeight="1">
      <c r="A47" s="169" t="s">
        <v>2142</v>
      </c>
      <c r="B47" s="170"/>
      <c r="C47" s="171"/>
      <c r="D47" s="172" t="s">
        <v>2143</v>
      </c>
      <c r="E47" s="24" t="s">
        <v>2144</v>
      </c>
      <c r="F47" s="173" t="s">
        <v>2145</v>
      </c>
      <c r="G47" s="174" t="s">
        <v>2146</v>
      </c>
      <c r="H47" s="2475"/>
      <c r="I47" s="168"/>
      <c r="J47" s="2956">
        <v>2</v>
      </c>
      <c r="K47" s="3144" t="s">
        <v>2147</v>
      </c>
      <c r="L47" s="3144"/>
      <c r="M47" s="3165">
        <f>'数据-取费表'!B2</f>
        <v>43641</v>
      </c>
      <c r="N47" s="3165"/>
      <c r="O47" s="3165"/>
    </row>
    <row r="48" spans="1:15" ht="25.5">
      <c r="A48" s="3112" t="s">
        <v>2148</v>
      </c>
      <c r="B48" s="3095"/>
      <c r="C48" s="3095"/>
      <c r="D48" s="140">
        <f>IF(H48="情况1",0,IF(H48="情况2",D52,IF(H48="情况3",D53,IF(H48="情况4",D54))))</f>
        <v>0</v>
      </c>
      <c r="E48" s="2965" t="str">
        <f>IF(H48="情况4","(销售额-原购置价)×税（费）率","销售额×税（费）率")</f>
        <v>销售额×税（费）率</v>
      </c>
      <c r="F48" s="175" t="str">
        <f>IF(H48="情况1","免征",'数据-取费表'!B41)</f>
        <v>免征</v>
      </c>
      <c r="G48" s="2476" t="s">
        <v>2149</v>
      </c>
      <c r="H48" s="2477" t="s">
        <v>2150</v>
      </c>
      <c r="I48" s="2475"/>
      <c r="J48" s="2956">
        <v>3</v>
      </c>
      <c r="K48" s="3144" t="s">
        <v>2151</v>
      </c>
      <c r="L48" s="3144"/>
      <c r="M48" s="3166">
        <f ca="1">H101</f>
        <v>6608</v>
      </c>
      <c r="N48" s="3166"/>
      <c r="O48" s="3166"/>
    </row>
    <row r="49" spans="1:35" ht="25.5" customHeight="1">
      <c r="A49" s="176" t="s">
        <v>2152</v>
      </c>
      <c r="B49" s="3080" t="s">
        <v>2153</v>
      </c>
      <c r="C49" s="3080"/>
      <c r="D49" s="177">
        <v>0</v>
      </c>
      <c r="E49" s="23" t="s">
        <v>2154</v>
      </c>
      <c r="F49" s="28" t="s">
        <v>34</v>
      </c>
      <c r="G49" s="3150"/>
      <c r="H49" s="138"/>
      <c r="I49" s="2478"/>
      <c r="J49" s="2956">
        <v>4</v>
      </c>
      <c r="K49" s="3144" t="str">
        <f>IF(项目基本情况!E8="房地产抵押价值","房地产抵押价值","抵押担保权已注销时的房地产抵押价值")</f>
        <v>房地产抵押价值</v>
      </c>
      <c r="L49" s="3144"/>
      <c r="M49" s="3166">
        <f ca="1">IF(项目基本情况!E8="房地产抵押价值",H107,H109)</f>
        <v>6608</v>
      </c>
      <c r="N49" s="3166"/>
      <c r="O49" s="3166"/>
    </row>
    <row r="50" spans="1:35" ht="25.5" customHeight="1">
      <c r="A50" s="178"/>
      <c r="B50" s="3080" t="s">
        <v>2155</v>
      </c>
      <c r="C50" s="3080"/>
      <c r="D50" s="179"/>
      <c r="E50" s="31"/>
      <c r="F50" s="180"/>
      <c r="G50" s="3151"/>
      <c r="H50" s="138"/>
      <c r="I50" s="2478"/>
      <c r="J50" s="3144" t="s">
        <v>2156</v>
      </c>
      <c r="K50" s="3144"/>
      <c r="L50" s="3144"/>
      <c r="M50" s="3144"/>
      <c r="N50" s="3144"/>
      <c r="O50" s="3144"/>
    </row>
    <row r="51" spans="1:35" ht="12" customHeight="1">
      <c r="A51" s="181"/>
      <c r="B51" s="3080" t="s">
        <v>2157</v>
      </c>
      <c r="C51" s="3080"/>
      <c r="D51" s="182"/>
      <c r="E51" s="30"/>
      <c r="F51" s="180"/>
      <c r="G51" s="3152"/>
      <c r="H51" s="138"/>
      <c r="I51" s="2478"/>
      <c r="J51" s="2949" t="s">
        <v>2158</v>
      </c>
      <c r="K51" s="3144" t="s">
        <v>2159</v>
      </c>
      <c r="L51" s="3144"/>
      <c r="M51" s="2949" t="s">
        <v>2160</v>
      </c>
      <c r="N51" s="2949" t="s">
        <v>2161</v>
      </c>
      <c r="O51" s="2949" t="s">
        <v>2162</v>
      </c>
    </row>
    <row r="52" spans="1:35" ht="24" customHeight="1">
      <c r="A52" s="183" t="s">
        <v>2163</v>
      </c>
      <c r="B52" s="3080" t="s">
        <v>2164</v>
      </c>
      <c r="C52" s="3080"/>
      <c r="D52" s="182">
        <f ca="1">ROUND(D45*'数据-取费表'!B41/(1+'数据-取费表'!C42),0)</f>
        <v>346</v>
      </c>
      <c r="E52" s="11" t="s">
        <v>2165</v>
      </c>
      <c r="F52" s="184">
        <f>'数据-取费表'!B41</f>
        <v>5.5000000000000007E-2</v>
      </c>
      <c r="G52" s="2480"/>
      <c r="H52" s="138"/>
      <c r="I52" s="2478"/>
      <c r="J52" s="2956">
        <v>1</v>
      </c>
      <c r="K52" s="3145" t="s">
        <v>2166</v>
      </c>
      <c r="L52" s="3145"/>
      <c r="M52" s="1750">
        <f>D48</f>
        <v>0</v>
      </c>
      <c r="N52" s="2956" t="str">
        <f>E48</f>
        <v>销售额×税（费）率</v>
      </c>
      <c r="O52" s="1751" t="str">
        <f>F48</f>
        <v>免征</v>
      </c>
    </row>
    <row r="53" spans="1:35" ht="12" customHeight="1">
      <c r="A53" s="183" t="s">
        <v>2167</v>
      </c>
      <c r="B53" s="3103" t="s">
        <v>2168</v>
      </c>
      <c r="C53" s="3104"/>
      <c r="D53" s="182">
        <f ca="1">ROUND(D45*'数据-取费表'!B41/(1+'数据-取费表'!C42),0)</f>
        <v>346</v>
      </c>
      <c r="E53" s="11" t="s">
        <v>2165</v>
      </c>
      <c r="F53" s="184">
        <f>'数据-取费表'!B41</f>
        <v>5.5000000000000007E-2</v>
      </c>
      <c r="G53" s="2480"/>
      <c r="H53" s="138"/>
      <c r="I53" s="2478"/>
      <c r="J53" s="2956">
        <v>2</v>
      </c>
      <c r="K53" s="3145" t="s">
        <v>2169</v>
      </c>
      <c r="L53" s="3145"/>
      <c r="M53" s="1750">
        <f t="shared" ref="M53:O54" ca="1" si="0">D55</f>
        <v>3</v>
      </c>
      <c r="N53" s="2956" t="str">
        <f t="shared" si="0"/>
        <v>销售额×税（费）率</v>
      </c>
      <c r="O53" s="1751">
        <f t="shared" si="0"/>
        <v>5.0000000000000001E-4</v>
      </c>
    </row>
    <row r="54" spans="1:35" ht="12" customHeight="1">
      <c r="A54" s="183" t="s">
        <v>2170</v>
      </c>
      <c r="B54" s="3103" t="s">
        <v>2171</v>
      </c>
      <c r="C54" s="3104"/>
      <c r="D54" s="182">
        <f ca="1">C68</f>
        <v>346</v>
      </c>
      <c r="E54" s="30" t="s">
        <v>2172</v>
      </c>
      <c r="F54" s="184">
        <f>'数据-取费表'!B41</f>
        <v>5.5000000000000007E-2</v>
      </c>
      <c r="G54" s="2480"/>
      <c r="H54" s="2481"/>
      <c r="I54" s="2478"/>
      <c r="J54" s="2956">
        <v>3</v>
      </c>
      <c r="K54" s="3145" t="s">
        <v>2173</v>
      </c>
      <c r="L54" s="3145"/>
      <c r="M54" s="1750">
        <f t="shared" ca="1" si="0"/>
        <v>3746</v>
      </c>
      <c r="N54" s="2956" t="str">
        <f t="shared" si="0"/>
        <v>增值额×税（费）率</v>
      </c>
      <c r="O54" s="1752" t="str">
        <f t="shared" si="0"/>
        <v>——</v>
      </c>
    </row>
    <row r="55" spans="1:35" ht="24" customHeight="1">
      <c r="A55" s="3094" t="s">
        <v>2174</v>
      </c>
      <c r="B55" s="3095"/>
      <c r="C55" s="3095"/>
      <c r="D55" s="185">
        <f ca="1">IF(H55="个人住宅",0,ROUND(D45*I55,0))</f>
        <v>3</v>
      </c>
      <c r="E55" s="11" t="s">
        <v>2175</v>
      </c>
      <c r="F55" s="184">
        <f>IF(H55="正常",I55,"免征")</f>
        <v>5.0000000000000001E-4</v>
      </c>
      <c r="G55" s="2480"/>
      <c r="H55" s="2477" t="s">
        <v>2176</v>
      </c>
      <c r="I55" s="186">
        <f>'数据-取费表'!B49</f>
        <v>5.0000000000000001E-4</v>
      </c>
      <c r="J55" s="2956" t="str">
        <f>IF(H59="非个人房产","",4)</f>
        <v/>
      </c>
      <c r="K55" s="3145" t="str">
        <f>IF(H59="非个人房产","——","个人所得税")</f>
        <v>——</v>
      </c>
      <c r="L55" s="3145"/>
      <c r="M55" s="1753" t="str">
        <f>D59</f>
        <v>——</v>
      </c>
      <c r="N55" s="2957" t="str">
        <f>E59</f>
        <v>——</v>
      </c>
      <c r="O55" s="1754" t="str">
        <f>F59</f>
        <v>——</v>
      </c>
    </row>
    <row r="56" spans="1:35" ht="24.75">
      <c r="A56" s="3094" t="s">
        <v>2177</v>
      </c>
      <c r="B56" s="3095"/>
      <c r="C56" s="3095"/>
      <c r="D56" s="185">
        <f ca="1">IF(H56="个人住宅",D57,D58)</f>
        <v>3746</v>
      </c>
      <c r="E56" s="11" t="s">
        <v>2178</v>
      </c>
      <c r="F56" s="184" t="str">
        <f>IF(H56="正常",F58,"免征")</f>
        <v>——</v>
      </c>
      <c r="G56" s="2482" t="s">
        <v>2179</v>
      </c>
      <c r="H56" s="2483" t="s">
        <v>2176</v>
      </c>
      <c r="I56" s="2484"/>
      <c r="J56" s="2956" t="str">
        <f>IF(项目基本情况!K6="上海银行",IF(J55="",4,J55+1),"")</f>
        <v/>
      </c>
      <c r="K56" s="3168" t="str">
        <f>IF(项目基本情况!K6="上海银行","其他处置费用","")</f>
        <v/>
      </c>
      <c r="L56" s="3169"/>
      <c r="M56" s="1750" t="str">
        <f>IF(项目基本情况!K6="上海银行",M69,"")</f>
        <v/>
      </c>
      <c r="N56" s="3171" t="str">
        <f>IF(项目基本情况!K6="上海银行","包含处置中涉及的律师、诉讼、拍卖、评估等费用","")</f>
        <v/>
      </c>
      <c r="O56" s="3172"/>
    </row>
    <row r="57" spans="1:35" ht="12.75">
      <c r="A57" s="183" t="s">
        <v>2152</v>
      </c>
      <c r="B57" s="3110" t="s">
        <v>2180</v>
      </c>
      <c r="C57" s="3119"/>
      <c r="D57" s="187">
        <v>0</v>
      </c>
      <c r="E57" s="23" t="s">
        <v>2154</v>
      </c>
      <c r="F57" s="155"/>
      <c r="G57" s="2480"/>
      <c r="H57" s="2484"/>
      <c r="I57" s="2484"/>
      <c r="J57" s="3145">
        <f>IF(AND(J55="",J56=""),4,IF(项目基本情况!K6="上海银行",'结果表 (2)'!J56+1,'结果表 (2)'!J55+1))</f>
        <v>4</v>
      </c>
      <c r="K57" s="3145" t="s">
        <v>2181</v>
      </c>
      <c r="L57" s="2485" t="s">
        <v>2182</v>
      </c>
      <c r="M57" s="1755"/>
      <c r="N57" s="1756">
        <f ca="1">SUMIF(M52:M56,"&lt;9e307")</f>
        <v>3749</v>
      </c>
      <c r="O57" s="2486"/>
      <c r="P57" s="1749">
        <f ca="1">N57/M49</f>
        <v>0.56734261501210659</v>
      </c>
    </row>
    <row r="58" spans="1:35" ht="24.75">
      <c r="A58" s="183" t="s">
        <v>2163</v>
      </c>
      <c r="B58" s="3110" t="s">
        <v>2183</v>
      </c>
      <c r="C58" s="3111"/>
      <c r="D58" s="185">
        <f ca="1">IF(H58="转让取得",C81,C97)</f>
        <v>3746</v>
      </c>
      <c r="E58" s="11" t="s">
        <v>2178</v>
      </c>
      <c r="F58" s="24" t="s">
        <v>34</v>
      </c>
      <c r="G58" s="2480"/>
      <c r="H58" s="2483" t="s">
        <v>2184</v>
      </c>
      <c r="I58" s="2484"/>
      <c r="J58" s="3145"/>
      <c r="K58" s="3145"/>
      <c r="L58" s="2485" t="s">
        <v>2185</v>
      </c>
      <c r="M58" s="1757"/>
      <c r="N58" s="2487" t="str">
        <f ca="1">NUMBERSTRING(INT(N57*10000),2)&amp;"元整"</f>
        <v>叁仟柒佰肆拾玖万元整</v>
      </c>
      <c r="O58" s="2488"/>
    </row>
    <row r="59" spans="1:35" ht="24.75" thickBot="1">
      <c r="A59" s="3148" t="s">
        <v>2186</v>
      </c>
      <c r="B59" s="3149"/>
      <c r="C59" s="3149"/>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46">
        <f>J57+1</f>
        <v>5</v>
      </c>
      <c r="K59" s="3145" t="s">
        <v>2188</v>
      </c>
      <c r="L59" s="2956" t="s">
        <v>2182</v>
      </c>
      <c r="M59" s="1758"/>
      <c r="N59" s="1759">
        <f ca="1">M49-N57</f>
        <v>2859</v>
      </c>
      <c r="O59" s="2490"/>
    </row>
    <row r="60" spans="1:35" ht="12" customHeight="1">
      <c r="A60" s="2491"/>
      <c r="B60" s="2413"/>
      <c r="C60" s="2413"/>
      <c r="D60" s="2413"/>
      <c r="E60" s="2163"/>
      <c r="F60" s="2484"/>
      <c r="G60" s="2484"/>
      <c r="H60" s="2492"/>
      <c r="I60" s="138"/>
      <c r="J60" s="3147"/>
      <c r="K60" s="3145"/>
      <c r="L60" s="2485" t="s">
        <v>2185</v>
      </c>
      <c r="M60" s="1757"/>
      <c r="N60" s="2487" t="str">
        <f ca="1">NUMBERSTRING(INT(N59*10000),2)&amp;"元整"</f>
        <v>贰仟捌佰伍拾玖万元整</v>
      </c>
      <c r="O60" s="2488"/>
    </row>
    <row r="61" spans="1:35" ht="13.5" thickBot="1">
      <c r="A61" s="3092" t="s">
        <v>2189</v>
      </c>
      <c r="B61" s="3092"/>
      <c r="C61" s="3092"/>
      <c r="D61" s="3092"/>
      <c r="E61" s="3092"/>
      <c r="F61" s="2484"/>
      <c r="G61" s="2484"/>
      <c r="H61" s="2492"/>
      <c r="I61" s="138"/>
      <c r="J61" s="2956">
        <f>J59+1</f>
        <v>6</v>
      </c>
      <c r="K61" s="3145" t="s">
        <v>2190</v>
      </c>
      <c r="L61" s="3145"/>
      <c r="M61" s="1760"/>
      <c r="N61" s="1761">
        <f ca="1">ROUND(N59*10000/'数据-汇总表'!E3,0)</f>
        <v>3183</v>
      </c>
      <c r="O61" s="2493"/>
    </row>
    <row r="62" spans="1:35" ht="12.75">
      <c r="A62" s="3108" t="s">
        <v>2191</v>
      </c>
      <c r="B62" s="3109"/>
      <c r="C62" s="2961"/>
      <c r="D62" s="2961" t="s">
        <v>2192</v>
      </c>
      <c r="E62" s="192" t="s">
        <v>2193</v>
      </c>
      <c r="F62" s="2484"/>
      <c r="G62" s="2484"/>
      <c r="H62" s="2492"/>
      <c r="I62" s="138"/>
    </row>
    <row r="63" spans="1:35" ht="12.75">
      <c r="A63" s="203" t="s">
        <v>774</v>
      </c>
      <c r="B63" s="193" t="s">
        <v>2194</v>
      </c>
      <c r="C63" s="194">
        <f ca="1">ROUND((C64+C65)/(1+'数据-取费表'!C42),0)</f>
        <v>6293</v>
      </c>
      <c r="D63" s="195"/>
      <c r="E63" s="196"/>
      <c r="F63" s="2484"/>
      <c r="G63" s="2484"/>
      <c r="H63" s="2492"/>
      <c r="I63" s="138"/>
      <c r="J63" s="3170" t="s">
        <v>2195</v>
      </c>
      <c r="K63" s="2952" t="s">
        <v>2196</v>
      </c>
      <c r="L63" s="1748">
        <f ca="1">IF(M49&gt;10000,M49*0.5%,IF(AND(M49&gt;1000,M49&lt;=10000),M49*1%,IF(AND(M49&gt;100,M49&lt;=1000),M49*3%,IF(AND(M49&gt;10,M49&lt;=100),M49*5%,M49*8%))))</f>
        <v>66.08</v>
      </c>
      <c r="M63" s="24">
        <f ca="1">ROUND(L63,1)</f>
        <v>66.099999999999994</v>
      </c>
      <c r="Z63" s="2418"/>
      <c r="AI63" s="2419"/>
    </row>
    <row r="64" spans="1:35" ht="14.25" customHeight="1">
      <c r="A64" s="197" t="s">
        <v>769</v>
      </c>
      <c r="B64" s="198" t="s">
        <v>2197</v>
      </c>
      <c r="C64" s="199">
        <f ca="1">D45</f>
        <v>6608</v>
      </c>
      <c r="D64" s="200" t="s">
        <v>32</v>
      </c>
      <c r="E64" s="201"/>
      <c r="F64" s="2484"/>
      <c r="G64" s="2484"/>
      <c r="H64" s="2492"/>
      <c r="I64" s="138"/>
      <c r="J64" s="3170"/>
      <c r="K64" s="2952" t="s">
        <v>2198</v>
      </c>
      <c r="L64" s="1748">
        <f ca="1">IF(M49&gt;2000,M49*0.5%,IF(AND(M49&gt;1000,M49&lt;=2000),M49*0.6%,IF(AND(M49&gt;500,M49&lt;=1000),M49*0.7%,IF(AND(M49&gt;200,M49&lt;=500),M49*0.8%,IF(AND(M49&gt;100,M49&lt;=200),M49*0.9%,IF(AND(M49&gt;50,M49&lt;=100),M49*1%,IF(AND(M49&gt;20,M49&lt;=50),M49*1.5%,IF(AND(M49&gt;10,M49&lt;=20),M49*2%,IF(AND(M49&gt;1,M49&lt;=10),M49*2.5%)))))))))</f>
        <v>33.04</v>
      </c>
      <c r="M64" s="24">
        <f t="shared" ref="M64:M65" ca="1" si="1">ROUND(L64,1)</f>
        <v>33</v>
      </c>
      <c r="N64" s="138" t="s">
        <v>2199</v>
      </c>
      <c r="Z64" s="2418"/>
      <c r="AI64" s="2419"/>
    </row>
    <row r="65" spans="1:35" ht="14.25" customHeight="1">
      <c r="A65" s="197" t="s">
        <v>770</v>
      </c>
      <c r="B65" s="198" t="s">
        <v>2200</v>
      </c>
      <c r="C65" s="202"/>
      <c r="D65" s="200"/>
      <c r="E65" s="201"/>
      <c r="F65" s="2484"/>
      <c r="G65" s="2484"/>
      <c r="H65" s="2492"/>
      <c r="I65" s="138"/>
      <c r="J65" s="3170"/>
      <c r="K65" s="2952" t="s">
        <v>2201</v>
      </c>
      <c r="L65" s="1748">
        <f ca="1">IF(M49&gt;1000,M49*0.1%,IF(AND(M49&gt;500,M49&lt;=1000),M49*0.5%,IF(AND(M49&gt;50,M49&lt;=500),M49*1%,IF(AND(M49&gt;1,M49&lt;=50),M49*1.5%))))</f>
        <v>6.6080000000000005</v>
      </c>
      <c r="M65" s="24">
        <f t="shared" ca="1" si="1"/>
        <v>6.6</v>
      </c>
      <c r="N65" s="138" t="s">
        <v>2199</v>
      </c>
      <c r="Z65" s="2418"/>
      <c r="AI65" s="2419"/>
    </row>
    <row r="66" spans="1:35" ht="14.25" customHeight="1">
      <c r="A66" s="203" t="s">
        <v>771</v>
      </c>
      <c r="B66" s="204" t="s">
        <v>2202</v>
      </c>
      <c r="C66" s="205"/>
      <c r="D66" s="206" t="s">
        <v>32</v>
      </c>
      <c r="E66" s="1772" t="s">
        <v>1363</v>
      </c>
      <c r="F66" s="2484"/>
      <c r="G66" s="2484"/>
      <c r="H66" s="2492"/>
      <c r="I66" s="138"/>
      <c r="J66" s="3170"/>
      <c r="K66" s="2952" t="s">
        <v>2203</v>
      </c>
      <c r="L66" s="1748">
        <f ca="1">M49*0.5%</f>
        <v>33.04</v>
      </c>
      <c r="M66" s="24">
        <f ca="1">IF(L66&gt;0.5,0.5,ROUND(L66,0))</f>
        <v>0.5</v>
      </c>
      <c r="N66" s="138" t="s">
        <v>2204</v>
      </c>
      <c r="Z66" s="2418"/>
      <c r="AI66" s="2419"/>
    </row>
    <row r="67" spans="1:35" ht="14.25" customHeight="1">
      <c r="A67" s="203" t="s">
        <v>772</v>
      </c>
      <c r="B67" s="204" t="s">
        <v>2205</v>
      </c>
      <c r="C67" s="207">
        <f ca="1">C63-C66</f>
        <v>6293</v>
      </c>
      <c r="D67" s="200" t="s">
        <v>32</v>
      </c>
      <c r="E67" s="201"/>
      <c r="F67" s="2484"/>
      <c r="G67" s="2484"/>
      <c r="H67" s="2492"/>
      <c r="I67" s="138"/>
      <c r="J67" s="3170"/>
      <c r="K67" s="2952" t="s">
        <v>2206</v>
      </c>
      <c r="L67" s="1748">
        <f ca="1">IF(M49&gt;=10000,(8.25+(M49-10000)*0.01%),IF(AND(M49&gt;=8000,M49&lt;10000),(7.85+(M49-8000)*0.02%),IF(AND(M49&gt;=5000,M49&lt;8000),(6.65+(M49-5000)*0.04%),IF(AND(M49&gt;=2000,M49&lt;5000),(4.25+(PM49-2000)*0.08%),IF(AND(M49&gt;=1000,M49&lt;2000),(2.75+(M49-1000)*0.15%),IF(AND(M49&gt;=100,M49&lt;1000),(0.5+(M49-100)*0.25%),IF(AND(M49&gt;0,M49&lt;100),M49*0.5%)))))))</f>
        <v>7.2932000000000006</v>
      </c>
      <c r="M67" s="24">
        <f ca="1">ROUND(L67*0.9,1)</f>
        <v>6.6</v>
      </c>
      <c r="Z67" s="2418"/>
      <c r="AI67" s="2419"/>
    </row>
    <row r="68" spans="1:35" ht="14.25" customHeight="1" thickBot="1">
      <c r="A68" s="208" t="s">
        <v>773</v>
      </c>
      <c r="B68" s="209" t="s">
        <v>2207</v>
      </c>
      <c r="C68" s="210">
        <f ca="1">IF(C67&lt;=0,0,ROUND(C67*D68,0))</f>
        <v>346</v>
      </c>
      <c r="D68" s="211">
        <f>'数据-取费表'!B41</f>
        <v>5.5000000000000007E-2</v>
      </c>
      <c r="E68" s="212"/>
      <c r="F68" s="2484"/>
      <c r="G68" s="2484"/>
      <c r="H68" s="2492"/>
      <c r="I68" s="138"/>
      <c r="J68" s="3170"/>
      <c r="K68" s="2952" t="s">
        <v>2208</v>
      </c>
      <c r="L68" s="1748">
        <f ca="1">IF(M49&gt;10000,M49*0.5%,IF(AND(M49&gt;5000,M49&lt;=10000),M49*1%,IF(AND(M49&gt;1000,M49&lt;=5000),M49*2%,IF(AND(M49&gt;200,M49&lt;=1000),M49*3%,M49*5%))))</f>
        <v>66.08</v>
      </c>
      <c r="M68" s="24">
        <f ca="1">ROUND(L68,1)</f>
        <v>66.099999999999994</v>
      </c>
      <c r="Z68" s="2418"/>
      <c r="AI68" s="2419"/>
    </row>
    <row r="69" spans="1:35" s="2441" customFormat="1" ht="16.5" customHeight="1">
      <c r="A69" s="2495"/>
      <c r="B69" s="2496"/>
      <c r="C69" s="2497"/>
      <c r="D69" s="2498"/>
      <c r="E69" s="2499"/>
      <c r="F69" s="2163"/>
      <c r="G69" s="2163"/>
      <c r="H69" s="2162"/>
      <c r="I69" s="2413"/>
      <c r="J69" s="3170"/>
      <c r="K69" s="2952" t="s">
        <v>2209</v>
      </c>
      <c r="L69" s="2500"/>
      <c r="M69" s="24">
        <f ca="1">ROUND(SUM(M63:M68),0)</f>
        <v>179</v>
      </c>
      <c r="N69" s="1749">
        <f ca="1">M69/M49</f>
        <v>2.7088377723970946E-2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29" t="s">
        <v>2210</v>
      </c>
      <c r="B70" s="3130"/>
      <c r="C70" s="3130"/>
      <c r="D70" s="3130"/>
      <c r="E70" s="3130"/>
      <c r="F70" s="3130"/>
      <c r="G70" s="3130"/>
      <c r="H70" s="313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8" t="s">
        <v>2191</v>
      </c>
      <c r="B71" s="3109"/>
      <c r="C71" s="2961"/>
      <c r="D71" s="2961"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6293</v>
      </c>
      <c r="D72" s="200" t="s">
        <v>32</v>
      </c>
      <c r="E72" s="2963"/>
      <c r="F72" s="2962"/>
      <c r="G72" s="296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31</v>
      </c>
      <c r="D73" s="200" t="s">
        <v>32</v>
      </c>
      <c r="E73" s="2963"/>
      <c r="F73" s="2962"/>
      <c r="G73" s="296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2963"/>
      <c r="F74" s="2962"/>
      <c r="G74" s="296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03" t="s">
        <v>2219</v>
      </c>
      <c r="F76" s="3080"/>
      <c r="G76" s="3080"/>
      <c r="H76" s="312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2953" t="s">
        <v>2221</v>
      </c>
      <c r="F77" s="224"/>
      <c r="G77" s="2508" t="s">
        <v>2222</v>
      </c>
      <c r="H77" s="296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31</v>
      </c>
      <c r="D78" s="226">
        <f>'数据-取费表'!B43</f>
        <v>5.000000000000001E-3</v>
      </c>
      <c r="E78" s="3089" t="s">
        <v>2224</v>
      </c>
      <c r="F78" s="3090"/>
      <c r="G78" s="3090"/>
      <c r="H78" s="309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6262</v>
      </c>
      <c r="D79" s="200" t="s">
        <v>32</v>
      </c>
      <c r="E79" s="2963"/>
      <c r="F79" s="2962"/>
      <c r="G79" s="296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202</v>
      </c>
      <c r="D80" s="200" t="s">
        <v>32</v>
      </c>
      <c r="E80" s="2953"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3746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29" t="s">
        <v>2228</v>
      </c>
      <c r="B83" s="3130"/>
      <c r="C83" s="3130"/>
      <c r="D83" s="3130"/>
      <c r="E83" s="3130"/>
      <c r="F83" s="3130"/>
      <c r="G83" s="3130"/>
      <c r="H83" s="313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8" t="s">
        <v>2191</v>
      </c>
      <c r="B84" s="3109"/>
      <c r="C84" s="2961"/>
      <c r="D84" s="2961"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6293</v>
      </c>
      <c r="D85" s="200" t="s">
        <v>32</v>
      </c>
      <c r="E85" s="2963"/>
      <c r="F85" s="2962"/>
      <c r="G85" s="296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31</v>
      </c>
      <c r="D86" s="235"/>
      <c r="E86" s="2963"/>
      <c r="F86" s="2962"/>
      <c r="G86" s="296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2958"/>
      <c r="F87" s="2959"/>
      <c r="G87" s="2959"/>
      <c r="H87" s="296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2959"/>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2959"/>
      <c r="G89" s="2959"/>
      <c r="H89" s="296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2959"/>
      <c r="G90" s="2959"/>
      <c r="H90" s="296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089" t="s">
        <v>2237</v>
      </c>
      <c r="F91" s="3090"/>
      <c r="G91" s="3090"/>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089" t="s">
        <v>2241</v>
      </c>
      <c r="F92" s="3090"/>
      <c r="G92" s="3090"/>
      <c r="H92" s="309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31</v>
      </c>
      <c r="D93" s="226">
        <f>'数据-取费表'!B43</f>
        <v>5.000000000000001E-3</v>
      </c>
      <c r="E93" s="3089" t="s">
        <v>2224</v>
      </c>
      <c r="F93" s="3090"/>
      <c r="G93" s="3090"/>
      <c r="H93" s="309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00" t="s">
        <v>2245</v>
      </c>
      <c r="F94" s="3101"/>
      <c r="G94" s="3101"/>
      <c r="H94" s="310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6262</v>
      </c>
      <c r="D95" s="200" t="s">
        <v>32</v>
      </c>
      <c r="E95" s="2963"/>
      <c r="F95" s="2962"/>
      <c r="G95" s="296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202</v>
      </c>
      <c r="D96" s="200" t="s">
        <v>32</v>
      </c>
      <c r="E96" s="2953"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3746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091"/>
      <c r="E100" s="3075" t="s">
        <v>2248</v>
      </c>
      <c r="F100" s="3075"/>
      <c r="G100" s="3075"/>
      <c r="H100" s="3091"/>
      <c r="I100" s="138"/>
    </row>
    <row r="101" spans="1:35" ht="18.75" customHeight="1">
      <c r="A101" s="3153" t="s">
        <v>2249</v>
      </c>
      <c r="B101" s="3154"/>
      <c r="C101" s="735" t="str">
        <f>C4</f>
        <v>比较法-商业</v>
      </c>
      <c r="D101" s="736" t="str">
        <f>D4</f>
        <v>收益法-商业</v>
      </c>
      <c r="E101" s="3167" t="s">
        <v>2250</v>
      </c>
      <c r="F101" s="3121"/>
      <c r="G101" s="2515" t="s">
        <v>2251</v>
      </c>
      <c r="H101" s="1044">
        <f ca="1">H118</f>
        <v>6608</v>
      </c>
      <c r="I101" s="138"/>
    </row>
    <row r="102" spans="1:35" ht="18.75" customHeight="1">
      <c r="A102" s="3123" t="s">
        <v>2252</v>
      </c>
      <c r="B102" s="2515" t="s">
        <v>2251</v>
      </c>
      <c r="C102" s="735">
        <f ca="1">C19</f>
        <v>6705</v>
      </c>
      <c r="D102" s="736">
        <f ca="1">D19</f>
        <v>6510</v>
      </c>
      <c r="E102" s="3167"/>
      <c r="F102" s="3121"/>
      <c r="G102" s="2515" t="s">
        <v>2253</v>
      </c>
      <c r="H102" s="371">
        <f ca="1">I118</f>
        <v>10200</v>
      </c>
      <c r="I102" s="138"/>
    </row>
    <row r="103" spans="1:35" ht="42.75" customHeight="1">
      <c r="A103" s="3123"/>
      <c r="B103" s="2515" t="s">
        <v>2253</v>
      </c>
      <c r="C103" s="737">
        <f ca="1">C20</f>
        <v>10350</v>
      </c>
      <c r="D103" s="738">
        <f ca="1">D20</f>
        <v>10049</v>
      </c>
      <c r="E103" s="3162" t="s">
        <v>2254</v>
      </c>
      <c r="F103" s="3163"/>
      <c r="G103" s="2516" t="s">
        <v>2255</v>
      </c>
      <c r="H103" s="1044">
        <f>IF(D36="正常操作",H104+H105+H106,H105+H106)</f>
        <v>0</v>
      </c>
      <c r="I103" s="138"/>
    </row>
    <row r="104" spans="1:35" ht="18.75" customHeight="1">
      <c r="A104" s="3123" t="s">
        <v>2256</v>
      </c>
      <c r="B104" s="2517" t="s">
        <v>2251</v>
      </c>
      <c r="C104" s="739">
        <f ca="1">H118</f>
        <v>6608</v>
      </c>
      <c r="D104" s="740"/>
      <c r="E104" s="2264" t="s">
        <v>2257</v>
      </c>
      <c r="F104" s="2255"/>
      <c r="G104" s="2516" t="s">
        <v>2255</v>
      </c>
      <c r="H104" s="1045">
        <f>IF(D36="同一抵押权人同一抵押物续贷",C36&amp;"（未扣减，详见特别提示）",C36)</f>
        <v>0</v>
      </c>
      <c r="I104" s="138"/>
    </row>
    <row r="105" spans="1:35" ht="18.75" customHeight="1" thickBot="1">
      <c r="A105" s="3124"/>
      <c r="B105" s="2518" t="s">
        <v>2253</v>
      </c>
      <c r="C105" s="741">
        <f ca="1">I118</f>
        <v>10200</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20" t="str">
        <f>IF(项目基本情况!E8="已注销","——","3.房地产抵押价值")</f>
        <v>3.房地产抵押价值</v>
      </c>
      <c r="F107" s="3121"/>
      <c r="G107" s="2515" t="s">
        <v>2251</v>
      </c>
      <c r="H107" s="1044">
        <f ca="1">IF(E107="——","——",H101-H103)</f>
        <v>6608</v>
      </c>
      <c r="I107" s="138"/>
    </row>
    <row r="108" spans="1:35" ht="18.75" customHeight="1">
      <c r="A108" s="138"/>
      <c r="B108" s="138"/>
      <c r="C108" s="138"/>
      <c r="D108" s="138"/>
      <c r="E108" s="3120"/>
      <c r="F108" s="3121"/>
      <c r="G108" s="2515" t="s">
        <v>2253</v>
      </c>
      <c r="H108" s="371">
        <f ca="1">ROUND(H107*10000/'数据-汇总表'!E3,0)</f>
        <v>7356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5" t="s">
        <v>2251</v>
      </c>
      <c r="H109" s="348" t="str">
        <f>IF(E109="——","——",H101-H105-H106)</f>
        <v>——</v>
      </c>
      <c r="I109" s="138"/>
    </row>
    <row r="110" spans="1:35" ht="18.75" customHeight="1">
      <c r="A110" s="138"/>
      <c r="B110" s="138"/>
      <c r="C110" s="138"/>
      <c r="D110" s="138"/>
      <c r="E110" s="3120"/>
      <c r="F110" s="3121"/>
      <c r="G110" s="2515" t="s">
        <v>2253</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5" t="s">
        <v>2251</v>
      </c>
      <c r="H111" s="1044" t="str">
        <f>IF(E111="——","——",N59)</f>
        <v>——</v>
      </c>
      <c r="I111" s="138"/>
    </row>
    <row r="112" spans="1:35" ht="18.75" customHeight="1" thickBot="1">
      <c r="A112" s="138"/>
      <c r="B112" s="138"/>
      <c r="C112" s="138"/>
      <c r="D112" s="138"/>
      <c r="E112" s="3157"/>
      <c r="F112" s="3158"/>
      <c r="G112" s="2520" t="s">
        <v>2253</v>
      </c>
      <c r="H112" s="789" t="str">
        <f>IF(E111="——","——",N61)</f>
        <v>——</v>
      </c>
      <c r="I112" s="138"/>
    </row>
    <row r="113" spans="1:11" ht="18.75" customHeight="1">
      <c r="A113" s="138"/>
      <c r="B113" s="138"/>
      <c r="C113" s="138"/>
      <c r="D113" s="138"/>
      <c r="E113" s="3125" t="s">
        <v>2259</v>
      </c>
      <c r="F113" s="3125"/>
      <c r="G113" s="3125"/>
      <c r="H113" s="3125"/>
      <c r="I113" s="138"/>
    </row>
    <row r="114" spans="1:11" ht="3.75" customHeight="1">
      <c r="A114" s="2413"/>
      <c r="B114" s="2413"/>
      <c r="C114" s="2413"/>
      <c r="D114" s="2413"/>
      <c r="E114" s="2491"/>
      <c r="F114" s="2491"/>
      <c r="G114" s="2491"/>
      <c r="H114" s="2491"/>
      <c r="I114" s="2413"/>
    </row>
    <row r="115" spans="1:11" ht="18.75" customHeight="1">
      <c r="A115" s="3138" t="s">
        <v>2261</v>
      </c>
      <c r="B115" s="3139"/>
      <c r="C115" s="3139"/>
      <c r="D115" s="3139"/>
      <c r="E115" s="3139"/>
      <c r="F115" s="3139"/>
      <c r="G115" s="3139"/>
      <c r="H115" s="3139"/>
      <c r="I115" s="3140"/>
    </row>
    <row r="116" spans="1:11" ht="27" customHeight="1">
      <c r="A116" s="3031" t="s">
        <v>2262</v>
      </c>
      <c r="B116" s="3126" t="s">
        <v>2263</v>
      </c>
      <c r="C116" s="3126" t="s">
        <v>2264</v>
      </c>
      <c r="D116" s="3142" t="s">
        <v>2265</v>
      </c>
      <c r="E116" s="3143"/>
      <c r="F116" s="3134" t="s">
        <v>2266</v>
      </c>
      <c r="G116" s="3134"/>
      <c r="H116" s="3031" t="s">
        <v>2267</v>
      </c>
      <c r="I116" s="3031"/>
    </row>
    <row r="117" spans="1:11" ht="18.75" customHeight="1">
      <c r="A117" s="3031"/>
      <c r="B117" s="3127"/>
      <c r="C117" s="3127"/>
      <c r="D117" s="2948" t="s">
        <v>2268</v>
      </c>
      <c r="E117" s="2948" t="s">
        <v>2269</v>
      </c>
      <c r="F117" s="2948" t="s">
        <v>2268</v>
      </c>
      <c r="G117" s="2948" t="s">
        <v>2270</v>
      </c>
      <c r="H117" s="2948" t="s">
        <v>2268</v>
      </c>
      <c r="I117" s="2948" t="s">
        <v>2270</v>
      </c>
    </row>
    <row r="118" spans="1:11" ht="24.75" customHeight="1">
      <c r="A118" s="2521" t="str">
        <f>项目基本情况!S2</f>
        <v>四川省遂宁市圣莲岛（仁里镇猫儿洲）棚户区改造项目房地产</v>
      </c>
      <c r="B118" s="2948">
        <f>M18</f>
        <v>6478.43</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6608</v>
      </c>
      <c r="I118" s="2948">
        <f ca="1">ROUND(IF(D32="楼面单价",C32,H118*10000/B118),0)</f>
        <v>10200</v>
      </c>
    </row>
    <row r="119" spans="1:11" ht="18.75" customHeight="1">
      <c r="A119" s="3031" t="s">
        <v>2271</v>
      </c>
      <c r="B119" s="3031"/>
      <c r="C119" s="3031"/>
      <c r="D119" s="3131" t="e">
        <f ca="1">NUMBERSTRING(INT(D118*10000),2)&amp;"元整"</f>
        <v>#REF!</v>
      </c>
      <c r="E119" s="3133"/>
      <c r="F119" s="3131" t="e">
        <f ca="1">NUMBERSTRING(INT(F118*10000),2)&amp;"元整"</f>
        <v>#REF!</v>
      </c>
      <c r="G119" s="3133"/>
      <c r="H119" s="3131" t="str">
        <f ca="1">NUMBERSTRING(INT(H118*10000),2)&amp;"元整"</f>
        <v>陆仟陆佰零捌万元整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18" t="str">
        <f>IF(D120=0,"故，本次评估不存在"&amp;A120,"故，本次评估"&amp;A120&amp;"为人民币"&amp;D120&amp;"万元整。")</f>
        <v>故，本次评估不存在估价师知悉的法定优先受偿款</v>
      </c>
    </row>
    <row r="121" spans="1:11" ht="18.75" customHeight="1">
      <c r="A121" s="3135" t="s">
        <v>2271</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6608</v>
      </c>
      <c r="E122" s="3160"/>
      <c r="F122" s="3160"/>
      <c r="G122" s="3160"/>
      <c r="H122" s="3160"/>
      <c r="I122" s="3161"/>
    </row>
    <row r="123" spans="1:11" ht="18.75" customHeight="1">
      <c r="A123" s="3031" t="s">
        <v>2271</v>
      </c>
      <c r="B123" s="3031"/>
      <c r="C123" s="3031"/>
      <c r="D123" s="3131" t="str">
        <f ca="1">NUMBERSTRING(INT(D122*10000),2)&amp;"元整"</f>
        <v>陆仟陆佰零捌万元整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2271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2271</v>
      </c>
      <c r="B127" s="3031"/>
      <c r="C127" s="3031"/>
      <c r="D127" s="3131" t="e">
        <f>NUMBERSTRING(INT(D126*10000),2)&amp;"元整"</f>
        <v>#VALUE!</v>
      </c>
      <c r="E127" s="3132"/>
      <c r="F127" s="3132"/>
      <c r="G127" s="3132"/>
      <c r="H127" s="3132"/>
      <c r="I127" s="3133"/>
    </row>
    <row r="128" spans="1:11" ht="21.75" customHeight="1">
      <c r="A128" s="3141" t="s">
        <v>2272</v>
      </c>
      <c r="B128" s="3141"/>
      <c r="C128" s="3141"/>
      <c r="D128" s="3141"/>
      <c r="E128" s="3141"/>
      <c r="F128" s="3141"/>
      <c r="G128" s="3141"/>
      <c r="H128" s="3141"/>
      <c r="I128" s="314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2"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0" zoomScaleNormal="80" workbookViewId="0">
      <selection activeCell="K17" sqref="K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7">
        <f>IF(C2="——",ROUND(C49*D3/10000,0),ROUND(C49*D3/10000,0)-D2)</f>
        <v>2155</v>
      </c>
      <c r="C2" s="2583" t="s">
        <v>70</v>
      </c>
      <c r="D2" s="1364" t="e">
        <f ca="1">SUMIF(INDIRECT("'"&amp;F2&amp;"'"&amp;"!A:A"),"承租人权益价值",INDIRECT("'"&amp;F2&amp;"'"&amp;"!c:c"))</f>
        <v>#REF!</v>
      </c>
      <c r="E2" s="2584" t="s">
        <v>2487</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8604</v>
      </c>
      <c r="C3" s="400" t="s">
        <v>2488</v>
      </c>
      <c r="D3" s="399">
        <f>IF(D1="",'数据-汇总表'!E3,SUMIF('数据-汇总表'!$C19:$C33,D1,'数据-汇总表'!$E19:$E33))</f>
        <v>2504.4</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2489</v>
      </c>
      <c r="B4" s="402"/>
      <c r="C4" s="3194" t="s">
        <v>2490</v>
      </c>
      <c r="D4" s="3195"/>
      <c r="E4" s="3196" t="s">
        <v>2491</v>
      </c>
      <c r="F4" s="3197"/>
      <c r="G4" s="3194" t="s">
        <v>2492</v>
      </c>
      <c r="H4" s="3195"/>
      <c r="I4" s="3194" t="s">
        <v>2493</v>
      </c>
      <c r="J4" s="3195"/>
      <c r="K4" s="2593" t="s">
        <v>2494</v>
      </c>
      <c r="L4" s="1129"/>
      <c r="M4" s="1130"/>
      <c r="N4" s="1130"/>
      <c r="O4" s="1130"/>
      <c r="P4" s="3198" t="s">
        <v>2495</v>
      </c>
      <c r="Q4" s="3199"/>
      <c r="R4" s="3204" t="s">
        <v>2491</v>
      </c>
      <c r="S4" s="3205"/>
      <c r="T4" s="3204" t="s">
        <v>2492</v>
      </c>
      <c r="U4" s="3205"/>
      <c r="V4" s="3210" t="s">
        <v>2493</v>
      </c>
      <c r="W4" s="3210"/>
      <c r="X4" s="1812"/>
      <c r="Y4" s="3204" t="s">
        <v>2495</v>
      </c>
      <c r="Z4" s="3205"/>
      <c r="AA4" s="3191" t="s">
        <v>2491</v>
      </c>
      <c r="AB4" s="3191" t="s">
        <v>2492</v>
      </c>
      <c r="AC4" s="3191" t="s">
        <v>2493</v>
      </c>
    </row>
    <row r="5" spans="1:29" ht="15">
      <c r="A5" s="404"/>
      <c r="B5" s="405"/>
      <c r="C5" s="3218" t="s">
        <v>2496</v>
      </c>
      <c r="D5" s="3214"/>
      <c r="E5" s="3221" t="s">
        <v>3099</v>
      </c>
      <c r="F5" s="3222"/>
      <c r="G5" s="3213" t="s">
        <v>3100</v>
      </c>
      <c r="H5" s="3214"/>
      <c r="I5" s="3213" t="s">
        <v>3101</v>
      </c>
      <c r="J5" s="3214"/>
      <c r="K5" s="2594"/>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2594"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f>C7</f>
        <v>43641</v>
      </c>
      <c r="F7" s="413">
        <f>SUMIF(58:58,YEAR(E7)&amp;"-"&amp;MONTH(E7),59:59)</f>
        <v>100</v>
      </c>
      <c r="G7" s="2693">
        <f>C7</f>
        <v>43641</v>
      </c>
      <c r="H7" s="411">
        <f>SUMIF(58:58,YEAR(G7)&amp;"-"&amp;MONTH(G7),59:59)</f>
        <v>100</v>
      </c>
      <c r="I7" s="412">
        <v>43641</v>
      </c>
      <c r="J7" s="411">
        <f>SUMIF(58:58,YEAR(I7)&amp;"-"&amp;MONTH(I7),59:59)</f>
        <v>100</v>
      </c>
      <c r="K7" s="2595"/>
      <c r="L7" s="1131"/>
      <c r="M7" s="1132"/>
      <c r="N7" s="1132"/>
      <c r="O7" s="1132"/>
      <c r="P7" s="3215" t="s">
        <v>2503</v>
      </c>
      <c r="Q7" s="3217"/>
      <c r="R7" s="769" t="s">
        <v>23</v>
      </c>
      <c r="S7" s="770">
        <f t="shared" ref="S7:S15" si="0">F7</f>
        <v>100</v>
      </c>
      <c r="T7" s="769" t="s">
        <v>23</v>
      </c>
      <c r="U7" s="770">
        <f t="shared" ref="U7:U15" si="1">H7</f>
        <v>100</v>
      </c>
      <c r="V7" s="769" t="s">
        <v>23</v>
      </c>
      <c r="W7" s="770">
        <f t="shared" ref="W7:W15" si="2">J7</f>
        <v>100</v>
      </c>
      <c r="X7" s="771"/>
      <c r="Y7" s="3215" t="s">
        <v>2503</v>
      </c>
      <c r="Z7" s="3216"/>
      <c r="AA7" s="772">
        <f>D7/F7</f>
        <v>1</v>
      </c>
      <c r="AB7" s="772">
        <f>D7/H7</f>
        <v>1</v>
      </c>
      <c r="AC7" s="772">
        <f>D7/J7</f>
        <v>1</v>
      </c>
    </row>
    <row r="8" spans="1:29" s="117" customFormat="1" ht="15.75" thickBot="1">
      <c r="A8" s="408" t="s">
        <v>2504</v>
      </c>
      <c r="B8" s="409"/>
      <c r="C8" s="414" t="s">
        <v>2505</v>
      </c>
      <c r="D8" s="411">
        <v>100</v>
      </c>
      <c r="E8" s="2596" t="s">
        <v>3036</v>
      </c>
      <c r="F8" s="413">
        <f>SUMIF(61:61,E8,62:62)-SUMIF(61:61,C8,62:62)+100</f>
        <v>100</v>
      </c>
      <c r="G8" s="2596" t="s">
        <v>3036</v>
      </c>
      <c r="H8" s="411">
        <f>SUMIF(61:61,G8,62:62)-SUMIF(61:61,C8,62:62)+100</f>
        <v>100</v>
      </c>
      <c r="I8" s="2596" t="s">
        <v>3036</v>
      </c>
      <c r="J8" s="411">
        <f>SUMIF(61:61,I8,62:62)-SUMIF(61:61,C8,62:62)+100</f>
        <v>100</v>
      </c>
      <c r="K8" s="2595"/>
      <c r="L8" s="1131"/>
      <c r="M8" s="1132"/>
      <c r="N8" s="1132"/>
      <c r="O8" s="1132"/>
      <c r="P8" s="3215" t="s">
        <v>2506</v>
      </c>
      <c r="Q8" s="3216"/>
      <c r="R8" s="769" t="s">
        <v>23</v>
      </c>
      <c r="S8" s="770">
        <f t="shared" si="0"/>
        <v>100</v>
      </c>
      <c r="T8" s="769" t="s">
        <v>23</v>
      </c>
      <c r="U8" s="770">
        <f t="shared" si="1"/>
        <v>100</v>
      </c>
      <c r="V8" s="769" t="s">
        <v>23</v>
      </c>
      <c r="W8" s="770">
        <f t="shared" si="2"/>
        <v>100</v>
      </c>
      <c r="X8" s="771"/>
      <c r="Y8" s="3215" t="s">
        <v>2506</v>
      </c>
      <c r="Z8" s="3216"/>
      <c r="AA8" s="772">
        <f t="shared" ref="AA8:AA19" si="3">D8/F8</f>
        <v>1</v>
      </c>
      <c r="AB8" s="772">
        <f t="shared" ref="AB8:AB19" si="4">D8/H8</f>
        <v>1</v>
      </c>
      <c r="AC8" s="772">
        <f t="shared" ref="AC8:AC19" si="5">D8/J8</f>
        <v>1</v>
      </c>
    </row>
    <row r="9" spans="1:29" s="117" customFormat="1">
      <c r="A9" s="415" t="s">
        <v>2507</v>
      </c>
      <c r="B9" s="71" t="s">
        <v>2508</v>
      </c>
      <c r="C9" s="2967" t="s">
        <v>3034</v>
      </c>
      <c r="D9" s="135">
        <v>100</v>
      </c>
      <c r="E9" s="417" t="s">
        <v>3021</v>
      </c>
      <c r="F9" s="418">
        <f>SUMIF(63:63,E9,64:64)-SUMIF(63:63,C9,64:64)+100</f>
        <v>100</v>
      </c>
      <c r="G9" s="417" t="s">
        <v>3021</v>
      </c>
      <c r="H9" s="135">
        <f>SUMIF(63:63,G9,64:64)-SUMIF(63:63,C9,64:64)+100</f>
        <v>100</v>
      </c>
      <c r="I9" s="417" t="s">
        <v>3021</v>
      </c>
      <c r="J9" s="135">
        <f>SUMIF(63:63,I9,64:64)-SUMIF(63:63,C9,64:64)+100</f>
        <v>100</v>
      </c>
      <c r="K9" s="2595"/>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t="s">
        <v>3090</v>
      </c>
      <c r="D10" s="136">
        <v>100</v>
      </c>
      <c r="E10" s="424" t="s">
        <v>3090</v>
      </c>
      <c r="F10" s="425">
        <f>SUMIF(65:65,E10,66:66)-SUMIF(65:65,C10,66:66)+100</f>
        <v>100</v>
      </c>
      <c r="G10" s="424" t="s">
        <v>3090</v>
      </c>
      <c r="H10" s="136">
        <f>SUMIF(65:65,G10,66:66)-SUMIF(65:65,C10,66:66)+100</f>
        <v>100</v>
      </c>
      <c r="I10" s="424" t="s">
        <v>3090</v>
      </c>
      <c r="J10" s="136">
        <f>SUMIF(65:65,I10,66:66)-SUMIF(65:65,C10,66:66)+100</f>
        <v>100</v>
      </c>
      <c r="K10" s="426">
        <v>1</v>
      </c>
      <c r="L10" s="1134"/>
      <c r="M10" s="1135"/>
      <c r="N10" s="1135"/>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t="s">
        <v>3032</v>
      </c>
      <c r="D11" s="136">
        <v>100</v>
      </c>
      <c r="E11" s="430" t="s">
        <v>3098</v>
      </c>
      <c r="F11" s="425">
        <f>LOOKUP(E11,68:68,69:69)-LOOKUP(C11,68:68,69:69)+100</f>
        <v>100</v>
      </c>
      <c r="G11" s="429" t="s">
        <v>3098</v>
      </c>
      <c r="H11" s="136">
        <f>LOOKUP(G11,68:68,69:69)-LOOKUP(C11,68:68,69:69)+100</f>
        <v>100</v>
      </c>
      <c r="I11" s="430" t="s">
        <v>3098</v>
      </c>
      <c r="J11" s="136">
        <f>LOOKUP(I11,68:68,69:69)-LOOKUP(C11,68:68,69:69)+100</f>
        <v>100</v>
      </c>
      <c r="K11" s="426">
        <v>1</v>
      </c>
      <c r="L11" s="1137"/>
      <c r="M11" s="1130"/>
      <c r="N11" s="1130"/>
      <c r="O11" s="1130"/>
      <c r="P11" s="3190"/>
      <c r="Q11" s="1794" t="str">
        <f t="shared" si="6"/>
        <v>容积率</v>
      </c>
      <c r="R11" s="769" t="s">
        <v>21</v>
      </c>
      <c r="S11" s="770">
        <f t="shared" si="0"/>
        <v>100</v>
      </c>
      <c r="T11" s="769" t="s">
        <v>21</v>
      </c>
      <c r="U11" s="770">
        <f t="shared" si="1"/>
        <v>100</v>
      </c>
      <c r="V11" s="769" t="s">
        <v>21</v>
      </c>
      <c r="W11" s="770">
        <f t="shared" si="2"/>
        <v>100</v>
      </c>
      <c r="X11" s="771"/>
      <c r="Y11" s="3031"/>
      <c r="Z11" s="55" t="str">
        <f t="shared" si="7"/>
        <v>容积率</v>
      </c>
      <c r="AA11" s="772">
        <f t="shared" si="3"/>
        <v>1</v>
      </c>
      <c r="AB11" s="772">
        <f t="shared" si="4"/>
        <v>1</v>
      </c>
      <c r="AC11" s="772">
        <f t="shared" si="5"/>
        <v>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90"/>
      <c r="Q12" s="1794">
        <f t="shared" si="6"/>
        <v>0</v>
      </c>
      <c r="R12" s="769" t="s">
        <v>21</v>
      </c>
      <c r="S12" s="770">
        <f t="shared" si="0"/>
        <v>100</v>
      </c>
      <c r="T12" s="769" t="s">
        <v>21</v>
      </c>
      <c r="U12" s="770">
        <f t="shared" si="1"/>
        <v>100</v>
      </c>
      <c r="V12" s="769" t="s">
        <v>21</v>
      </c>
      <c r="W12" s="770">
        <f t="shared" si="2"/>
        <v>100</v>
      </c>
      <c r="X12" s="771"/>
      <c r="Y12" s="3031"/>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90"/>
      <c r="Q13" s="1794">
        <f t="shared" si="6"/>
        <v>0</v>
      </c>
      <c r="R13" s="769" t="s">
        <v>21</v>
      </c>
      <c r="S13" s="770">
        <f t="shared" si="0"/>
        <v>100</v>
      </c>
      <c r="T13" s="769" t="s">
        <v>21</v>
      </c>
      <c r="U13" s="770">
        <f t="shared" si="1"/>
        <v>100</v>
      </c>
      <c r="V13" s="769" t="s">
        <v>21</v>
      </c>
      <c r="W13" s="770">
        <f t="shared" si="2"/>
        <v>100</v>
      </c>
      <c r="X13" s="771"/>
      <c r="Y13" s="3031"/>
      <c r="Z13" s="55">
        <f t="shared" si="7"/>
        <v>0</v>
      </c>
      <c r="AA13" s="772">
        <f t="shared" si="3"/>
        <v>1</v>
      </c>
      <c r="AB13" s="772">
        <f t="shared" si="4"/>
        <v>1</v>
      </c>
      <c r="AC13" s="772">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90"/>
      <c r="Q14" s="1794">
        <f t="shared" si="6"/>
        <v>0</v>
      </c>
      <c r="R14" s="769" t="s">
        <v>21</v>
      </c>
      <c r="S14" s="770">
        <f t="shared" si="0"/>
        <v>100</v>
      </c>
      <c r="T14" s="769" t="s">
        <v>21</v>
      </c>
      <c r="U14" s="770">
        <f t="shared" si="1"/>
        <v>100</v>
      </c>
      <c r="V14" s="769" t="s">
        <v>21</v>
      </c>
      <c r="W14" s="770">
        <f t="shared" si="2"/>
        <v>100</v>
      </c>
      <c r="X14" s="771"/>
      <c r="Y14" s="3031"/>
      <c r="Z14" s="55">
        <f t="shared" si="7"/>
        <v>0</v>
      </c>
      <c r="AA14" s="772">
        <f t="shared" si="3"/>
        <v>1</v>
      </c>
      <c r="AB14" s="772">
        <f t="shared" si="4"/>
        <v>1</v>
      </c>
      <c r="AC14" s="772">
        <f t="shared" si="5"/>
        <v>1</v>
      </c>
    </row>
    <row r="15" spans="1:29" ht="104.25" customHeight="1">
      <c r="A15" s="440" t="s">
        <v>2513</v>
      </c>
      <c r="B15" s="69" t="s">
        <v>2047</v>
      </c>
      <c r="C15" s="2600" t="str">
        <f>估价对象房地状况!C3</f>
        <v>估价对象位于圣莲岛，周边居住用地比例一般、居住小区规模和社区发展完善程度一般，综合评价居住社区成熟度一般</v>
      </c>
      <c r="D15" s="441">
        <v>100</v>
      </c>
      <c r="E15" s="2982" t="s">
        <v>3091</v>
      </c>
      <c r="F15" s="441">
        <f>SUMIF(76:76,E16,77:77)-SUMIF(76:76,C16,77:77)+100</f>
        <v>102</v>
      </c>
      <c r="G15" s="444" t="s">
        <v>3102</v>
      </c>
      <c r="H15" s="441">
        <f>SUMIF(76:76,G16,77:77)-SUMIF(76:76,C16,77:77)+100</f>
        <v>102</v>
      </c>
      <c r="I15" s="444" t="s">
        <v>3102</v>
      </c>
      <c r="J15" s="441">
        <f>SUMIF(76:76,I16,77:77)-SUMIF(76:76,C16,77:77)+100</f>
        <v>102</v>
      </c>
      <c r="K15" s="445">
        <v>2</v>
      </c>
      <c r="L15" s="1139"/>
      <c r="M15" s="1130"/>
      <c r="N15" s="1130"/>
      <c r="O15" s="1130"/>
      <c r="P15" s="3188" t="s">
        <v>2514</v>
      </c>
      <c r="Q15" s="1809" t="str">
        <f t="shared" si="6"/>
        <v>居住社区成熟度</v>
      </c>
      <c r="R15" s="773" t="s">
        <v>21</v>
      </c>
      <c r="S15" s="774">
        <f t="shared" si="0"/>
        <v>102</v>
      </c>
      <c r="T15" s="773" t="s">
        <v>21</v>
      </c>
      <c r="U15" s="774">
        <f t="shared" si="1"/>
        <v>102</v>
      </c>
      <c r="V15" s="773" t="s">
        <v>21</v>
      </c>
      <c r="W15" s="774">
        <f t="shared" si="2"/>
        <v>102</v>
      </c>
      <c r="X15" s="1812"/>
      <c r="Y15" s="3181" t="s">
        <v>2514</v>
      </c>
      <c r="Z15" s="1813" t="str">
        <f t="shared" si="7"/>
        <v>居住社区成熟度</v>
      </c>
      <c r="AA15" s="1810">
        <f t="shared" si="3"/>
        <v>0.98039215686274506</v>
      </c>
      <c r="AB15" s="1810">
        <f t="shared" si="4"/>
        <v>0.98039215686274506</v>
      </c>
      <c r="AC15" s="1810">
        <f t="shared" si="5"/>
        <v>0.98039215686274506</v>
      </c>
    </row>
    <row r="16" spans="1:29" ht="15">
      <c r="A16" s="428"/>
      <c r="B16" s="446"/>
      <c r="C16" s="447" t="s">
        <v>3084</v>
      </c>
      <c r="D16" s="448"/>
      <c r="E16" s="2602" t="s">
        <v>3033</v>
      </c>
      <c r="F16" s="448"/>
      <c r="G16" s="2601" t="s">
        <v>3033</v>
      </c>
      <c r="H16" s="450"/>
      <c r="I16" s="2601" t="s">
        <v>3033</v>
      </c>
      <c r="J16" s="448"/>
      <c r="K16" s="2603"/>
      <c r="L16" s="1139"/>
      <c r="M16" s="1130"/>
      <c r="N16" s="1130"/>
      <c r="O16" s="1130"/>
      <c r="P16" s="3189"/>
      <c r="Q16" s="1809"/>
      <c r="R16" s="773"/>
      <c r="S16" s="774"/>
      <c r="T16" s="773"/>
      <c r="U16" s="774"/>
      <c r="V16" s="773"/>
      <c r="W16" s="774"/>
      <c r="X16" s="1812"/>
      <c r="Y16" s="3182"/>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3092</v>
      </c>
      <c r="F17" s="450">
        <f>SUMIF(78:78,E18,79:79)-SUMIF(78:78,C18,79:79)+100</f>
        <v>102</v>
      </c>
      <c r="G17" s="454" t="s">
        <v>3103</v>
      </c>
      <c r="H17" s="455">
        <f>SUMIF(78:78,G18,79:79)-SUMIF(78:78,C18,79:79)+100</f>
        <v>102</v>
      </c>
      <c r="I17" s="454" t="s">
        <v>3103</v>
      </c>
      <c r="J17" s="455">
        <f>SUMIF(78:78,I18,79:79)-SUMIF(78:78,C18,79:79)+100</f>
        <v>102</v>
      </c>
      <c r="K17" s="445">
        <v>1</v>
      </c>
      <c r="L17" s="1139"/>
      <c r="M17" s="1130"/>
      <c r="N17" s="1130"/>
      <c r="O17" s="1130"/>
      <c r="P17" s="3189"/>
      <c r="Q17" s="1809" t="str">
        <f>B17</f>
        <v>交通便捷度</v>
      </c>
      <c r="R17" s="773" t="s">
        <v>21</v>
      </c>
      <c r="S17" s="774">
        <f>F17</f>
        <v>102</v>
      </c>
      <c r="T17" s="773" t="s">
        <v>21</v>
      </c>
      <c r="U17" s="774">
        <f>H17</f>
        <v>102</v>
      </c>
      <c r="V17" s="773" t="s">
        <v>21</v>
      </c>
      <c r="W17" s="774">
        <f>J17</f>
        <v>102</v>
      </c>
      <c r="X17" s="1812"/>
      <c r="Y17" s="3182"/>
      <c r="Z17" s="1813" t="str">
        <f>Q17</f>
        <v>交通便捷度</v>
      </c>
      <c r="AA17" s="1810">
        <f t="shared" si="3"/>
        <v>0.98039215686274506</v>
      </c>
      <c r="AB17" s="1810">
        <f t="shared" si="4"/>
        <v>0.98039215686274506</v>
      </c>
      <c r="AC17" s="1810">
        <f t="shared" si="5"/>
        <v>0.98039215686274506</v>
      </c>
    </row>
    <row r="18" spans="1:29" ht="15">
      <c r="A18" s="428"/>
      <c r="B18" s="456"/>
      <c r="C18" s="2605" t="s">
        <v>3085</v>
      </c>
      <c r="D18" s="450"/>
      <c r="E18" s="2607" t="s">
        <v>3033</v>
      </c>
      <c r="F18" s="450"/>
      <c r="G18" s="2606" t="s">
        <v>3033</v>
      </c>
      <c r="H18" s="448"/>
      <c r="I18" s="2606" t="s">
        <v>3033</v>
      </c>
      <c r="J18" s="448"/>
      <c r="K18" s="2603"/>
      <c r="L18" s="1139"/>
      <c r="M18" s="1130"/>
      <c r="N18" s="1130"/>
      <c r="O18" s="1130"/>
      <c r="P18" s="3189"/>
      <c r="Q18" s="1809"/>
      <c r="R18" s="773"/>
      <c r="S18" s="774"/>
      <c r="T18" s="773"/>
      <c r="U18" s="774"/>
      <c r="V18" s="773"/>
      <c r="W18" s="774"/>
      <c r="X18" s="1812"/>
      <c r="Y18" s="3182"/>
      <c r="Z18" s="1813"/>
      <c r="AA18" s="1810">
        <v>1</v>
      </c>
      <c r="AB18" s="1810">
        <v>1</v>
      </c>
      <c r="AC18" s="1810">
        <v>1</v>
      </c>
    </row>
    <row r="19" spans="1:29" ht="42.75">
      <c r="A19" s="428"/>
      <c r="B19" s="451" t="s">
        <v>2052</v>
      </c>
      <c r="C19" s="2604" t="str">
        <f>估价对象房地状况!C7</f>
        <v>估价对象所在区域公共配套设施齐备情况较差</v>
      </c>
      <c r="D19" s="455">
        <v>100</v>
      </c>
      <c r="E19" s="2984" t="s">
        <v>3093</v>
      </c>
      <c r="F19" s="455">
        <f>SUMIF(80:80,E20,81:81)-SUMIF(80:80,C20,81:81)+100</f>
        <v>102</v>
      </c>
      <c r="G19" s="459" t="s">
        <v>3104</v>
      </c>
      <c r="H19" s="450">
        <f>SUMIF(80:80,G20,81:81)-SUMIF(80:80,C20,81:81)+100</f>
        <v>102</v>
      </c>
      <c r="I19" s="459" t="s">
        <v>3104</v>
      </c>
      <c r="J19" s="450">
        <f>SUMIF(80:80,I20,81:81)-SUMIF(80:80,C20,81:81)+100</f>
        <v>102</v>
      </c>
      <c r="K19" s="445">
        <v>1</v>
      </c>
      <c r="L19" s="1139"/>
      <c r="M19" s="1130"/>
      <c r="N19" s="1130"/>
      <c r="O19" s="1130"/>
      <c r="P19" s="3189"/>
      <c r="Q19" s="1809" t="str">
        <f>B19</f>
        <v>公共配套设施</v>
      </c>
      <c r="R19" s="773" t="s">
        <v>21</v>
      </c>
      <c r="S19" s="774">
        <f>F19</f>
        <v>102</v>
      </c>
      <c r="T19" s="773" t="s">
        <v>21</v>
      </c>
      <c r="U19" s="774">
        <f>H19</f>
        <v>102</v>
      </c>
      <c r="V19" s="773" t="s">
        <v>21</v>
      </c>
      <c r="W19" s="774">
        <f>J19</f>
        <v>102</v>
      </c>
      <c r="X19" s="1812"/>
      <c r="Y19" s="3182"/>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8"/>
      <c r="G20" s="2601" t="s">
        <v>3033</v>
      </c>
      <c r="H20" s="448"/>
      <c r="I20" s="2601" t="s">
        <v>3033</v>
      </c>
      <c r="J20" s="448"/>
      <c r="K20" s="2603"/>
      <c r="L20" s="1139"/>
      <c r="M20" s="1130"/>
      <c r="N20" s="1130"/>
      <c r="O20" s="1130"/>
      <c r="P20" s="3189"/>
      <c r="Q20" s="1809"/>
      <c r="R20" s="773"/>
      <c r="S20" s="774"/>
      <c r="T20" s="773"/>
      <c r="U20" s="774"/>
      <c r="V20" s="773"/>
      <c r="W20" s="774"/>
      <c r="X20" s="1812"/>
      <c r="Y20" s="3182"/>
      <c r="Z20" s="1813"/>
      <c r="AA20" s="1810">
        <v>1</v>
      </c>
      <c r="AB20" s="1810">
        <v>1</v>
      </c>
      <c r="AC20" s="1810">
        <v>1</v>
      </c>
    </row>
    <row r="21" spans="1:29" ht="42.75">
      <c r="A21" s="428"/>
      <c r="B21" s="1383" t="s">
        <v>2054</v>
      </c>
      <c r="C21" s="2604" t="str">
        <f>估价对象房地状况!C8</f>
        <v>估价对象所在区域基础设施水平较好</v>
      </c>
      <c r="D21" s="450">
        <v>100</v>
      </c>
      <c r="E21" s="459" t="s">
        <v>3094</v>
      </c>
      <c r="F21" s="455">
        <f>SUMIF(82:82,E22,83:83)-SUMIF(82:82,C22,83:83)+100</f>
        <v>100</v>
      </c>
      <c r="G21" s="459" t="s">
        <v>3094</v>
      </c>
      <c r="H21" s="450">
        <f>SUMIF(82:82,G22,83:83)-SUMIF(82:82,C22,83:83)+100</f>
        <v>100</v>
      </c>
      <c r="I21" s="459" t="s">
        <v>3094</v>
      </c>
      <c r="J21" s="450">
        <f>SUMIF(82:82,I22,83:83)-SUMIF(82:82,C22,83:83)+100</f>
        <v>100</v>
      </c>
      <c r="K21" s="445">
        <v>1</v>
      </c>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8"/>
      <c r="G22" s="447" t="s">
        <v>3035</v>
      </c>
      <c r="H22" s="448"/>
      <c r="I22" s="447" t="s">
        <v>3035</v>
      </c>
      <c r="J22" s="448"/>
      <c r="K22" s="2609"/>
      <c r="L22" s="1139"/>
      <c r="M22" s="1130"/>
      <c r="N22" s="1130"/>
      <c r="O22" s="1130"/>
      <c r="P22" s="3189"/>
      <c r="Q22" s="1809"/>
      <c r="R22" s="773"/>
      <c r="S22" s="774"/>
      <c r="T22" s="773"/>
      <c r="U22" s="774"/>
      <c r="V22" s="773"/>
      <c r="W22" s="774"/>
      <c r="X22" s="1812"/>
      <c r="Y22" s="3182"/>
      <c r="Z22" s="1813"/>
      <c r="AA22" s="1810">
        <v>1</v>
      </c>
      <c r="AB22" s="1810">
        <v>1</v>
      </c>
      <c r="AC22" s="1810">
        <v>1</v>
      </c>
    </row>
    <row r="23" spans="1:29" ht="71.25">
      <c r="A23" s="428"/>
      <c r="B23" s="451" t="s">
        <v>2056</v>
      </c>
      <c r="C23" s="2604" t="str">
        <f>估价对象房地状况!C9</f>
        <v>区域自然环境：较好；人文环境：一般；综合评价环境状况一般</v>
      </c>
      <c r="D23" s="450">
        <v>100</v>
      </c>
      <c r="E23" s="2983" t="s">
        <v>3095</v>
      </c>
      <c r="F23" s="450">
        <f>SUMIF(84:84,E24,85:85)-SUMIF(84:84,C24,85:85)+100</f>
        <v>101</v>
      </c>
      <c r="G23" s="454" t="s">
        <v>3105</v>
      </c>
      <c r="H23" s="450">
        <f>SUMIF(84:84,G24,85:85)-SUMIF(84:84,C24,85:85)+100</f>
        <v>101</v>
      </c>
      <c r="I23" s="454" t="s">
        <v>3105</v>
      </c>
      <c r="J23" s="450">
        <f>SUMIF(84:84,I24,85:85)-SUMIF(84:84,C24,85:85)+100</f>
        <v>101</v>
      </c>
      <c r="K23" s="445">
        <v>1</v>
      </c>
      <c r="L23" s="1139"/>
      <c r="M23" s="1130"/>
      <c r="N23" s="1130"/>
      <c r="O23" s="1130"/>
      <c r="P23" s="3189"/>
      <c r="Q23" s="1809" t="str">
        <f>B23</f>
        <v>自然及人文环境</v>
      </c>
      <c r="R23" s="773" t="s">
        <v>21</v>
      </c>
      <c r="S23" s="774">
        <f>F23</f>
        <v>101</v>
      </c>
      <c r="T23" s="773" t="s">
        <v>21</v>
      </c>
      <c r="U23" s="774">
        <f>H23</f>
        <v>101</v>
      </c>
      <c r="V23" s="773" t="s">
        <v>21</v>
      </c>
      <c r="W23" s="774">
        <f>J23</f>
        <v>101</v>
      </c>
      <c r="X23" s="1812"/>
      <c r="Y23" s="3182"/>
      <c r="Z23" s="1813" t="str">
        <f>Q23</f>
        <v>自然及人文环境</v>
      </c>
      <c r="AA23" s="1810">
        <f>D23/F23</f>
        <v>0.99009900990099009</v>
      </c>
      <c r="AB23" s="1810">
        <f>D23/H23</f>
        <v>0.99009900990099009</v>
      </c>
      <c r="AC23" s="1810">
        <f>D23/J23</f>
        <v>0.99009900990099009</v>
      </c>
    </row>
    <row r="24" spans="1:29" ht="15">
      <c r="A24" s="428"/>
      <c r="B24" s="456"/>
      <c r="C24" s="447" t="s">
        <v>3084</v>
      </c>
      <c r="D24" s="448"/>
      <c r="E24" s="2602" t="s">
        <v>3033</v>
      </c>
      <c r="F24" s="448"/>
      <c r="G24" s="2601" t="s">
        <v>3033</v>
      </c>
      <c r="H24" s="448"/>
      <c r="I24" s="2601" t="s">
        <v>3033</v>
      </c>
      <c r="J24" s="448"/>
      <c r="K24" s="2603"/>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2515</v>
      </c>
      <c r="C25" s="460" t="s">
        <v>3032</v>
      </c>
      <c r="D25" s="435">
        <v>100</v>
      </c>
      <c r="E25" s="2611" t="s">
        <v>3098</v>
      </c>
      <c r="F25" s="435">
        <f>SUMIF(86:86,E25,87:87)-SUMIF(86:86,C25,87:87)+100</f>
        <v>100</v>
      </c>
      <c r="G25" s="460" t="s">
        <v>3032</v>
      </c>
      <c r="H25" s="435">
        <f>SUMIF(86:86,G25,87:87)-SUMIF(86:86,C25,87:87)+100</f>
        <v>100</v>
      </c>
      <c r="I25" s="460" t="s">
        <v>3032</v>
      </c>
      <c r="J25" s="435">
        <f>SUMIF(86:86,I25,87:87)-SUMIF(86:86,C25,87:87)+100</f>
        <v>100</v>
      </c>
      <c r="K25" s="426">
        <v>1</v>
      </c>
      <c r="L25" s="1139"/>
      <c r="M25" s="1130"/>
      <c r="N25" s="1130"/>
      <c r="O25" s="1130"/>
      <c r="P25" s="318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2"/>
      <c r="Z25" s="1813" t="str">
        <f>Q25</f>
        <v>楼层-1</v>
      </c>
      <c r="AA25" s="1810">
        <f t="shared" ref="AA25:AA46" si="15">D25/F25</f>
        <v>1</v>
      </c>
      <c r="AB25" s="1810">
        <f t="shared" ref="AB25:AB46" si="16">D25/H25</f>
        <v>1</v>
      </c>
      <c r="AC25" s="1810">
        <f t="shared" ref="AC25:AC46" si="17">D25/J25</f>
        <v>1</v>
      </c>
    </row>
    <row r="26" spans="1:29" ht="15">
      <c r="A26" s="428"/>
      <c r="B26" s="422" t="s">
        <v>2516</v>
      </c>
      <c r="C26" s="460" t="s">
        <v>3032</v>
      </c>
      <c r="D26" s="435">
        <v>100</v>
      </c>
      <c r="E26" s="2611" t="s">
        <v>3098</v>
      </c>
      <c r="F26" s="435">
        <f>SUMIF(88:88,E26,89:89)-SUMIF(88:88,C26,89:89)+100</f>
        <v>100</v>
      </c>
      <c r="G26" s="460" t="s">
        <v>3032</v>
      </c>
      <c r="H26" s="435">
        <f>SUMIF(88:88,G26,89:89)-SUMIF(88:88,C26,89:89)+100</f>
        <v>100</v>
      </c>
      <c r="I26" s="460" t="s">
        <v>3032</v>
      </c>
      <c r="J26" s="435">
        <f>SUMIF(88:88,I26,89:89)-SUMIF(88:88,C26,89:89)+100</f>
        <v>100</v>
      </c>
      <c r="K26" s="426">
        <v>1</v>
      </c>
      <c r="L26" s="1139"/>
      <c r="M26" s="1130"/>
      <c r="N26" s="1130"/>
      <c r="O26" s="1130"/>
      <c r="P26" s="3189"/>
      <c r="Q26" s="1809" t="str">
        <f t="shared" si="11"/>
        <v>朝向</v>
      </c>
      <c r="R26" s="773" t="s">
        <v>21</v>
      </c>
      <c r="S26" s="774">
        <f t="shared" si="12"/>
        <v>100</v>
      </c>
      <c r="T26" s="773" t="s">
        <v>21</v>
      </c>
      <c r="U26" s="774">
        <f t="shared" si="13"/>
        <v>100</v>
      </c>
      <c r="V26" s="773" t="s">
        <v>21</v>
      </c>
      <c r="W26" s="774">
        <f t="shared" si="14"/>
        <v>100</v>
      </c>
      <c r="X26" s="1812"/>
      <c r="Y26" s="3182"/>
      <c r="Z26" s="1813" t="str">
        <f>Q26</f>
        <v>朝向</v>
      </c>
      <c r="AA26" s="1810">
        <f t="shared" si="15"/>
        <v>1</v>
      </c>
      <c r="AB26" s="1810">
        <f t="shared" si="16"/>
        <v>1</v>
      </c>
      <c r="AC26" s="1810">
        <f t="shared" si="17"/>
        <v>1</v>
      </c>
    </row>
    <row r="27" spans="1:29" s="117" customFormat="1" ht="15">
      <c r="A27" s="431"/>
      <c r="B27" s="2979" t="s">
        <v>3071</v>
      </c>
      <c r="C27" s="432" t="s">
        <v>3086</v>
      </c>
      <c r="D27" s="462">
        <v>100</v>
      </c>
      <c r="E27" s="2985" t="s">
        <v>3070</v>
      </c>
      <c r="F27" s="462">
        <f>SUMIF(90:90,E27,91:91)-SUMIF(90:90,C27,91:91)+100</f>
        <v>101</v>
      </c>
      <c r="G27" s="2985" t="s">
        <v>3070</v>
      </c>
      <c r="H27" s="462">
        <f>SUMIF(90:90,G27,91:91)-SUMIF(90:90,C27,91:91)+100</f>
        <v>101</v>
      </c>
      <c r="I27" s="465" t="s">
        <v>3106</v>
      </c>
      <c r="J27" s="462">
        <f>SUMIF(90:90,I27,91:91)-SUMIF(90:90,C27,91:91)+100</f>
        <v>101</v>
      </c>
      <c r="K27" s="2598"/>
      <c r="L27" s="1131"/>
      <c r="M27" s="1132"/>
      <c r="N27" s="1132"/>
      <c r="O27" s="1132"/>
      <c r="P27" s="3189"/>
      <c r="Q27" s="1794" t="str">
        <f t="shared" si="11"/>
        <v>道路级别</v>
      </c>
      <c r="R27" s="769" t="s">
        <v>21</v>
      </c>
      <c r="S27" s="770">
        <f t="shared" si="12"/>
        <v>101</v>
      </c>
      <c r="T27" s="769" t="s">
        <v>21</v>
      </c>
      <c r="U27" s="770">
        <f t="shared" si="13"/>
        <v>101</v>
      </c>
      <c r="V27" s="769" t="s">
        <v>21</v>
      </c>
      <c r="W27" s="770">
        <f t="shared" si="14"/>
        <v>101</v>
      </c>
      <c r="X27" s="771"/>
      <c r="Y27" s="3182"/>
      <c r="Z27" s="55" t="str">
        <f>Q27</f>
        <v>道路级别</v>
      </c>
      <c r="AA27" s="1810">
        <f t="shared" si="15"/>
        <v>0.99009900990099009</v>
      </c>
      <c r="AB27" s="1810">
        <f t="shared" si="16"/>
        <v>0.99009900990099009</v>
      </c>
      <c r="AC27" s="1810">
        <f t="shared" si="17"/>
        <v>0.99009900990099009</v>
      </c>
    </row>
    <row r="28" spans="1:29" ht="15">
      <c r="A28" s="428"/>
      <c r="B28" s="1385"/>
      <c r="C28" s="434" t="s">
        <v>3087</v>
      </c>
      <c r="D28" s="435">
        <v>100</v>
      </c>
      <c r="E28" s="2986" t="s">
        <v>3096</v>
      </c>
      <c r="F28" s="435">
        <f>SUMIF(92:92,E28,93:93)-SUMIF(92:92,C28,93:93)+100</f>
        <v>100</v>
      </c>
      <c r="G28" s="2986" t="s">
        <v>3108</v>
      </c>
      <c r="H28" s="435">
        <f>SUMIF(92:92,G28,93:93)-SUMIF(92:92,C28,93:93)+100</f>
        <v>100</v>
      </c>
      <c r="I28" s="434" t="s">
        <v>3107</v>
      </c>
      <c r="J28" s="435">
        <f>SUMIF(92:92,I28,93:93)-SUMIF(92:92,C28,93:93)+100</f>
        <v>100</v>
      </c>
      <c r="K28" s="2598"/>
      <c r="L28" s="1139"/>
      <c r="M28" s="1130"/>
      <c r="N28" s="1130"/>
      <c r="O28" s="1130"/>
      <c r="P28" s="3189"/>
      <c r="Q28" s="1809">
        <f t="shared" si="11"/>
        <v>0</v>
      </c>
      <c r="R28" s="773" t="s">
        <v>21</v>
      </c>
      <c r="S28" s="774">
        <f t="shared" si="12"/>
        <v>100</v>
      </c>
      <c r="T28" s="773" t="s">
        <v>21</v>
      </c>
      <c r="U28" s="774">
        <f t="shared" si="13"/>
        <v>100</v>
      </c>
      <c r="V28" s="773" t="s">
        <v>21</v>
      </c>
      <c r="W28" s="774">
        <f t="shared" si="14"/>
        <v>100</v>
      </c>
      <c r="X28" s="1812"/>
      <c r="Y28" s="3182"/>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434"/>
      <c r="H29" s="435">
        <f>SUMIF(94:94,G29,95:95)-SUMIF(94:94,C29,95:95)+100</f>
        <v>100</v>
      </c>
      <c r="I29" s="434"/>
      <c r="J29" s="435">
        <f>SUMIF(94:94,I29,95:95)-SUMIF(94:94,C29,95:95)+100</f>
        <v>100</v>
      </c>
      <c r="K29" s="2598"/>
      <c r="L29" s="1139"/>
      <c r="M29" s="1130"/>
      <c r="N29" s="1130"/>
      <c r="O29" s="1130"/>
      <c r="P29" s="3189"/>
      <c r="Q29" s="1809">
        <f t="shared" si="11"/>
        <v>0</v>
      </c>
      <c r="R29" s="773" t="s">
        <v>21</v>
      </c>
      <c r="S29" s="774">
        <f t="shared" si="12"/>
        <v>100</v>
      </c>
      <c r="T29" s="773" t="s">
        <v>21</v>
      </c>
      <c r="U29" s="774">
        <f t="shared" si="13"/>
        <v>100</v>
      </c>
      <c r="V29" s="773" t="s">
        <v>21</v>
      </c>
      <c r="W29" s="774">
        <f t="shared" si="14"/>
        <v>100</v>
      </c>
      <c r="X29" s="1812"/>
      <c r="Y29" s="3182"/>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434"/>
      <c r="H30" s="435">
        <f>SUMIF(96:96,G30,97:97)-SUMIF(96:96,C30,97:97)+100</f>
        <v>100</v>
      </c>
      <c r="I30" s="434"/>
      <c r="J30" s="435">
        <f>SUMIF(96:96,I30,97:97)-SUMIF(96:96,C30,97:97)+100</f>
        <v>100</v>
      </c>
      <c r="K30" s="2598"/>
      <c r="L30" s="1139"/>
      <c r="M30" s="1130"/>
      <c r="N30" s="1130"/>
      <c r="O30" s="1130"/>
      <c r="P30" s="3189"/>
      <c r="Q30" s="1809">
        <f t="shared" si="11"/>
        <v>0</v>
      </c>
      <c r="R30" s="773" t="s">
        <v>21</v>
      </c>
      <c r="S30" s="774">
        <f t="shared" si="12"/>
        <v>100</v>
      </c>
      <c r="T30" s="773" t="s">
        <v>21</v>
      </c>
      <c r="U30" s="774">
        <f t="shared" si="13"/>
        <v>100</v>
      </c>
      <c r="V30" s="773" t="s">
        <v>21</v>
      </c>
      <c r="W30" s="774">
        <f t="shared" si="14"/>
        <v>100</v>
      </c>
      <c r="X30" s="1812"/>
      <c r="Y30" s="3182"/>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437"/>
      <c r="H31" s="438">
        <f>SUMIF(98:98,G31,99:99)-SUMIF(98:98,C31,99:99)+100</f>
        <v>100</v>
      </c>
      <c r="I31" s="437"/>
      <c r="J31" s="438">
        <f>SUMIF(98:98,I31,99:99)-SUMIF(98:98,C31,99:99)+100</f>
        <v>100</v>
      </c>
      <c r="K31" s="2598"/>
      <c r="L31" s="1139"/>
      <c r="M31" s="1130"/>
      <c r="N31" s="1130"/>
      <c r="O31" s="1130"/>
      <c r="P31" s="3189"/>
      <c r="Q31" s="1809">
        <f t="shared" si="11"/>
        <v>0</v>
      </c>
      <c r="R31" s="773" t="s">
        <v>21</v>
      </c>
      <c r="S31" s="774">
        <f t="shared" si="12"/>
        <v>100</v>
      </c>
      <c r="T31" s="773" t="s">
        <v>21</v>
      </c>
      <c r="U31" s="774">
        <f t="shared" si="13"/>
        <v>100</v>
      </c>
      <c r="V31" s="773" t="s">
        <v>21</v>
      </c>
      <c r="W31" s="774">
        <f t="shared" si="14"/>
        <v>100</v>
      </c>
      <c r="X31" s="1812"/>
      <c r="Y31" s="3182"/>
      <c r="Z31" s="1813">
        <f t="shared" si="18"/>
        <v>0</v>
      </c>
      <c r="AA31" s="1810">
        <f t="shared" si="15"/>
        <v>1</v>
      </c>
      <c r="AB31" s="1810">
        <f t="shared" si="16"/>
        <v>1</v>
      </c>
      <c r="AC31" s="1810">
        <f t="shared" si="17"/>
        <v>1</v>
      </c>
    </row>
    <row r="32" spans="1:29" ht="15">
      <c r="A32" s="440" t="s">
        <v>2517</v>
      </c>
      <c r="B32" s="71" t="s">
        <v>2518</v>
      </c>
      <c r="C32" s="2614" t="s">
        <v>3082</v>
      </c>
      <c r="D32" s="467">
        <v>100</v>
      </c>
      <c r="E32" s="2615" t="s">
        <v>3097</v>
      </c>
      <c r="F32" s="461">
        <f>SUMIF(100:100,E32,101:101)-SUMIF(100:100,C32,101:101)+100</f>
        <v>103</v>
      </c>
      <c r="G32" s="2614" t="s">
        <v>3097</v>
      </c>
      <c r="H32" s="467">
        <f>SUMIF(100:100,G32,101:101)-SUMIF(100:100,C32,101:101)+100</f>
        <v>103</v>
      </c>
      <c r="I32" s="2615" t="s">
        <v>3082</v>
      </c>
      <c r="J32" s="435">
        <f>SUMIF(100:100,I32,101:101)-SUMIF(100:100,C32,101:101)+100</f>
        <v>100</v>
      </c>
      <c r="K32" s="426">
        <v>1</v>
      </c>
      <c r="L32" s="1139"/>
      <c r="M32" s="1130"/>
      <c r="N32" s="1130"/>
      <c r="O32" s="1130"/>
      <c r="P32" s="3183" t="s">
        <v>2519</v>
      </c>
      <c r="Q32" s="1809" t="str">
        <f t="shared" si="11"/>
        <v>建筑类型</v>
      </c>
      <c r="R32" s="773" t="s">
        <v>21</v>
      </c>
      <c r="S32" s="774">
        <f t="shared" si="12"/>
        <v>103</v>
      </c>
      <c r="T32" s="773" t="s">
        <v>21</v>
      </c>
      <c r="U32" s="774">
        <f t="shared" si="13"/>
        <v>103</v>
      </c>
      <c r="V32" s="773" t="s">
        <v>21</v>
      </c>
      <c r="W32" s="774">
        <f t="shared" si="14"/>
        <v>100</v>
      </c>
      <c r="X32" s="1812"/>
      <c r="Y32" s="3186" t="s">
        <v>2519</v>
      </c>
      <c r="Z32" s="1813" t="str">
        <f t="shared" si="18"/>
        <v>建筑类型</v>
      </c>
      <c r="AA32" s="1810">
        <f t="shared" si="15"/>
        <v>0.970873786407767</v>
      </c>
      <c r="AB32" s="1810">
        <f t="shared" si="16"/>
        <v>0.970873786407767</v>
      </c>
      <c r="AC32" s="1810">
        <f t="shared" si="17"/>
        <v>1</v>
      </c>
    </row>
    <row r="33" spans="1:29" s="471" customFormat="1" ht="15">
      <c r="A33" s="468"/>
      <c r="B33" s="422" t="s">
        <v>2520</v>
      </c>
      <c r="C33" s="469" t="s">
        <v>3098</v>
      </c>
      <c r="D33" s="136">
        <v>100</v>
      </c>
      <c r="E33" s="430" t="s">
        <v>3109</v>
      </c>
      <c r="F33" s="425">
        <f>LOOKUP(E33,103:103,104:104)-LOOKUP(C33,103:103,104:104)+100</f>
        <v>100</v>
      </c>
      <c r="G33" s="429" t="s">
        <v>3109</v>
      </c>
      <c r="H33" s="136">
        <f>LOOKUP(G33,103:103,104:104)-LOOKUP(C33,103:103,104:104)+100</f>
        <v>100</v>
      </c>
      <c r="I33" s="430" t="s">
        <v>3109</v>
      </c>
      <c r="J33" s="136">
        <f>LOOKUP(I33,103:103,104:104)-LOOKUP(C33,103:103,104:104)+100</f>
        <v>100</v>
      </c>
      <c r="K33" s="2598"/>
      <c r="L33" s="1137"/>
      <c r="M33" s="1140"/>
      <c r="N33" s="1140"/>
      <c r="O33" s="1140"/>
      <c r="P33" s="3184"/>
      <c r="Q33" s="775" t="str">
        <f t="shared" si="11"/>
        <v>项目建筑规模</v>
      </c>
      <c r="R33" s="776" t="s">
        <v>21</v>
      </c>
      <c r="S33" s="777">
        <f t="shared" si="12"/>
        <v>100</v>
      </c>
      <c r="T33" s="776" t="s">
        <v>21</v>
      </c>
      <c r="U33" s="777">
        <f t="shared" si="13"/>
        <v>100</v>
      </c>
      <c r="V33" s="776" t="s">
        <v>21</v>
      </c>
      <c r="W33" s="777">
        <f t="shared" si="14"/>
        <v>100</v>
      </c>
      <c r="X33" s="778"/>
      <c r="Y33" s="3186"/>
      <c r="Z33" s="779" t="str">
        <f t="shared" si="18"/>
        <v>项目建筑规模</v>
      </c>
      <c r="AA33" s="1810">
        <f t="shared" si="15"/>
        <v>1</v>
      </c>
      <c r="AB33" s="1810">
        <f t="shared" si="16"/>
        <v>1</v>
      </c>
      <c r="AC33" s="1810">
        <f t="shared" si="17"/>
        <v>1</v>
      </c>
    </row>
    <row r="34" spans="1:29" ht="15">
      <c r="A34" s="472"/>
      <c r="B34" s="422" t="s">
        <v>2521</v>
      </c>
      <c r="C34" s="2616" t="s">
        <v>3030</v>
      </c>
      <c r="D34" s="435">
        <v>100</v>
      </c>
      <c r="E34" s="2617" t="s">
        <v>3030</v>
      </c>
      <c r="F34" s="461">
        <f>SUMIF(105:105,E34,106:106)-SUMIF(105:105,C34,106:106)+100</f>
        <v>100</v>
      </c>
      <c r="G34" s="2617" t="s">
        <v>3030</v>
      </c>
      <c r="H34" s="435">
        <f>SUMIF(105:105,G34,106:106)-SUMIF(105:105,C34,106:106)+100</f>
        <v>100</v>
      </c>
      <c r="I34" s="2617" t="s">
        <v>3030</v>
      </c>
      <c r="J34" s="435">
        <f>SUMIF(105:105,I34,106:106)-SUMIF(105:105,C34,106:106)+100</f>
        <v>100</v>
      </c>
      <c r="K34" s="426">
        <v>1</v>
      </c>
      <c r="L34" s="1139"/>
      <c r="M34" s="1130"/>
      <c r="N34" s="1130"/>
      <c r="O34" s="1130"/>
      <c r="P34" s="3184"/>
      <c r="Q34" s="1809" t="str">
        <f t="shared" si="11"/>
        <v>建筑结构</v>
      </c>
      <c r="R34" s="773" t="s">
        <v>21</v>
      </c>
      <c r="S34" s="774">
        <f t="shared" si="12"/>
        <v>100</v>
      </c>
      <c r="T34" s="773" t="s">
        <v>21</v>
      </c>
      <c r="U34" s="774">
        <f t="shared" si="13"/>
        <v>100</v>
      </c>
      <c r="V34" s="773" t="s">
        <v>21</v>
      </c>
      <c r="W34" s="774">
        <f t="shared" si="14"/>
        <v>100</v>
      </c>
      <c r="X34" s="1812"/>
      <c r="Y34" s="3186"/>
      <c r="Z34" s="1813" t="str">
        <f t="shared" si="18"/>
        <v>建筑结构</v>
      </c>
      <c r="AA34" s="1810">
        <f t="shared" si="15"/>
        <v>1</v>
      </c>
      <c r="AB34" s="1810">
        <f t="shared" si="16"/>
        <v>1</v>
      </c>
      <c r="AC34" s="1810">
        <f t="shared" si="17"/>
        <v>1</v>
      </c>
    </row>
    <row r="35" spans="1:29" ht="15">
      <c r="A35" s="472"/>
      <c r="B35" s="422" t="s">
        <v>2522</v>
      </c>
      <c r="C35" s="2610" t="s">
        <v>3074</v>
      </c>
      <c r="D35" s="435">
        <v>100</v>
      </c>
      <c r="E35" s="2611" t="s">
        <v>3074</v>
      </c>
      <c r="F35" s="461">
        <f>SUMIF(107:107,E35,108:108)-SUMIF(107:107,C35,108:108)+100</f>
        <v>100</v>
      </c>
      <c r="G35" s="2611" t="s">
        <v>3074</v>
      </c>
      <c r="H35" s="435">
        <f>SUMIF(107:107,G35,108:108)-SUMIF(107:107,C35,108:108)+100</f>
        <v>100</v>
      </c>
      <c r="I35" s="2611" t="s">
        <v>3074</v>
      </c>
      <c r="J35" s="435">
        <f>SUMIF(107:107,I35,108:108)-SUMIF(107:107,C35,108:108)+100</f>
        <v>100</v>
      </c>
      <c r="K35" s="426">
        <v>1</v>
      </c>
      <c r="L35" s="1139"/>
      <c r="M35" s="1130"/>
      <c r="N35" s="1130"/>
      <c r="O35" s="1130"/>
      <c r="P35" s="3184"/>
      <c r="Q35" s="1809" t="str">
        <f t="shared" si="11"/>
        <v>建筑品质</v>
      </c>
      <c r="R35" s="773" t="s">
        <v>21</v>
      </c>
      <c r="S35" s="774">
        <f t="shared" si="12"/>
        <v>100</v>
      </c>
      <c r="T35" s="773" t="s">
        <v>21</v>
      </c>
      <c r="U35" s="774">
        <f t="shared" si="13"/>
        <v>100</v>
      </c>
      <c r="V35" s="773" t="s">
        <v>21</v>
      </c>
      <c r="W35" s="774">
        <f t="shared" si="14"/>
        <v>100</v>
      </c>
      <c r="X35" s="1812"/>
      <c r="Y35" s="3186"/>
      <c r="Z35" s="1813" t="str">
        <f t="shared" si="18"/>
        <v>建筑品质</v>
      </c>
      <c r="AA35" s="1810">
        <f t="shared" si="15"/>
        <v>1</v>
      </c>
      <c r="AB35" s="1810">
        <f t="shared" si="16"/>
        <v>1</v>
      </c>
      <c r="AC35" s="1810">
        <f t="shared" si="17"/>
        <v>1</v>
      </c>
    </row>
    <row r="36" spans="1:29" ht="15">
      <c r="A36" s="472"/>
      <c r="B36" s="422" t="s">
        <v>2523</v>
      </c>
      <c r="C36" s="2610" t="s">
        <v>3076</v>
      </c>
      <c r="D36" s="435">
        <v>100</v>
      </c>
      <c r="E36" s="2611" t="s">
        <v>3076</v>
      </c>
      <c r="F36" s="461">
        <f>SUMIF(109:109,E36,110:110)-SUMIF(109:109,C36,110:110)+100</f>
        <v>100</v>
      </c>
      <c r="G36" s="2611" t="s">
        <v>3076</v>
      </c>
      <c r="H36" s="435">
        <f>SUMIF(109:109,G36,110:110)-SUMIF(109:109,C36,110:110)+100</f>
        <v>100</v>
      </c>
      <c r="I36" s="2611" t="s">
        <v>3076</v>
      </c>
      <c r="J36" s="435">
        <f>SUMIF(109:109,I36,110:110)-SUMIF(109:109,C36,110:110)+100</f>
        <v>100</v>
      </c>
      <c r="K36" s="426">
        <v>1</v>
      </c>
      <c r="L36" s="1139"/>
      <c r="M36" s="1130"/>
      <c r="N36" s="1130"/>
      <c r="O36" s="1130"/>
      <c r="P36" s="3184"/>
      <c r="Q36" s="1809" t="str">
        <f t="shared" si="11"/>
        <v>公共部分装修</v>
      </c>
      <c r="R36" s="773" t="s">
        <v>21</v>
      </c>
      <c r="S36" s="774">
        <f t="shared" si="12"/>
        <v>100</v>
      </c>
      <c r="T36" s="773" t="s">
        <v>21</v>
      </c>
      <c r="U36" s="774">
        <f t="shared" si="13"/>
        <v>100</v>
      </c>
      <c r="V36" s="773" t="s">
        <v>21</v>
      </c>
      <c r="W36" s="774">
        <f t="shared" si="14"/>
        <v>100</v>
      </c>
      <c r="X36" s="1812"/>
      <c r="Y36" s="3186"/>
      <c r="Z36" s="1813" t="str">
        <f t="shared" si="18"/>
        <v>公共部分装修</v>
      </c>
      <c r="AA36" s="1810">
        <f t="shared" si="15"/>
        <v>1</v>
      </c>
      <c r="AB36" s="1810">
        <f t="shared" si="16"/>
        <v>1</v>
      </c>
      <c r="AC36" s="1810">
        <f t="shared" si="17"/>
        <v>1</v>
      </c>
    </row>
    <row r="37" spans="1:29" s="117" customFormat="1" ht="15">
      <c r="A37" s="473"/>
      <c r="B37" s="422" t="s">
        <v>2524</v>
      </c>
      <c r="C37" s="474">
        <f>'数据-取费表'!N6</f>
        <v>0.93</v>
      </c>
      <c r="D37" s="136">
        <v>100</v>
      </c>
      <c r="E37" s="475">
        <v>1</v>
      </c>
      <c r="F37" s="425">
        <f>LOOKUP(E37,112:112,113:113)-LOOKUP(C37,112:112,113:113)+100</f>
        <v>100</v>
      </c>
      <c r="G37" s="475">
        <v>1</v>
      </c>
      <c r="H37" s="136">
        <f>LOOKUP(G37,112:112,113:113)-LOOKUP(C37,112:112,113:113)+100</f>
        <v>100</v>
      </c>
      <c r="I37" s="474">
        <v>1</v>
      </c>
      <c r="J37" s="136">
        <f>LOOKUP(I37,112:112,113:113)-LOOKUP(C37,112:112,113:113)+100</f>
        <v>100</v>
      </c>
      <c r="K37" s="426">
        <v>1</v>
      </c>
      <c r="L37" s="1131"/>
      <c r="M37" s="1132"/>
      <c r="N37" s="1132"/>
      <c r="O37" s="1132"/>
      <c r="P37" s="3184"/>
      <c r="Q37" s="1794" t="str">
        <f t="shared" si="11"/>
        <v>成新度</v>
      </c>
      <c r="R37" s="769" t="s">
        <v>21</v>
      </c>
      <c r="S37" s="770">
        <f t="shared" si="12"/>
        <v>100</v>
      </c>
      <c r="T37" s="769" t="s">
        <v>21</v>
      </c>
      <c r="U37" s="770">
        <f t="shared" si="13"/>
        <v>100</v>
      </c>
      <c r="V37" s="769" t="s">
        <v>21</v>
      </c>
      <c r="W37" s="770">
        <f t="shared" si="14"/>
        <v>100</v>
      </c>
      <c r="X37" s="771"/>
      <c r="Y37" s="3186"/>
      <c r="Z37" s="55" t="str">
        <f t="shared" si="18"/>
        <v>成新度</v>
      </c>
      <c r="AA37" s="772">
        <f t="shared" si="15"/>
        <v>1</v>
      </c>
      <c r="AB37" s="772">
        <f t="shared" si="16"/>
        <v>1</v>
      </c>
      <c r="AC37" s="772">
        <f t="shared" si="17"/>
        <v>1</v>
      </c>
    </row>
    <row r="38" spans="1:29" ht="15">
      <c r="A38" s="472"/>
      <c r="B38" s="422" t="s">
        <v>2525</v>
      </c>
      <c r="C38" s="2610" t="s">
        <v>3088</v>
      </c>
      <c r="D38" s="435">
        <v>100</v>
      </c>
      <c r="E38" s="2611" t="s">
        <v>3088</v>
      </c>
      <c r="F38" s="461">
        <f>SUMIF(114:114,E38,115:115)-SUMIF(114:114,C38,115:115)+100</f>
        <v>100</v>
      </c>
      <c r="G38" s="2611" t="s">
        <v>3088</v>
      </c>
      <c r="H38" s="435">
        <f>SUMIF(114:114,G38,115:115)-SUMIF(114:114,C38,115:115)+100</f>
        <v>100</v>
      </c>
      <c r="I38" s="2611" t="s">
        <v>3088</v>
      </c>
      <c r="J38" s="435">
        <f>SUMIF(114:114,I38,115:115)-SUMIF(114:114,C38,115:115)+100</f>
        <v>100</v>
      </c>
      <c r="K38" s="426">
        <v>1</v>
      </c>
      <c r="L38" s="1139"/>
      <c r="M38" s="1130"/>
      <c r="N38" s="1130"/>
      <c r="O38" s="1130"/>
      <c r="P38" s="3184" t="s">
        <v>2519</v>
      </c>
      <c r="Q38" s="1809" t="str">
        <f t="shared" si="11"/>
        <v>物业管理</v>
      </c>
      <c r="R38" s="773" t="s">
        <v>21</v>
      </c>
      <c r="S38" s="774">
        <f t="shared" si="12"/>
        <v>100</v>
      </c>
      <c r="T38" s="773" t="s">
        <v>21</v>
      </c>
      <c r="U38" s="774">
        <f t="shared" si="13"/>
        <v>100</v>
      </c>
      <c r="V38" s="773" t="s">
        <v>21</v>
      </c>
      <c r="W38" s="774">
        <f t="shared" si="14"/>
        <v>100</v>
      </c>
      <c r="X38" s="1812"/>
      <c r="Y38" s="3186" t="s">
        <v>2519</v>
      </c>
      <c r="Z38" s="1813" t="str">
        <f t="shared" si="18"/>
        <v>物业管理</v>
      </c>
      <c r="AA38" s="1810">
        <f t="shared" si="15"/>
        <v>1</v>
      </c>
      <c r="AB38" s="1810">
        <f t="shared" si="16"/>
        <v>1</v>
      </c>
      <c r="AC38" s="1810">
        <f t="shared" si="17"/>
        <v>1</v>
      </c>
    </row>
    <row r="39" spans="1:29" ht="15">
      <c r="A39" s="472"/>
      <c r="B39" s="422" t="s">
        <v>2526</v>
      </c>
      <c r="C39" s="2610" t="s">
        <v>3035</v>
      </c>
      <c r="D39" s="435">
        <v>100</v>
      </c>
      <c r="E39" s="2611" t="s">
        <v>3035</v>
      </c>
      <c r="F39" s="461">
        <f>SUMIF(116:116,E39,117:117)-SUMIF(116:116,C39,117:117)+100</f>
        <v>100</v>
      </c>
      <c r="G39" s="2611" t="s">
        <v>3035</v>
      </c>
      <c r="H39" s="435">
        <f>SUMIF(116:116,G39,117:117)-SUMIF(116:116,C39,117:117)+100</f>
        <v>100</v>
      </c>
      <c r="I39" s="2611" t="s">
        <v>3035</v>
      </c>
      <c r="J39" s="435">
        <f>SUMIF(116:116,I39,117:117)-SUMIF(116:116,C39,117:117)+100</f>
        <v>100</v>
      </c>
      <c r="K39" s="426">
        <v>1</v>
      </c>
      <c r="L39" s="1139"/>
      <c r="M39" s="1130"/>
      <c r="N39" s="1130"/>
      <c r="O39" s="1130"/>
      <c r="P39" s="3184"/>
      <c r="Q39" s="1809" t="str">
        <f t="shared" si="11"/>
        <v>市政基础设施</v>
      </c>
      <c r="R39" s="773" t="s">
        <v>21</v>
      </c>
      <c r="S39" s="774">
        <f t="shared" si="12"/>
        <v>100</v>
      </c>
      <c r="T39" s="773" t="s">
        <v>21</v>
      </c>
      <c r="U39" s="774">
        <f t="shared" si="13"/>
        <v>100</v>
      </c>
      <c r="V39" s="773" t="s">
        <v>21</v>
      </c>
      <c r="W39" s="774">
        <f t="shared" si="14"/>
        <v>100</v>
      </c>
      <c r="X39" s="1812"/>
      <c r="Y39" s="3186"/>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39"/>
      <c r="M40" s="1130"/>
      <c r="N40" s="1130"/>
      <c r="O40" s="1130"/>
      <c r="P40" s="3184"/>
      <c r="Q40" s="1809" t="str">
        <f t="shared" si="11"/>
        <v>房型</v>
      </c>
      <c r="R40" s="773" t="s">
        <v>21</v>
      </c>
      <c r="S40" s="774">
        <f t="shared" si="12"/>
        <v>100</v>
      </c>
      <c r="T40" s="773" t="s">
        <v>21</v>
      </c>
      <c r="U40" s="774">
        <f t="shared" si="13"/>
        <v>100</v>
      </c>
      <c r="V40" s="773" t="s">
        <v>21</v>
      </c>
      <c r="W40" s="774">
        <f t="shared" si="14"/>
        <v>100</v>
      </c>
      <c r="X40" s="1812"/>
      <c r="Y40" s="3186"/>
      <c r="Z40" s="1813" t="str">
        <f t="shared" si="18"/>
        <v>房型</v>
      </c>
      <c r="AA40" s="1810">
        <f t="shared" si="15"/>
        <v>1</v>
      </c>
      <c r="AB40" s="1810">
        <f t="shared" si="16"/>
        <v>1</v>
      </c>
      <c r="AC40" s="1810">
        <f t="shared" si="17"/>
        <v>1</v>
      </c>
    </row>
    <row r="41" spans="1:29" s="471" customFormat="1" ht="28.5">
      <c r="A41" s="468"/>
      <c r="B41" s="422" t="s">
        <v>2528</v>
      </c>
      <c r="C41" s="469" t="s">
        <v>3089</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7"/>
      <c r="M41" s="1140"/>
      <c r="N41" s="1140"/>
      <c r="O41" s="1140"/>
      <c r="P41" s="3184"/>
      <c r="Q41" s="775" t="str">
        <f t="shared" si="11"/>
        <v>单套/主力户型建筑面积</v>
      </c>
      <c r="R41" s="776" t="s">
        <v>21</v>
      </c>
      <c r="S41" s="777">
        <f t="shared" si="12"/>
        <v>100</v>
      </c>
      <c r="T41" s="776" t="s">
        <v>21</v>
      </c>
      <c r="U41" s="777">
        <f t="shared" si="13"/>
        <v>100</v>
      </c>
      <c r="V41" s="776" t="s">
        <v>21</v>
      </c>
      <c r="W41" s="777">
        <f t="shared" si="14"/>
        <v>100</v>
      </c>
      <c r="X41" s="778"/>
      <c r="Y41" s="3186"/>
      <c r="Z41" s="779" t="str">
        <f t="shared" si="18"/>
        <v>单套/主力户型建筑面积</v>
      </c>
      <c r="AA41" s="1810">
        <f t="shared" si="15"/>
        <v>1</v>
      </c>
      <c r="AB41" s="1810">
        <f t="shared" si="16"/>
        <v>1</v>
      </c>
      <c r="AC41" s="1810">
        <f t="shared" si="17"/>
        <v>1</v>
      </c>
    </row>
    <row r="42" spans="1:29" ht="15">
      <c r="A42" s="472"/>
      <c r="B42" s="422" t="s">
        <v>2529</v>
      </c>
      <c r="C42" s="2610" t="s">
        <v>3080</v>
      </c>
      <c r="D42" s="435">
        <v>100</v>
      </c>
      <c r="E42" s="2611" t="s">
        <v>3080</v>
      </c>
      <c r="F42" s="461">
        <f>SUMIF(122:122,E42,123:123)-SUMIF(122:122,C42,123:123)+100</f>
        <v>100</v>
      </c>
      <c r="G42" s="2611" t="s">
        <v>3080</v>
      </c>
      <c r="H42" s="435">
        <f>SUMIF(122:122,G42,123:123)-SUMIF(122:122,C42,123:123)+100</f>
        <v>100</v>
      </c>
      <c r="I42" s="2611" t="s">
        <v>3080</v>
      </c>
      <c r="J42" s="435">
        <f>SUMIF(122:122,I42,123:123)-SUMIF(122:122,C42,123:123)+100</f>
        <v>100</v>
      </c>
      <c r="K42" s="426">
        <v>1</v>
      </c>
      <c r="L42" s="1139"/>
      <c r="M42" s="1130"/>
      <c r="N42" s="1130"/>
      <c r="O42" s="1130"/>
      <c r="P42" s="3184"/>
      <c r="Q42" s="1809" t="str">
        <f t="shared" si="11"/>
        <v>内部装修</v>
      </c>
      <c r="R42" s="773" t="s">
        <v>21</v>
      </c>
      <c r="S42" s="774">
        <f t="shared" si="12"/>
        <v>100</v>
      </c>
      <c r="T42" s="773" t="s">
        <v>21</v>
      </c>
      <c r="U42" s="774">
        <f t="shared" si="13"/>
        <v>100</v>
      </c>
      <c r="V42" s="773" t="s">
        <v>21</v>
      </c>
      <c r="W42" s="774">
        <f t="shared" si="14"/>
        <v>100</v>
      </c>
      <c r="X42" s="1812"/>
      <c r="Y42" s="3186"/>
      <c r="Z42" s="1813" t="str">
        <f t="shared" si="18"/>
        <v>内部装修</v>
      </c>
      <c r="AA42" s="1810">
        <f t="shared" si="15"/>
        <v>1</v>
      </c>
      <c r="AB42" s="1810">
        <f t="shared" si="16"/>
        <v>1</v>
      </c>
      <c r="AC42" s="1810">
        <f t="shared" si="17"/>
        <v>1</v>
      </c>
    </row>
    <row r="43" spans="1:29" ht="15">
      <c r="A43" s="472"/>
      <c r="B43" s="422" t="s">
        <v>2530</v>
      </c>
      <c r="C43" s="2610" t="s">
        <v>3033</v>
      </c>
      <c r="D43" s="435">
        <v>100</v>
      </c>
      <c r="E43" s="2611" t="s">
        <v>3033</v>
      </c>
      <c r="F43" s="461">
        <f>SUMIF(124:124,E43,125:125)-SUMIF(124:124,C43,125:125)+100</f>
        <v>100</v>
      </c>
      <c r="G43" s="2611" t="s">
        <v>3033</v>
      </c>
      <c r="H43" s="435">
        <f>SUMIF(124:124,G43,125:125)-SUMIF(124:124,C43,125:125)+100</f>
        <v>100</v>
      </c>
      <c r="I43" s="2611" t="s">
        <v>3033</v>
      </c>
      <c r="J43" s="435">
        <f>SUMIF(124:124,I43,125:125)-SUMIF(124:124,C43,125:125)+100</f>
        <v>100</v>
      </c>
      <c r="K43" s="426">
        <v>1</v>
      </c>
      <c r="L43" s="1139"/>
      <c r="M43" s="1130"/>
      <c r="N43" s="1130"/>
      <c r="O43" s="1130"/>
      <c r="P43" s="3184"/>
      <c r="Q43" s="1809" t="str">
        <f t="shared" si="11"/>
        <v>内部装修维护情况</v>
      </c>
      <c r="R43" s="773" t="s">
        <v>21</v>
      </c>
      <c r="S43" s="774">
        <f t="shared" si="12"/>
        <v>100</v>
      </c>
      <c r="T43" s="773" t="s">
        <v>21</v>
      </c>
      <c r="U43" s="774">
        <f t="shared" si="13"/>
        <v>100</v>
      </c>
      <c r="V43" s="773" t="s">
        <v>21</v>
      </c>
      <c r="W43" s="774">
        <f t="shared" si="14"/>
        <v>100</v>
      </c>
      <c r="X43" s="1812"/>
      <c r="Y43" s="3186"/>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184"/>
      <c r="Q44" s="1794">
        <f t="shared" si="11"/>
        <v>0</v>
      </c>
      <c r="R44" s="769" t="s">
        <v>21</v>
      </c>
      <c r="S44" s="770">
        <f t="shared" si="12"/>
        <v>100</v>
      </c>
      <c r="T44" s="769" t="s">
        <v>21</v>
      </c>
      <c r="U44" s="770">
        <f t="shared" si="13"/>
        <v>100</v>
      </c>
      <c r="V44" s="769" t="s">
        <v>21</v>
      </c>
      <c r="W44" s="770">
        <f t="shared" si="14"/>
        <v>100</v>
      </c>
      <c r="X44" s="771"/>
      <c r="Y44" s="3186"/>
      <c r="Z44" s="55">
        <f t="shared" si="18"/>
        <v>0</v>
      </c>
      <c r="AA44" s="772">
        <f t="shared" si="15"/>
        <v>1</v>
      </c>
      <c r="AB44" s="772">
        <f t="shared" si="16"/>
        <v>1</v>
      </c>
      <c r="AC44" s="772">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184"/>
      <c r="Q45" s="1809">
        <f t="shared" si="11"/>
        <v>0</v>
      </c>
      <c r="R45" s="773" t="s">
        <v>21</v>
      </c>
      <c r="S45" s="774">
        <f t="shared" si="12"/>
        <v>100</v>
      </c>
      <c r="T45" s="773" t="s">
        <v>21</v>
      </c>
      <c r="U45" s="774">
        <f t="shared" si="13"/>
        <v>100</v>
      </c>
      <c r="V45" s="773" t="s">
        <v>21</v>
      </c>
      <c r="W45" s="774">
        <f t="shared" si="14"/>
        <v>100</v>
      </c>
      <c r="X45" s="1812"/>
      <c r="Y45" s="3186"/>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185"/>
      <c r="Q46" s="1809">
        <f t="shared" si="11"/>
        <v>0</v>
      </c>
      <c r="R46" s="773" t="s">
        <v>20</v>
      </c>
      <c r="S46" s="774">
        <f t="shared" si="12"/>
        <v>100</v>
      </c>
      <c r="T46" s="773" t="s">
        <v>20</v>
      </c>
      <c r="U46" s="774">
        <f t="shared" si="13"/>
        <v>100</v>
      </c>
      <c r="V46" s="773" t="s">
        <v>20</v>
      </c>
      <c r="W46" s="774">
        <f t="shared" si="14"/>
        <v>100</v>
      </c>
      <c r="X46" s="1812"/>
      <c r="Y46" s="3187"/>
      <c r="Z46" s="1813">
        <f t="shared" si="18"/>
        <v>0</v>
      </c>
      <c r="AA46" s="1810">
        <f t="shared" si="15"/>
        <v>1</v>
      </c>
      <c r="AB46" s="1810">
        <f t="shared" si="16"/>
        <v>1</v>
      </c>
      <c r="AC46" s="1810">
        <f t="shared" si="17"/>
        <v>1</v>
      </c>
    </row>
    <row r="47" spans="1:29" ht="15">
      <c r="A47" s="479" t="s">
        <v>2531</v>
      </c>
      <c r="B47" s="480"/>
      <c r="C47" s="1406" t="s">
        <v>19</v>
      </c>
      <c r="D47" s="1407"/>
      <c r="E47" s="1408">
        <v>9400</v>
      </c>
      <c r="F47" s="1409"/>
      <c r="G47" s="1410">
        <v>9700</v>
      </c>
      <c r="H47" s="1411"/>
      <c r="I47" s="1408">
        <v>9400</v>
      </c>
      <c r="J47" s="1411"/>
      <c r="K47" s="2618"/>
      <c r="L47" s="1142"/>
      <c r="M47" s="1143"/>
      <c r="N47" s="1130"/>
      <c r="O47" s="1143"/>
      <c r="P47" s="3179" t="str">
        <f>A47</f>
        <v>成交单价（元/平方米）</v>
      </c>
      <c r="Q47" s="3179"/>
      <c r="R47" s="3180">
        <f>E47</f>
        <v>9400</v>
      </c>
      <c r="S47" s="3180"/>
      <c r="T47" s="3180">
        <f>G47</f>
        <v>9700</v>
      </c>
      <c r="U47" s="3180"/>
      <c r="V47" s="3180">
        <f>I47</f>
        <v>9400</v>
      </c>
      <c r="W47" s="3180"/>
      <c r="X47" s="758"/>
      <c r="Y47" s="780"/>
      <c r="Z47" s="758"/>
      <c r="AA47" s="758"/>
      <c r="AB47" s="758"/>
      <c r="AC47" s="758"/>
    </row>
    <row r="48" spans="1:29" ht="15.75" thickBot="1">
      <c r="A48" s="486" t="s">
        <v>2532</v>
      </c>
      <c r="B48" s="487"/>
      <c r="C48" s="1412">
        <f>R49</f>
        <v>8604</v>
      </c>
      <c r="D48" s="1413"/>
      <c r="E48" s="1414">
        <f>R48</f>
        <v>8430</v>
      </c>
      <c r="F48" s="1414"/>
      <c r="G48" s="1412">
        <f>T48</f>
        <v>8699</v>
      </c>
      <c r="H48" s="1413"/>
      <c r="I48" s="1414">
        <f>V48</f>
        <v>8683</v>
      </c>
      <c r="J48" s="1413"/>
      <c r="K48" s="2619"/>
      <c r="L48" s="1142"/>
      <c r="M48" s="1143"/>
      <c r="N48" s="1143"/>
      <c r="O48" s="1143"/>
      <c r="P48" s="3179" t="str">
        <f>A48</f>
        <v>比较价值（元/平方米）</v>
      </c>
      <c r="Q48" s="3179"/>
      <c r="R48" s="3180">
        <f>IF(F1="售价",ROUND(PRODUCT(R47,AA7:AA46),0),ROUND(PRODUCT(R47,AA7:AA46),1))</f>
        <v>8430</v>
      </c>
      <c r="S48" s="3180"/>
      <c r="T48" s="3180">
        <f>IF(F1="售价",ROUND(PRODUCT(T47,AB7:AB46),0),ROUND(PRODUCT(T47,AB7:AB46),1))</f>
        <v>8699</v>
      </c>
      <c r="U48" s="3180"/>
      <c r="V48" s="3180">
        <f>IF(F1="售价",ROUND(PRODUCT(V47,AC7:AC46),0),ROUND(PRODUCT(V47,AC7:AC46),1))</f>
        <v>8683</v>
      </c>
      <c r="W48" s="3180"/>
      <c r="X48" s="758"/>
      <c r="Y48" s="758"/>
      <c r="Z48" s="758"/>
      <c r="AA48" s="758"/>
      <c r="AB48" s="758"/>
      <c r="AC48" s="758"/>
    </row>
    <row r="49" spans="1:29" ht="15.75" thickBot="1">
      <c r="A49" s="492" t="s">
        <v>3027</v>
      </c>
      <c r="B49" s="493"/>
      <c r="C49" s="1415">
        <f>R49</f>
        <v>8604</v>
      </c>
      <c r="D49" s="1416"/>
      <c r="E49" s="1416"/>
      <c r="F49" s="1416"/>
      <c r="G49" s="1416"/>
      <c r="H49" s="1416"/>
      <c r="I49" s="1416"/>
      <c r="J49" s="1416"/>
      <c r="K49" s="2620"/>
      <c r="L49" s="1142"/>
      <c r="M49" s="1143"/>
      <c r="N49" s="1143"/>
      <c r="O49" s="1143"/>
      <c r="P49" s="3176" t="str">
        <f>A49</f>
        <v>估价对象住宅用房的比较价值（楼面单价，元/平方米）</v>
      </c>
      <c r="Q49" s="3177"/>
      <c r="R49" s="3178">
        <f>IF(F1="售价",ROUND(AVERAGE(R48:V48),0),ROUND(AVERAGE(R48:V48),1))</f>
        <v>8604</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0.11506524317912215</v>
      </c>
      <c r="F52" s="500" t="str">
        <f>IF(OR(E52&gt;=0.3,E52&lt;=-0.3),"超过30%","")</f>
        <v/>
      </c>
      <c r="G52" s="499">
        <f>IF(G47&lt;G48,G48/G47-1,G47/G48-1)</f>
        <v>0.11507069778135426</v>
      </c>
      <c r="H52" s="500" t="str">
        <f>IF(OR(G52&gt;=0.3,G52&lt;=-0.3),"超过30%","")</f>
        <v/>
      </c>
      <c r="I52" s="499">
        <f>IF(I47&lt;I48,I48/I47-1,I47/I48-1)</f>
        <v>8.2575146838650193E-2</v>
      </c>
      <c r="J52" s="500" t="str">
        <f>IF(OR(I52&gt;=0.3,I52&lt;=-0.3),"超过30%","")</f>
        <v/>
      </c>
      <c r="K52" s="1104"/>
      <c r="L52" s="1105"/>
      <c r="M52" s="1143"/>
      <c r="N52" s="1143"/>
      <c r="O52" s="1143"/>
    </row>
    <row r="53" spans="1:29" ht="13.5" customHeight="1">
      <c r="A53" s="1143"/>
      <c r="B53" s="1143"/>
      <c r="C53" s="497" t="s">
        <v>2534</v>
      </c>
      <c r="D53" s="501"/>
      <c r="E53" s="499">
        <f>IF(E48&lt;G48,G48/E48-1,E48/G48-1)</f>
        <v>3.1909845788849367E-2</v>
      </c>
      <c r="F53" s="500" t="str">
        <f>IF(OR(E53&gt;=0.2,E53&lt;=-0.2),"超过20%","")</f>
        <v/>
      </c>
      <c r="G53" s="499">
        <f>IF(G48&lt;I48,I48/G48-1,G48/I48-1)</f>
        <v>1.8426811010019417E-3</v>
      </c>
      <c r="H53" s="500" t="str">
        <f>IF(OR(G53&gt;=0.2,G53&lt;=-0.2),"超过20%","")</f>
        <v/>
      </c>
      <c r="I53" s="499">
        <f>IF(I48&lt;E48,E48/I48-1,I48/E48-1)</f>
        <v>3.0011862396204014E-2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3.1914893617021267E-2</v>
      </c>
      <c r="F54" s="500" t="str">
        <f>IF(OR(E54&gt;=0.3,E54&lt;=-0.3),"超过30%","")</f>
        <v/>
      </c>
      <c r="G54" s="499">
        <f>IF(G47&lt;I47,I47/G47-1,G47/I47-1)</f>
        <v>3.1914893617021267E-2</v>
      </c>
      <c r="H54" s="500" t="str">
        <f>IF(OR(G54&gt;=0.3,G54&lt;=-0.3),"超过30%","")</f>
        <v/>
      </c>
      <c r="I54" s="499">
        <f>IF(I47&lt;E47,E47/I47-1,I47/E47-1)</f>
        <v>0</v>
      </c>
      <c r="J54" s="500" t="str">
        <f>IF(OR(I54&gt;=0.3,I54&lt;=-0.3),"超过30%","")</f>
        <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2536</v>
      </c>
      <c r="B57" s="758"/>
      <c r="C57" s="763"/>
      <c r="D57" s="763"/>
      <c r="E57" s="763"/>
      <c r="F57" s="764"/>
      <c r="G57" s="764"/>
      <c r="H57" s="763"/>
      <c r="I57" s="763"/>
      <c r="J57" s="763"/>
      <c r="K57" s="1159"/>
      <c r="L57" s="1160"/>
      <c r="M57" s="1158"/>
      <c r="N57" s="1158"/>
      <c r="O57" s="1158"/>
      <c r="P57" s="2623"/>
      <c r="Q57" s="504"/>
    </row>
    <row r="58" spans="1:29" s="508" customFormat="1" ht="15">
      <c r="A58" s="505" t="s">
        <v>2537</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住宅</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7"/>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t="s">
        <v>3098</v>
      </c>
      <c r="D68" s="549"/>
      <c r="E68" s="549"/>
      <c r="F68" s="549"/>
      <c r="G68" s="549"/>
      <c r="H68" s="549"/>
      <c r="I68" s="549"/>
      <c r="J68" s="549"/>
      <c r="K68" s="549"/>
      <c r="L68" s="549"/>
      <c r="M68" s="552"/>
      <c r="N68" s="1151"/>
      <c r="O68" s="1151"/>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2054</v>
      </c>
      <c r="C82" s="539" t="s">
        <v>2557</v>
      </c>
      <c r="D82" s="539" t="s">
        <v>2558</v>
      </c>
      <c r="E82" s="539" t="s">
        <v>2559</v>
      </c>
      <c r="F82" s="539" t="s">
        <v>2560</v>
      </c>
      <c r="G82" s="539" t="s">
        <v>2561</v>
      </c>
      <c r="H82" s="539"/>
      <c r="I82" s="539"/>
      <c r="J82" s="539"/>
      <c r="K82" s="539"/>
      <c r="L82" s="539"/>
      <c r="M82" s="1381"/>
      <c r="N82" s="1152"/>
      <c r="O82" s="1152"/>
      <c r="P82" s="2627"/>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2563</v>
      </c>
      <c r="C86" s="554" t="s">
        <v>3032</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27"/>
      <c r="Q87" s="504"/>
    </row>
    <row r="88" spans="1:17" s="117" customFormat="1" ht="15.75" thickTop="1">
      <c r="A88" s="579"/>
      <c r="B88" s="538" t="s">
        <v>2564</v>
      </c>
      <c r="C88" s="554" t="s">
        <v>3032</v>
      </c>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27"/>
      <c r="Q89" s="504"/>
    </row>
    <row r="90" spans="1:17" s="471" customFormat="1" ht="15.75" thickTop="1">
      <c r="A90" s="553"/>
      <c r="B90" s="538" t="str">
        <f>B27</f>
        <v>道路级别</v>
      </c>
      <c r="C90" s="2978" t="s">
        <v>3069</v>
      </c>
      <c r="D90" s="2978" t="s">
        <v>3070</v>
      </c>
      <c r="E90" s="2978" t="s">
        <v>3055</v>
      </c>
      <c r="F90" s="554"/>
      <c r="G90" s="554"/>
      <c r="H90" s="555"/>
      <c r="I90" s="555"/>
      <c r="J90" s="555"/>
      <c r="K90" s="555"/>
      <c r="L90" s="556"/>
      <c r="M90" s="557"/>
      <c r="N90" s="1153"/>
      <c r="O90" s="1153"/>
      <c r="P90" s="2628"/>
      <c r="Q90" s="559"/>
    </row>
    <row r="91" spans="1:17" s="471" customFormat="1" ht="15.75" thickBot="1">
      <c r="A91" s="553"/>
      <c r="B91" s="543"/>
      <c r="C91" s="560">
        <v>100</v>
      </c>
      <c r="D91" s="560">
        <v>99</v>
      </c>
      <c r="E91" s="560">
        <v>98</v>
      </c>
      <c r="F91" s="560"/>
      <c r="G91" s="560"/>
      <c r="H91" s="562"/>
      <c r="I91" s="562"/>
      <c r="J91" s="562"/>
      <c r="K91" s="562"/>
      <c r="L91" s="562"/>
      <c r="M91" s="563"/>
      <c r="N91" s="1153"/>
      <c r="O91" s="1153"/>
      <c r="P91" s="2628"/>
      <c r="Q91" s="559"/>
    </row>
    <row r="92" spans="1:17" ht="15.75" thickTop="1">
      <c r="A92" s="534"/>
      <c r="B92" s="538">
        <f>B28</f>
        <v>0</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0</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2517</v>
      </c>
      <c r="B100" s="528" t="s">
        <v>2565</v>
      </c>
      <c r="C100" s="2980" t="s">
        <v>3072</v>
      </c>
      <c r="D100" s="2980"/>
      <c r="E100" s="530"/>
      <c r="F100" s="2980" t="s">
        <v>3083</v>
      </c>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27"/>
      <c r="Q101" s="504"/>
    </row>
    <row r="102" spans="1:17" ht="26.25" customHeight="1" thickTop="1">
      <c r="A102" s="534"/>
      <c r="B102" s="538" t="s">
        <v>2566</v>
      </c>
      <c r="C102" s="578" t="str">
        <f>C103&amp;"(含)"&amp;"-"&amp;D103</f>
        <v>——(含)-100000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t="s">
        <v>3098</v>
      </c>
      <c r="D103" s="595">
        <v>100000</v>
      </c>
      <c r="E103" s="595">
        <v>200000</v>
      </c>
      <c r="F103" s="595">
        <v>300000</v>
      </c>
      <c r="G103" s="595">
        <v>400000</v>
      </c>
      <c r="H103" s="595">
        <v>500000</v>
      </c>
      <c r="I103" s="595"/>
      <c r="J103" s="596"/>
      <c r="K103" s="596"/>
      <c r="L103" s="597"/>
      <c r="M103" s="598"/>
      <c r="N103" s="1153"/>
      <c r="O103" s="1153"/>
      <c r="P103" s="2628"/>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2"/>
      <c r="O104" s="1152"/>
      <c r="P104" s="2628"/>
      <c r="Q104" s="559"/>
    </row>
    <row r="105" spans="1:17" ht="15" thickTop="1">
      <c r="A105" s="599"/>
      <c r="B105" s="538" t="s">
        <v>2567</v>
      </c>
      <c r="C105" s="2978" t="s">
        <v>3073</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27"/>
      <c r="Q106" s="504"/>
    </row>
    <row r="107" spans="1:17" ht="15" thickTop="1">
      <c r="A107" s="599"/>
      <c r="B107" s="538" t="s">
        <v>2568</v>
      </c>
      <c r="C107" s="2981" t="s">
        <v>3075</v>
      </c>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27"/>
      <c r="Q108" s="504"/>
    </row>
    <row r="109" spans="1:17" ht="15" thickTop="1">
      <c r="A109" s="599"/>
      <c r="B109" s="538" t="s">
        <v>2569</v>
      </c>
      <c r="C109" s="2978" t="s">
        <v>3077</v>
      </c>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27"/>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8"/>
      <c r="Q113" s="559"/>
    </row>
    <row r="114" spans="1:17" ht="15" thickTop="1">
      <c r="A114" s="599"/>
      <c r="B114" s="538" t="s">
        <v>2570</v>
      </c>
      <c r="C114" s="2978" t="s">
        <v>3078</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27"/>
      <c r="Q115" s="504"/>
    </row>
    <row r="116" spans="1:17" ht="15" thickTop="1">
      <c r="A116" s="599"/>
      <c r="B116" s="538" t="s">
        <v>2571</v>
      </c>
      <c r="C116" s="2978" t="s">
        <v>3079</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2572</v>
      </c>
      <c r="C118" s="583" t="s">
        <v>3032</v>
      </c>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27"/>
      <c r="Q119" s="504"/>
    </row>
    <row r="120" spans="1:17" s="471" customFormat="1" ht="28.5" thickTop="1">
      <c r="A120" s="593"/>
      <c r="B120" s="538" t="s">
        <v>2528</v>
      </c>
      <c r="C120" s="554" t="s">
        <v>3032</v>
      </c>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28"/>
      <c r="Q121" s="559"/>
    </row>
    <row r="122" spans="1:17" ht="15" thickTop="1">
      <c r="A122" s="599"/>
      <c r="B122" s="538" t="s">
        <v>2573</v>
      </c>
      <c r="C122" s="2978" t="s">
        <v>3081</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3">
        <v>6</v>
      </c>
      <c r="C139" s="1084">
        <v>96</v>
      </c>
      <c r="D139" s="2645" t="s">
        <v>2584</v>
      </c>
      <c r="E139" s="1085">
        <v>100</v>
      </c>
      <c r="F139" s="1086">
        <v>102.5</v>
      </c>
      <c r="G139" s="2645" t="s">
        <v>2584</v>
      </c>
      <c r="H139" s="1087">
        <v>105</v>
      </c>
      <c r="I139" s="2646" t="s">
        <v>2585</v>
      </c>
      <c r="J139" s="1084">
        <v>20</v>
      </c>
      <c r="K139" s="1088">
        <f>C145/(J139-2)</f>
        <v>4.0555555555555553E-3</v>
      </c>
    </row>
    <row r="140" spans="1:17" ht="15">
      <c r="B140" s="1089">
        <v>5</v>
      </c>
      <c r="C140" s="1090">
        <v>100</v>
      </c>
      <c r="D140" s="1090"/>
      <c r="E140" s="1091"/>
      <c r="F140" s="1092">
        <v>102</v>
      </c>
      <c r="G140" s="1090"/>
      <c r="H140" s="1093"/>
      <c r="I140" s="2647" t="s">
        <v>2586</v>
      </c>
      <c r="J140" s="315">
        <f>ROUNDUP((J139-1)/2,0)</f>
        <v>10</v>
      </c>
      <c r="K140" s="1094">
        <v>100</v>
      </c>
    </row>
    <row r="141" spans="1:17" ht="15">
      <c r="B141" s="1089">
        <v>4</v>
      </c>
      <c r="C141" s="1090">
        <v>102</v>
      </c>
      <c r="D141" s="1090"/>
      <c r="E141" s="1091"/>
      <c r="F141" s="1092">
        <v>101.5</v>
      </c>
      <c r="G141" s="1090"/>
      <c r="H141" s="1093"/>
      <c r="I141" s="2647" t="s">
        <v>2587</v>
      </c>
      <c r="J141" s="315">
        <v>1</v>
      </c>
      <c r="K141" s="1095">
        <f>ROUND(100+(J141-J140)*K139*100,1)</f>
        <v>96.4</v>
      </c>
    </row>
    <row r="142" spans="1:17" ht="15">
      <c r="B142" s="1089">
        <v>3</v>
      </c>
      <c r="C142" s="1090">
        <v>103</v>
      </c>
      <c r="D142" s="1090"/>
      <c r="E142" s="1091"/>
      <c r="F142" s="1092">
        <v>101</v>
      </c>
      <c r="G142" s="1090"/>
      <c r="H142" s="1093"/>
      <c r="I142" s="2647" t="s">
        <v>2588</v>
      </c>
      <c r="J142" s="315">
        <f>J139</f>
        <v>20</v>
      </c>
      <c r="K142" s="1096">
        <v>95</v>
      </c>
    </row>
    <row r="143" spans="1:17" ht="15">
      <c r="B143" s="1089">
        <v>2</v>
      </c>
      <c r="C143" s="1090">
        <v>100</v>
      </c>
      <c r="D143" s="1090"/>
      <c r="E143" s="1091"/>
      <c r="F143" s="1092">
        <v>100.5</v>
      </c>
      <c r="G143" s="1090"/>
      <c r="H143" s="1093"/>
      <c r="I143" s="2647" t="s">
        <v>2589</v>
      </c>
      <c r="J143" s="1090">
        <v>15</v>
      </c>
      <c r="K143" s="1095">
        <f>ROUND(100+(J143-J140)*K139*100,1)</f>
        <v>102</v>
      </c>
    </row>
    <row r="144" spans="1:17" ht="15">
      <c r="B144" s="1089">
        <v>1</v>
      </c>
      <c r="C144" s="1090">
        <v>98</v>
      </c>
      <c r="D144" s="2648" t="s">
        <v>2590</v>
      </c>
      <c r="E144" s="1091">
        <v>102</v>
      </c>
      <c r="F144" s="1097">
        <v>100</v>
      </c>
      <c r="G144" s="2648" t="s">
        <v>2590</v>
      </c>
      <c r="H144" s="1093">
        <v>105</v>
      </c>
      <c r="I144" s="2647" t="s">
        <v>2589</v>
      </c>
      <c r="J144" s="1090">
        <v>18</v>
      </c>
      <c r="K144" s="1095">
        <f>ROUND(100+(J144-J140)*K139*100,1)</f>
        <v>103.2</v>
      </c>
    </row>
    <row r="145" spans="2:11" ht="15.75" thickBot="1">
      <c r="B145" s="2649" t="s">
        <v>2591</v>
      </c>
      <c r="C145" s="1098">
        <f>ROUND(MAX(C139:C144)/MIN(C139:C144)-1,3)</f>
        <v>7.2999999999999995E-2</v>
      </c>
      <c r="D145" s="1099"/>
      <c r="E145" s="1099"/>
      <c r="F145" s="2650" t="s">
        <v>2592</v>
      </c>
      <c r="G145" s="2651"/>
      <c r="H145" s="2652"/>
      <c r="I145" s="2653" t="s">
        <v>2589</v>
      </c>
      <c r="J145" s="1100">
        <v>8</v>
      </c>
      <c r="K145" s="1101">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43" sqref="C4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3009</v>
      </c>
      <c r="D1" s="1819" t="s">
        <v>70</v>
      </c>
      <c r="E1" s="1820" t="s">
        <v>1379</v>
      </c>
      <c r="F1" s="1282">
        <f ca="1">J53</f>
        <v>70</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434</v>
      </c>
      <c r="C2" s="1844" t="s">
        <v>1508</v>
      </c>
      <c r="D2" s="1844"/>
      <c r="E2" s="1845"/>
      <c r="F2" s="1846"/>
      <c r="G2" s="1847"/>
      <c r="H2" s="1839"/>
      <c r="I2" s="1839"/>
      <c r="J2" s="1839"/>
      <c r="K2" s="1840"/>
      <c r="L2" s="1839"/>
      <c r="M2" s="1839"/>
    </row>
    <row r="3" spans="1:37" ht="18" customHeight="1" thickBot="1">
      <c r="A3" s="1848" t="s">
        <v>1509</v>
      </c>
      <c r="B3" s="1849">
        <f ca="1">IF(ISERROR(B2*10000/F43),0,ROUND(B2*10000/F43,0))</f>
        <v>1733</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49</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49</v>
      </c>
      <c r="D6" s="164" t="s">
        <v>2986</v>
      </c>
      <c r="E6" s="347" t="s">
        <v>1397</v>
      </c>
      <c r="F6" s="348">
        <f ca="1">INDIRECT("'数据-取费表'!u"&amp;$G$1)</f>
        <v>0.6</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2504.4</v>
      </c>
      <c r="G7" s="1850"/>
      <c r="H7" s="349"/>
      <c r="I7" s="3226"/>
      <c r="J7" s="351"/>
      <c r="K7" s="352"/>
      <c r="L7" s="347" t="s">
        <v>1398</v>
      </c>
      <c r="M7" s="348">
        <f ca="1">F7</f>
        <v>2504.4</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1055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751</v>
      </c>
      <c r="D14" s="1799" t="s">
        <v>1410</v>
      </c>
      <c r="E14" s="1793"/>
      <c r="F14" s="364"/>
      <c r="G14" s="1850"/>
      <c r="H14" s="1200" t="s">
        <v>1031</v>
      </c>
      <c r="I14" s="347" t="s">
        <v>1411</v>
      </c>
      <c r="J14" s="24">
        <f ca="1">C29</f>
        <v>1134</v>
      </c>
      <c r="K14" s="15"/>
      <c r="L14" s="978"/>
      <c r="M14" s="979"/>
    </row>
    <row r="15" spans="1:37" s="1857" customFormat="1" ht="18" customHeight="1" thickBot="1">
      <c r="A15" s="1200" t="s">
        <v>1032</v>
      </c>
      <c r="B15" s="347" t="s">
        <v>1412</v>
      </c>
      <c r="C15" s="24">
        <f ca="1">ROUND(C14*F15,0)</f>
        <v>38</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75</v>
      </c>
      <c r="D16" s="347" t="s">
        <v>1413</v>
      </c>
      <c r="E16" s="347" t="s">
        <v>1414</v>
      </c>
      <c r="F16" s="367">
        <f ca="1">IF(INDIRECT("'数据-取费表'!c"&amp;$G$1)="住宅",'数据-取费表'!B34,0)</f>
        <v>0.1</v>
      </c>
      <c r="G16" s="1850"/>
      <c r="H16" s="1328" t="s">
        <v>1026</v>
      </c>
      <c r="I16" s="1329" t="s">
        <v>1416</v>
      </c>
      <c r="J16" s="355">
        <f ca="1">ROUND(J17+J22+J23+J24,0)</f>
        <v>32</v>
      </c>
      <c r="K16" s="1336" t="s">
        <v>1417</v>
      </c>
      <c r="L16" s="1337"/>
      <c r="M16" s="1293"/>
    </row>
    <row r="17" spans="1:37" s="1857" customFormat="1" ht="18" customHeight="1">
      <c r="A17" s="1200" t="s">
        <v>1382</v>
      </c>
      <c r="B17" s="347" t="s">
        <v>1418</v>
      </c>
      <c r="C17" s="24">
        <f ca="1">ROUND(F17*(F43+INDIRECT("'数据-取费表'!S"&amp;$G$1))/10000,0)</f>
        <v>38</v>
      </c>
      <c r="D17" s="347" t="s">
        <v>1419</v>
      </c>
      <c r="E17" s="347" t="s">
        <v>1420</v>
      </c>
      <c r="F17" s="26">
        <f>'数据-取费表'!B35</f>
        <v>150</v>
      </c>
      <c r="G17" s="1853"/>
      <c r="H17" s="1200" t="s">
        <v>1031</v>
      </c>
      <c r="I17" s="347" t="s">
        <v>1421</v>
      </c>
      <c r="J17" s="24">
        <f ca="1">ROUND(IF(项目基本情况!B11="自然人",J5*M17,J18+J19+J20),1)</f>
        <v>9.5</v>
      </c>
      <c r="K17" s="1799" t="s">
        <v>1422</v>
      </c>
      <c r="L17" s="1797" t="s">
        <v>1423</v>
      </c>
      <c r="M17" s="368">
        <f ca="1">IF(项目基本情况!B11="企业","",IF(INDIRECT("'数据-取费表'!c"&amp;$G$1)="住宅",5%,IF(M6*M7*M8/12/(1+'数据-取费表'!C42)&gt;20000,12%,7%)))</f>
        <v>0.05</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11</v>
      </c>
      <c r="D18" s="347" t="s">
        <v>1413</v>
      </c>
      <c r="E18" s="347" t="s">
        <v>1414</v>
      </c>
      <c r="F18" s="367">
        <f>'数据-取费表'!B36</f>
        <v>1.4999999999999999E-2</v>
      </c>
      <c r="G18" s="1853"/>
      <c r="H18" s="1200" t="s">
        <v>1030</v>
      </c>
      <c r="I18" s="347" t="s">
        <v>1425</v>
      </c>
      <c r="J18" s="24">
        <f ca="1">ROUND(J5*M18/(1+'数据-取费表'!C42),2)</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913</v>
      </c>
      <c r="D19" s="140" t="s">
        <v>1428</v>
      </c>
      <c r="E19" s="1817"/>
      <c r="F19" s="26"/>
      <c r="G19" s="1850"/>
      <c r="H19" s="1200" t="s">
        <v>1032</v>
      </c>
      <c r="I19" s="347" t="s">
        <v>1429</v>
      </c>
      <c r="J19" s="24">
        <f ca="1">IF(K19="按租金收入计税",ROUND(J5*M19,2),ROUND(C29*M19*0.7,2))</f>
        <v>9.5299999999999994</v>
      </c>
      <c r="K19" s="1827" t="s">
        <v>1430</v>
      </c>
      <c r="L19" s="347" t="s">
        <v>1414</v>
      </c>
      <c r="M19" s="367">
        <f>IF(K19="按租金收入计税",'数据-取费表'!B51,'数据-取费表'!B50)</f>
        <v>1.2E-2</v>
      </c>
    </row>
    <row r="20" spans="1:37" s="1857" customFormat="1" ht="18" customHeight="1">
      <c r="A20" s="1200" t="s">
        <v>1035</v>
      </c>
      <c r="B20" s="347" t="s">
        <v>1431</v>
      </c>
      <c r="C20" s="24">
        <f ca="1">ROUND(C19*F20,0)</f>
        <v>18</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ROUND(J14*M22,1)</f>
        <v>22.7</v>
      </c>
      <c r="K22" s="1797"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1817"/>
      <c r="F25" s="26"/>
      <c r="G25" s="1850"/>
      <c r="H25" s="1328" t="s">
        <v>1027</v>
      </c>
      <c r="I25" s="1343" t="s">
        <v>1455</v>
      </c>
      <c r="J25" s="355">
        <f ca="1">J5-J16</f>
        <v>-32</v>
      </c>
      <c r="K25" s="1344" t="s">
        <v>1456</v>
      </c>
      <c r="L25" s="1345"/>
      <c r="M25" s="1346"/>
    </row>
    <row r="26" spans="1:37">
      <c r="A26" s="1200" t="s">
        <v>1030</v>
      </c>
      <c r="B26" s="347" t="s">
        <v>1457</v>
      </c>
      <c r="C26" s="24">
        <f ca="1">ROUND((C19+C20)*F26,0)</f>
        <v>74</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1134</v>
      </c>
      <c r="D29" s="1341"/>
      <c r="E29" s="1339"/>
      <c r="F29" s="1342"/>
      <c r="G29" s="1853"/>
      <c r="H29" s="380" t="s">
        <v>1029</v>
      </c>
      <c r="I29" s="381" t="s">
        <v>1471</v>
      </c>
      <c r="J29" s="382">
        <f ca="1">ROUND(J26/(1+F40)^F41,0)</f>
        <v>0</v>
      </c>
      <c r="K29" s="383" t="s">
        <v>1472</v>
      </c>
      <c r="L29" s="384"/>
      <c r="M29" s="385">
        <f ca="1">INDIRECT("'数据-取费表'!k"&amp;$G$1)</f>
        <v>2504.4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34</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ROUND(IF(项目基本情况!B11="自然人",C5*F31,C32+C33+C34),1)</f>
        <v>8.5</v>
      </c>
      <c r="D31" s="1799" t="s">
        <v>1422</v>
      </c>
      <c r="E31" s="1797" t="s">
        <v>1473</v>
      </c>
      <c r="F31" s="368">
        <f ca="1">IF(项目基本情况!B11="企业","",IF(INDIRECT("'数据-取费表'!c"&amp;$G$1)="住宅",5%,IF(F6*F7*F8/12/(1+'数据-取费表'!C42)&gt;20000,12%,7%)))</f>
        <v>0.05</v>
      </c>
      <c r="G31" s="1850"/>
      <c r="H31" s="744"/>
      <c r="I31" s="745"/>
      <c r="J31" s="746"/>
      <c r="K31" s="747"/>
      <c r="L31" s="748"/>
      <c r="M31" s="749"/>
    </row>
    <row r="32" spans="1:37" ht="18" customHeight="1">
      <c r="A32" s="1200" t="s">
        <v>1030</v>
      </c>
      <c r="B32" s="347" t="s">
        <v>1425</v>
      </c>
      <c r="C32" s="24">
        <f ca="1">IF(项目基本情况!B11="自然人","——",ROUND(C5*F32/(1+'数据-取费表'!C42),2))</f>
        <v>2.57</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5.88</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22.7</v>
      </c>
      <c r="D36" s="1797"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2.1</v>
      </c>
      <c r="D37" s="1797"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1</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15</v>
      </c>
      <c r="D39" s="1344" t="s">
        <v>1476</v>
      </c>
      <c r="E39" s="1345"/>
      <c r="F39" s="1346"/>
      <c r="G39" s="1850"/>
      <c r="H39" s="1858"/>
      <c r="I39" s="1859"/>
      <c r="J39" s="1860"/>
      <c r="K39" s="1864"/>
      <c r="L39" s="1858"/>
      <c r="M39" s="1858"/>
    </row>
    <row r="40" spans="1:18" ht="18" customHeight="1">
      <c r="A40" s="344" t="s">
        <v>1028</v>
      </c>
      <c r="B40" s="345" t="s">
        <v>1477</v>
      </c>
      <c r="C40" s="346">
        <f ca="1">ROUND(C39*(1-((1+F42)/(1+F40))^F41)/(F40-F42),0)</f>
        <v>434</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70</v>
      </c>
      <c r="G41" s="1850"/>
      <c r="H41" s="731"/>
      <c r="I41" s="1859"/>
      <c r="J41" s="1860"/>
      <c r="K41" s="750"/>
      <c r="L41" s="731"/>
      <c r="M41" s="731"/>
    </row>
    <row r="42" spans="1:18" ht="18" customHeight="1">
      <c r="A42" s="353"/>
      <c r="B42" s="354"/>
      <c r="C42" s="355"/>
      <c r="D42" s="373"/>
      <c r="E42" s="347" t="s">
        <v>1469</v>
      </c>
      <c r="F42" s="357">
        <f ca="1">INDIRECT("'数据-取费表'!v"&amp;$G$1)</f>
        <v>0.02</v>
      </c>
      <c r="G42" s="1850"/>
      <c r="H42" s="731"/>
      <c r="I42" s="1859"/>
      <c r="J42" s="1860"/>
      <c r="K42" s="750"/>
      <c r="L42" s="731"/>
      <c r="M42" s="731"/>
    </row>
    <row r="43" spans="1:18" ht="18" customHeight="1" thickBot="1">
      <c r="A43" s="380" t="s">
        <v>1029</v>
      </c>
      <c r="B43" s="381" t="s">
        <v>1479</v>
      </c>
      <c r="C43" s="382">
        <f ca="1">ROUND(C40*10000/F43,0)</f>
        <v>1733</v>
      </c>
      <c r="D43" s="383" t="s">
        <v>1480</v>
      </c>
      <c r="E43" s="384" t="s">
        <v>1481</v>
      </c>
      <c r="F43" s="385">
        <f ca="1">INDIRECT("'数据-取费表'!k"&amp;$G$1)</f>
        <v>2504.4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-2755</v>
      </c>
      <c r="D46" s="1871" t="str">
        <f>C2</f>
        <v>万元</v>
      </c>
      <c r="E46" s="1865"/>
      <c r="F46" s="1865"/>
      <c r="I46" s="1872" t="s">
        <v>1513</v>
      </c>
      <c r="J46" s="1873"/>
      <c r="K46" s="1874"/>
      <c r="L46" s="1875">
        <f>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70</v>
      </c>
      <c r="M47" s="1837" t="str">
        <f>IF(ISNUMBER(FIND("住宅",C1)),"住宅","非住宅")</f>
        <v>住宅</v>
      </c>
      <c r="O47" s="1883" t="s">
        <v>1036</v>
      </c>
      <c r="P47" s="1884" t="s">
        <v>1520</v>
      </c>
      <c r="Q47" s="1885">
        <f ca="1">C40+J29</f>
        <v>434</v>
      </c>
      <c r="R47" s="1885" t="s">
        <v>1521</v>
      </c>
    </row>
    <row r="48" spans="1:18" s="1841" customFormat="1" ht="28.5" thickBot="1">
      <c r="A48" s="1359" t="s">
        <v>1131</v>
      </c>
      <c r="B48" s="345" t="s">
        <v>1393</v>
      </c>
      <c r="C48" s="1816">
        <f ca="1">C49+C53+C55</f>
        <v>0</v>
      </c>
      <c r="D48" s="1361"/>
      <c r="E48" s="1362"/>
      <c r="F48" s="1180"/>
      <c r="G48" s="791"/>
      <c r="H48" s="792"/>
      <c r="I48" s="1886" t="s">
        <v>1522</v>
      </c>
      <c r="J48" s="1887" t="s">
        <v>3031</v>
      </c>
      <c r="K48" s="1888" t="s">
        <v>1523</v>
      </c>
      <c r="L48" s="1889">
        <f ca="1">INDIRECT("'数据-取费表'!f"&amp;$G$1)</f>
        <v>70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1134</v>
      </c>
      <c r="R49" s="1885" t="s">
        <v>1521</v>
      </c>
    </row>
    <row r="50" spans="1:18" s="1841" customFormat="1" ht="13.5" thickBot="1">
      <c r="A50" s="1194"/>
      <c r="B50" s="1197"/>
      <c r="C50" s="1367"/>
      <c r="D50" s="1171"/>
      <c r="E50" s="1276" t="s">
        <v>1398</v>
      </c>
      <c r="F50" s="1277">
        <f ca="1">F7</f>
        <v>2504.4</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-1747</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70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70</v>
      </c>
      <c r="K53" s="3223" t="s">
        <v>1540</v>
      </c>
      <c r="L53" s="3224"/>
      <c r="O53" s="1883" t="s">
        <v>1042</v>
      </c>
      <c r="P53" s="1884" t="s">
        <v>1541</v>
      </c>
      <c r="Q53" s="1885">
        <f ca="1">Q47+Q48</f>
        <v>434</v>
      </c>
      <c r="R53" s="1885" t="s">
        <v>1043</v>
      </c>
    </row>
    <row r="54" spans="1:18" s="1841" customFormat="1" ht="13.5" thickBot="1">
      <c r="A54" s="1405"/>
      <c r="B54" s="1824" t="s">
        <v>1380</v>
      </c>
      <c r="C54" s="1177"/>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1055</v>
      </c>
      <c r="D56" s="1913"/>
      <c r="E56" s="1914"/>
      <c r="F56" s="1906"/>
      <c r="I56" s="1915" t="s">
        <v>1546</v>
      </c>
      <c r="J56" s="1916" t="s">
        <v>3019</v>
      </c>
      <c r="K56" s="1886" t="s">
        <v>1547</v>
      </c>
      <c r="L56" s="1889">
        <f ca="1">IF(L48&lt;J51,"——",L48-J53)</f>
        <v>0</v>
      </c>
      <c r="O56" s="1883" t="s">
        <v>1036</v>
      </c>
      <c r="P56" s="1884" t="s">
        <v>1520</v>
      </c>
      <c r="Q56" s="1885">
        <f ca="1">C40+J29</f>
        <v>434</v>
      </c>
      <c r="R56" s="1885" t="s">
        <v>1521</v>
      </c>
    </row>
    <row r="57" spans="1:18" s="1841" customFormat="1" ht="24.75" thickBot="1">
      <c r="A57" s="1917"/>
      <c r="B57" s="1168" t="s">
        <v>1470</v>
      </c>
      <c r="C57" s="282">
        <f ca="1">C29</f>
        <v>1134</v>
      </c>
      <c r="D57" s="1918"/>
      <c r="E57" s="1919"/>
      <c r="F57" s="1920"/>
      <c r="I57" s="1921" t="s">
        <v>1548</v>
      </c>
      <c r="J57" s="1922" t="str">
        <f ca="1">IF(OR(M47="住宅",J51&lt;L48,J56="是"),"——",J51-L48)</f>
        <v>——</v>
      </c>
      <c r="K57" s="1886" t="s">
        <v>1549</v>
      </c>
      <c r="L57" s="1889">
        <f ca="1">IF(L48&lt;J51,"——",IF(L55="比较法",L49,IF(L55="基准地价",L50,L51)))</f>
        <v>-1747</v>
      </c>
      <c r="O57" s="1883" t="s">
        <v>1037</v>
      </c>
      <c r="P57" s="1884" t="s">
        <v>1550</v>
      </c>
      <c r="Q57" s="1885">
        <f ca="1">L60</f>
        <v>0</v>
      </c>
      <c r="R57" s="1885" t="s">
        <v>1551</v>
      </c>
    </row>
    <row r="58" spans="1:18" s="1841" customFormat="1" ht="24.75" thickBot="1">
      <c r="A58" s="360" t="s">
        <v>1026</v>
      </c>
      <c r="B58" s="1176" t="s">
        <v>1416</v>
      </c>
      <c r="C58" s="361">
        <f ca="1">ROUND(C59+C64+C65+C66,0)</f>
        <v>120</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95.3</v>
      </c>
      <c r="D59" s="1181" t="s">
        <v>1422</v>
      </c>
      <c r="E59" s="1182" t="s">
        <v>1423</v>
      </c>
      <c r="F59" s="368">
        <f ca="1">IF(项目基本情况!B11="企业","",IF(INDIRECT("'数据-取费表'!c"&amp;$G$1)="住宅",5%,IF(F49*F50*F51/12/(1+'数据-取费表'!C42)&gt;20000,12%,7%)))</f>
        <v>0.05</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95.26</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1488</v>
      </c>
      <c r="C62" s="25">
        <f ca="1">IF(项目基本情况!B11="自然人","——",ROUND(F62*F63/10000,2))</f>
        <v>0</v>
      </c>
      <c r="D62" s="1183" t="s">
        <v>1489</v>
      </c>
      <c r="E62" s="1168" t="s">
        <v>1490</v>
      </c>
      <c r="F62" s="371">
        <f t="shared" si="0"/>
        <v>5</v>
      </c>
      <c r="I62" s="1928" t="s">
        <v>1562</v>
      </c>
      <c r="J62" s="1929" t="s">
        <v>1563</v>
      </c>
      <c r="K62" s="1929" t="s">
        <v>1564</v>
      </c>
      <c r="L62" s="1929" t="s">
        <v>1565</v>
      </c>
      <c r="M62" s="1930" t="s">
        <v>1566</v>
      </c>
      <c r="O62" s="1883" t="s">
        <v>1042</v>
      </c>
      <c r="P62" s="1884" t="s">
        <v>1567</v>
      </c>
      <c r="Q62" s="1885">
        <f ca="1">Q56+Q57</f>
        <v>434</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22.7</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2.1</v>
      </c>
      <c r="D65" s="1182" t="s">
        <v>1446</v>
      </c>
      <c r="E65" s="1168" t="s">
        <v>1447</v>
      </c>
      <c r="F65" s="376">
        <f t="shared" ca="1" si="0"/>
        <v>2E-3</v>
      </c>
      <c r="I65" s="1928" t="s">
        <v>1571</v>
      </c>
      <c r="J65" s="1929">
        <v>40</v>
      </c>
      <c r="K65" s="1929">
        <v>30</v>
      </c>
      <c r="L65" s="1929">
        <v>50</v>
      </c>
      <c r="M65" s="1931">
        <v>0.02</v>
      </c>
      <c r="O65" s="1883" t="s">
        <v>1036</v>
      </c>
      <c r="P65" s="1884" t="s">
        <v>1572</v>
      </c>
      <c r="Q65" s="1885">
        <f ca="1">C40+J29</f>
        <v>434</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-120</v>
      </c>
      <c r="D67" s="1181" t="s">
        <v>1456</v>
      </c>
      <c r="E67" s="1186"/>
      <c r="F67" s="1187"/>
      <c r="O67" s="1893" t="s">
        <v>1038</v>
      </c>
      <c r="P67" s="1884" t="s">
        <v>1554</v>
      </c>
      <c r="Q67" s="1932">
        <f ca="1">L51</f>
        <v>-1747</v>
      </c>
      <c r="R67" s="1885" t="s">
        <v>1574</v>
      </c>
    </row>
    <row r="68" spans="1:18" s="1841" customFormat="1" ht="16.5" thickBot="1">
      <c r="A68" s="1165" t="s">
        <v>1028</v>
      </c>
      <c r="B68" s="1166" t="s">
        <v>1477</v>
      </c>
      <c r="C68" s="346">
        <f ca="1">ROUND(C67*(1-((1+F70)/(1+F68))^F69)/(F68-F70),0)</f>
        <v>-2321</v>
      </c>
      <c r="D68" s="1183" t="s">
        <v>1461</v>
      </c>
      <c r="E68" s="1168" t="s">
        <v>1462</v>
      </c>
      <c r="F68" s="357">
        <f ca="1">F40</f>
        <v>0.05</v>
      </c>
      <c r="O68" s="1893" t="s">
        <v>1039</v>
      </c>
      <c r="P68" s="1933" t="s">
        <v>1575</v>
      </c>
      <c r="Q68" s="1885">
        <f ca="1">ROUND(Q69-Q70*Q71,0)</f>
        <v>-75</v>
      </c>
      <c r="R68" s="1885" t="s">
        <v>1047</v>
      </c>
    </row>
    <row r="69" spans="1:18" s="1841" customFormat="1" ht="13.5" thickBot="1">
      <c r="A69" s="1169"/>
      <c r="B69" s="1170"/>
      <c r="C69" s="351"/>
      <c r="D69" s="1188" t="s">
        <v>1465</v>
      </c>
      <c r="E69" s="1168" t="s">
        <v>1466</v>
      </c>
      <c r="F69" s="379">
        <f ca="1">F41</f>
        <v>70</v>
      </c>
      <c r="O69" s="1893" t="s">
        <v>1044</v>
      </c>
      <c r="P69" s="1933" t="s">
        <v>1576</v>
      </c>
      <c r="Q69" s="1885">
        <f ca="1">C39</f>
        <v>15</v>
      </c>
      <c r="R69" s="1885" t="s">
        <v>1521</v>
      </c>
    </row>
    <row r="70" spans="1:18" s="1841" customFormat="1" ht="13.5" thickBot="1">
      <c r="A70" s="1172"/>
      <c r="B70" s="1173"/>
      <c r="C70" s="355"/>
      <c r="D70" s="1184"/>
      <c r="E70" s="1168" t="s">
        <v>1469</v>
      </c>
      <c r="F70" s="1274"/>
      <c r="O70" s="1893" t="s">
        <v>1045</v>
      </c>
      <c r="P70" s="1933" t="s">
        <v>1577</v>
      </c>
      <c r="Q70" s="1885">
        <f ca="1">C13</f>
        <v>1055</v>
      </c>
      <c r="R70" s="1885" t="s">
        <v>1521</v>
      </c>
    </row>
    <row r="71" spans="1:18" s="1841" customFormat="1" ht="13.5" thickBot="1">
      <c r="A71" s="1189" t="s">
        <v>1029</v>
      </c>
      <c r="B71" s="1190" t="s">
        <v>1479</v>
      </c>
      <c r="C71" s="382">
        <f ca="1">ROUND(C68*10000/F71,0)</f>
        <v>-9268</v>
      </c>
      <c r="D71" s="1191" t="s">
        <v>1480</v>
      </c>
      <c r="E71" s="1192" t="s">
        <v>1481</v>
      </c>
      <c r="F71" s="385">
        <f ca="1">F43</f>
        <v>2504.4</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90</v>
      </c>
      <c r="D75" s="1841"/>
      <c r="E75" s="1841"/>
      <c r="F75" s="1841"/>
      <c r="K75" s="1867"/>
      <c r="L75" s="1841"/>
      <c r="O75" s="1883" t="s">
        <v>1042</v>
      </c>
      <c r="P75" s="1884" t="s">
        <v>1541</v>
      </c>
      <c r="Q75" s="1885">
        <f ca="1">Q65+Q66</f>
        <v>434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-5</v>
      </c>
    </row>
    <row r="80" spans="1:18">
      <c r="B80" s="386" t="s">
        <v>1503</v>
      </c>
      <c r="C80" s="318">
        <f ca="1">ROUND(C75/C39,3)</f>
        <v>6</v>
      </c>
    </row>
    <row r="81" spans="2:3">
      <c r="B81" s="314" t="s">
        <v>1504</v>
      </c>
      <c r="C81" s="282"/>
    </row>
    <row r="82" spans="2:3">
      <c r="B82" s="317" t="s">
        <v>1505</v>
      </c>
      <c r="C82" s="319">
        <f ca="1">1-C83</f>
        <v>-1.431</v>
      </c>
    </row>
    <row r="83" spans="2:3">
      <c r="B83" s="317" t="s">
        <v>1506</v>
      </c>
      <c r="C83" s="318">
        <f ca="1">ROUND(C13/C40,3)</f>
        <v>2.431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c r="D1" s="1819"/>
      <c r="E1" s="1820" t="s">
        <v>1379</v>
      </c>
      <c r="F1" s="1282" t="b">
        <f>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3"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1">
        <f ca="1">C6+C10+C12</f>
        <v>0</v>
      </c>
      <c r="D5" s="1821" t="s">
        <v>1593</v>
      </c>
      <c r="E5" s="1292"/>
      <c r="F5" s="1293"/>
      <c r="G5" s="1850"/>
      <c r="H5" s="344">
        <v>1</v>
      </c>
      <c r="I5" s="345" t="s">
        <v>1592</v>
      </c>
      <c r="J5" s="1291">
        <f ca="1">J6+J10+J12</f>
        <v>0</v>
      </c>
      <c r="K5" s="1821" t="s">
        <v>1593</v>
      </c>
      <c r="L5" s="1292"/>
      <c r="M5" s="1293"/>
    </row>
    <row r="6" spans="1:37" ht="18" customHeight="1">
      <c r="A6" s="1290" t="s">
        <v>1031</v>
      </c>
      <c r="B6" s="3225" t="s">
        <v>1395</v>
      </c>
      <c r="C6" s="1295">
        <f ca="1">ROUND(F6*F8*F7*(1-F9),0)</f>
        <v>0</v>
      </c>
      <c r="D6" s="164" t="s">
        <v>2983</v>
      </c>
      <c r="E6" s="347" t="s">
        <v>1397</v>
      </c>
      <c r="F6" s="348">
        <f ca="1">INDIRECT("'数据-取费表'!u"&amp;$G$1)</f>
        <v>0</v>
      </c>
      <c r="G6" s="1850"/>
      <c r="H6" s="1290" t="s">
        <v>1031</v>
      </c>
      <c r="I6" s="3225" t="s">
        <v>1395</v>
      </c>
      <c r="J6" s="346">
        <f ca="1">ROUND(M6*M8*M7*(1-M9),0)</f>
        <v>0</v>
      </c>
      <c r="K6" s="1833" t="s">
        <v>2984</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0</v>
      </c>
      <c r="G7" s="1850"/>
      <c r="H7" s="349"/>
      <c r="I7" s="3226"/>
      <c r="J7" s="351"/>
      <c r="K7" s="352"/>
      <c r="L7" s="347" t="s">
        <v>1398</v>
      </c>
      <c r="M7" s="348">
        <f ca="1">F7</f>
        <v>0</v>
      </c>
    </row>
    <row r="8" spans="1:37" ht="18" customHeight="1">
      <c r="A8" s="349"/>
      <c r="B8" s="3226"/>
      <c r="C8" s="351"/>
      <c r="D8" s="352"/>
      <c r="E8" s="347" t="s">
        <v>1399</v>
      </c>
      <c r="F8" s="348">
        <f ca="1">INDIRECT("'数据-取费表'!ai"&amp;$G$1)</f>
        <v>0</v>
      </c>
      <c r="G8" s="1850"/>
      <c r="H8" s="349"/>
      <c r="I8" s="3226"/>
      <c r="J8" s="351"/>
      <c r="K8" s="352"/>
      <c r="L8" s="347" t="s">
        <v>1399</v>
      </c>
      <c r="M8" s="348">
        <f ca="1">INDIRECT("'数据-取费表'!ai"&amp;$G$1)</f>
        <v>0</v>
      </c>
    </row>
    <row r="9" spans="1:37" ht="18" customHeight="1">
      <c r="A9" s="349"/>
      <c r="B9" s="3227"/>
      <c r="C9" s="351"/>
      <c r="D9" s="352"/>
      <c r="E9" s="347" t="s">
        <v>1400</v>
      </c>
      <c r="F9" s="357">
        <f ca="1">INDIRECT("'数据-取费表'!w"&amp;$G$1)</f>
        <v>0</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2994</v>
      </c>
      <c r="E10" s="358" t="s">
        <v>1402</v>
      </c>
      <c r="F10" s="1365"/>
      <c r="G10" s="1850"/>
      <c r="H10" s="1290" t="s">
        <v>1035</v>
      </c>
      <c r="I10" s="1822" t="s">
        <v>1401</v>
      </c>
      <c r="J10" s="346">
        <f ca="1">ROUND(IF(M10="押一",J6/12*M11,IF(M10="押二",J6/12*2*M11,IF(M10="押三",J6/12*3*M11,J11*M11))),0)</f>
        <v>0</v>
      </c>
      <c r="K10" s="1834" t="s">
        <v>2996</v>
      </c>
      <c r="L10" s="358" t="s">
        <v>1402</v>
      </c>
      <c r="M10" s="1365"/>
    </row>
    <row r="11" spans="1:37" ht="18" customHeight="1">
      <c r="A11" s="353"/>
      <c r="B11" s="1824" t="s">
        <v>1594</v>
      </c>
      <c r="C11" s="1177"/>
      <c r="D11" s="352"/>
      <c r="E11" s="358" t="s">
        <v>1404</v>
      </c>
      <c r="F11" s="359">
        <f ca="1">'数据-取费表'!B39</f>
        <v>1.4999999999999999E-2</v>
      </c>
      <c r="G11" s="1850"/>
      <c r="H11" s="1298"/>
      <c r="I11" s="1824" t="s">
        <v>1595</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50"/>
      <c r="H13" s="1328">
        <v>2</v>
      </c>
      <c r="I13" s="1329" t="s">
        <v>1406</v>
      </c>
      <c r="J13" s="1289">
        <f ca="1">ROUND(J14*J15,0)</f>
        <v>0</v>
      </c>
      <c r="K13" s="1336" t="s">
        <v>1407</v>
      </c>
      <c r="L13" s="1851"/>
      <c r="M13" s="1852"/>
    </row>
    <row r="14" spans="1:37" ht="18" customHeight="1">
      <c r="A14" s="1200" t="s">
        <v>1030</v>
      </c>
      <c r="B14" s="347" t="s">
        <v>1409</v>
      </c>
      <c r="C14" s="363">
        <f ca="1">ROUND(INDIRECT("'数据-取费表'!l"&amp;$G$1)*F43+'数据-取费表'!L14*INDIRECT("'数据-取费表'!S"&amp;$G$1),0)</f>
        <v>0</v>
      </c>
      <c r="D14" s="1799" t="s">
        <v>1410</v>
      </c>
      <c r="E14" s="1793"/>
      <c r="F14" s="364"/>
      <c r="G14" s="1850"/>
      <c r="H14" s="1200" t="s">
        <v>1031</v>
      </c>
      <c r="I14" s="347" t="s">
        <v>1411</v>
      </c>
      <c r="J14" s="24">
        <f ca="1">C29</f>
        <v>0</v>
      </c>
      <c r="K14" s="15"/>
      <c r="L14" s="978"/>
      <c r="M14" s="979"/>
    </row>
    <row r="15" spans="1:37" s="1857" customFormat="1" ht="18" customHeight="1" thickBot="1">
      <c r="A15" s="1200" t="s">
        <v>1032</v>
      </c>
      <c r="B15" s="347" t="s">
        <v>1412</v>
      </c>
      <c r="C15" s="24">
        <f ca="1">ROUND(C14*F15,0)</f>
        <v>0</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50"/>
      <c r="H16" s="1328" t="s">
        <v>1026</v>
      </c>
      <c r="I16" s="1329" t="s">
        <v>1416</v>
      </c>
      <c r="J16" s="355">
        <f ca="1">ROUND(J17+J22+J23+J24,0)</f>
        <v>0</v>
      </c>
      <c r="K16" s="1336" t="s">
        <v>1417</v>
      </c>
      <c r="L16" s="1337"/>
      <c r="M16" s="1293"/>
    </row>
    <row r="17" spans="1:37" s="1857" customFormat="1" ht="18" customHeight="1">
      <c r="A17" s="1200" t="s">
        <v>1382</v>
      </c>
      <c r="B17" s="347" t="s">
        <v>1418</v>
      </c>
      <c r="C17" s="24">
        <f ca="1">ROUND(F17*(F43+INDIRECT("'数据-取费表'!S"&amp;$G$1)),0)</f>
        <v>0</v>
      </c>
      <c r="D17" s="347" t="s">
        <v>1419</v>
      </c>
      <c r="E17" s="347" t="s">
        <v>1420</v>
      </c>
      <c r="F17" s="26">
        <f>'数据-取费表'!B35</f>
        <v>150</v>
      </c>
      <c r="G17" s="1853"/>
      <c r="H17" s="1200" t="s">
        <v>1031</v>
      </c>
      <c r="I17" s="347" t="s">
        <v>1421</v>
      </c>
      <c r="J17" s="24">
        <f ca="1">ROUND(IF(项目基本情况!B11="自然人",J5*M17,J18+J19+J20),0)</f>
        <v>0</v>
      </c>
      <c r="K17" s="1799" t="s">
        <v>1422</v>
      </c>
      <c r="L17" s="1797"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0</v>
      </c>
      <c r="D18" s="347" t="s">
        <v>1413</v>
      </c>
      <c r="E18" s="347" t="s">
        <v>1414</v>
      </c>
      <c r="F18" s="367">
        <f>'数据-取费表'!B36</f>
        <v>1.4999999999999999E-2</v>
      </c>
      <c r="G18" s="1853"/>
      <c r="H18" s="1200" t="s">
        <v>1030</v>
      </c>
      <c r="I18" s="347" t="s">
        <v>1425</v>
      </c>
      <c r="J18" s="24">
        <f ca="1">ROUND(J5*M18/(1+'数据-取费表'!C42),0)</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0</v>
      </c>
      <c r="D19" s="140" t="s">
        <v>1428</v>
      </c>
      <c r="E19" s="1817"/>
      <c r="F19" s="26"/>
      <c r="G19" s="1850"/>
      <c r="H19" s="1200"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0" t="s">
        <v>1035</v>
      </c>
      <c r="B20" s="347" t="s">
        <v>1431</v>
      </c>
      <c r="C20" s="24">
        <f ca="1">ROUND(C19*F20,0)</f>
        <v>0</v>
      </c>
      <c r="D20" s="369" t="s">
        <v>1432</v>
      </c>
      <c r="E20" s="347" t="s">
        <v>1414</v>
      </c>
      <c r="F20" s="367">
        <f>'数据-取费表'!B37</f>
        <v>0.02</v>
      </c>
      <c r="G20" s="1853"/>
      <c r="H20" s="1200" t="s">
        <v>1381</v>
      </c>
      <c r="I20" s="164" t="s">
        <v>1433</v>
      </c>
      <c r="J20" s="25">
        <f ca="1">ROUND(M20*M21,0)</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ROUND(J14*M22,0)</f>
        <v>0</v>
      </c>
      <c r="K22" s="1797" t="s">
        <v>1442</v>
      </c>
      <c r="L22" s="347" t="s">
        <v>1414</v>
      </c>
      <c r="M22" s="374">
        <f ca="1">INDIRECT("'数据-取费表'!Ak"&amp;$G$1)</f>
        <v>0</v>
      </c>
    </row>
    <row r="23" spans="1:37" s="1857"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ROUND(J5*M24,0)</f>
        <v>0</v>
      </c>
      <c r="K24" s="1341" t="s">
        <v>1451</v>
      </c>
      <c r="L24" s="1339" t="s">
        <v>1447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1452</v>
      </c>
      <c r="B25" s="347" t="s">
        <v>1453</v>
      </c>
      <c r="C25" s="24"/>
      <c r="D25" s="140" t="s">
        <v>1454</v>
      </c>
      <c r="E25" s="1817"/>
      <c r="F25" s="26"/>
      <c r="G25" s="1850"/>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0</v>
      </c>
      <c r="D29" s="1341"/>
      <c r="E29" s="1339"/>
      <c r="F29" s="1342"/>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0</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ROUND(IF(项目基本情况!B11="自然人",C5*F31,C32+C33+C34),0)</f>
        <v>0</v>
      </c>
      <c r="D31" s="1799" t="s">
        <v>1422</v>
      </c>
      <c r="E31" s="1797" t="s">
        <v>1473</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1425</v>
      </c>
      <c r="C32" s="24">
        <f ca="1">IF(项目基本情况!B11="自然人","——",ROUND(C5*F32/(1+'数据-取费表'!C42),0))</f>
        <v>0</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0" t="s">
        <v>1381</v>
      </c>
      <c r="B34" s="164" t="s">
        <v>1433</v>
      </c>
      <c r="C34" s="25">
        <f ca="1">IF(项目基本情况!B11="自然人","——",ROUND(F34*F35,))</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ROUND(C29*F36,0)</f>
        <v>0</v>
      </c>
      <c r="D36" s="1797" t="s">
        <v>1474</v>
      </c>
      <c r="E36" s="347" t="s">
        <v>1414</v>
      </c>
      <c r="F36" s="374">
        <f ca="1">INDIRECT("'数据-取费表'!Ak"&amp;$G$1)</f>
        <v>0</v>
      </c>
      <c r="G36" s="1850"/>
      <c r="H36" s="1858"/>
      <c r="I36" s="1859"/>
      <c r="J36" s="1860"/>
      <c r="K36" s="750"/>
      <c r="L36" s="1858"/>
      <c r="M36" s="1858"/>
    </row>
    <row r="37" spans="1:18" ht="18" customHeight="1">
      <c r="A37" s="1200" t="s">
        <v>1071</v>
      </c>
      <c r="B37" s="347" t="s">
        <v>1445</v>
      </c>
      <c r="C37" s="24">
        <f ca="1">ROUND(C13*F37,0)</f>
        <v>0</v>
      </c>
      <c r="D37" s="1797" t="s">
        <v>1446</v>
      </c>
      <c r="E37" s="347" t="s">
        <v>1447</v>
      </c>
      <c r="F37" s="376">
        <f ca="1">INDIRECT("'数据-取费表'!Al"&amp;$G$1)</f>
        <v>0</v>
      </c>
      <c r="G37" s="1850"/>
      <c r="H37" s="1858"/>
      <c r="I37" s="1859"/>
      <c r="J37" s="1860"/>
      <c r="K37" s="750"/>
      <c r="L37" s="1858"/>
      <c r="M37" s="1858"/>
    </row>
    <row r="38" spans="1:18" ht="18" customHeight="1" thickBot="1">
      <c r="A38" s="1338" t="s">
        <v>1385</v>
      </c>
      <c r="B38" s="1339" t="s">
        <v>1431</v>
      </c>
      <c r="C38" s="1340">
        <f ca="1">ROUND(C5*F38,1)</f>
        <v>0</v>
      </c>
      <c r="D38" s="1341" t="s">
        <v>1451</v>
      </c>
      <c r="E38" s="1339" t="s">
        <v>1447</v>
      </c>
      <c r="F38" s="1335">
        <f ca="1">INDIRECT("'数据-取费表'!Am"&amp;$G$1)</f>
        <v>0</v>
      </c>
      <c r="G38" s="1850"/>
      <c r="H38" s="1858"/>
      <c r="I38" s="1859"/>
      <c r="J38" s="1860"/>
      <c r="K38" s="1864"/>
      <c r="L38" s="1858"/>
      <c r="M38" s="1858"/>
    </row>
    <row r="39" spans="1:18" ht="24.6" customHeight="1" thickTop="1">
      <c r="A39" s="1328" t="s">
        <v>1027</v>
      </c>
      <c r="B39" s="1343" t="s">
        <v>1475</v>
      </c>
      <c r="C39" s="355">
        <f ca="1">C5-C30</f>
        <v>0</v>
      </c>
      <c r="D39" s="1344" t="s">
        <v>1476</v>
      </c>
      <c r="E39" s="1345"/>
      <c r="F39" s="1346"/>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1469</v>
      </c>
      <c r="F42" s="357">
        <f ca="1">INDIRECT("'数据-取费表'!v"&amp;$G$1)</f>
        <v>0</v>
      </c>
      <c r="G42" s="1850"/>
      <c r="H42" s="731"/>
      <c r="I42" s="1859"/>
      <c r="J42" s="1860"/>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4" t="s">
        <v>1388</v>
      </c>
      <c r="B47" s="1196" t="s">
        <v>1389</v>
      </c>
      <c r="C47" s="1196" t="s">
        <v>1390</v>
      </c>
      <c r="D47" s="1196" t="s">
        <v>1391</v>
      </c>
      <c r="E47" s="1278" t="s">
        <v>1392</v>
      </c>
      <c r="F47" s="1279"/>
      <c r="G47" s="791"/>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59" t="s">
        <v>1131</v>
      </c>
      <c r="B48" s="345" t="s">
        <v>1393</v>
      </c>
      <c r="C48" s="1816">
        <f ca="1">C49+C53+C55</f>
        <v>0</v>
      </c>
      <c r="D48" s="1361"/>
      <c r="E48" s="1362"/>
      <c r="F48" s="1180"/>
      <c r="G48" s="791"/>
      <c r="H48" s="792"/>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3" t="s">
        <v>1132</v>
      </c>
      <c r="B49" s="1828" t="s">
        <v>1482</v>
      </c>
      <c r="C49" s="1363">
        <f ca="1">ROUND(F49*F51*F50*(1-F52),0)</f>
        <v>0</v>
      </c>
      <c r="D49" s="1275" t="s">
        <v>1396</v>
      </c>
      <c r="E49" s="1829" t="s">
        <v>1483</v>
      </c>
      <c r="F49" s="1280"/>
      <c r="G49" s="1890"/>
      <c r="H49" s="792"/>
      <c r="I49" s="1886" t="s">
        <v>1526</v>
      </c>
      <c r="J49" s="1891"/>
      <c r="K49" s="1888" t="s">
        <v>1527</v>
      </c>
      <c r="L49" s="1892"/>
      <c r="O49" s="1893" t="s">
        <v>1038</v>
      </c>
      <c r="P49" s="1884" t="s">
        <v>1528</v>
      </c>
      <c r="Q49" s="1885">
        <f ca="1">C29</f>
        <v>0</v>
      </c>
      <c r="R49" s="1885" t="s">
        <v>1521</v>
      </c>
    </row>
    <row r="50" spans="1:18" s="1841" customFormat="1" ht="13.5" thickBot="1">
      <c r="A50" s="1194"/>
      <c r="B50" s="1197"/>
      <c r="C50" s="1198"/>
      <c r="D50" s="1171"/>
      <c r="E50" s="1276" t="s">
        <v>1398</v>
      </c>
      <c r="F50" s="1277">
        <f ca="1">F7</f>
        <v>0</v>
      </c>
      <c r="H50" s="792"/>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5"/>
      <c r="B51" s="1197"/>
      <c r="C51" s="1198"/>
      <c r="D51" s="1171"/>
      <c r="E51" s="1199"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5"/>
      <c r="B52" s="1197"/>
      <c r="C52" s="1198"/>
      <c r="D52" s="1171"/>
      <c r="E52" s="1199" t="s">
        <v>1400</v>
      </c>
      <c r="F52" s="1274"/>
      <c r="I52" s="1902" t="s">
        <v>1535</v>
      </c>
      <c r="J52" s="1903"/>
      <c r="K52" s="1902" t="s">
        <v>1536</v>
      </c>
      <c r="L52" s="1903"/>
      <c r="O52" s="1893" t="s">
        <v>1041</v>
      </c>
      <c r="P52" s="1884" t="s">
        <v>1537</v>
      </c>
      <c r="Q52" s="1885" t="b">
        <f>J53</f>
        <v>0</v>
      </c>
      <c r="R52" s="1885" t="s">
        <v>1538</v>
      </c>
    </row>
    <row r="53" spans="1:18" s="1841" customFormat="1" ht="30.75" customHeight="1" thickBot="1">
      <c r="A53" s="1360" t="s">
        <v>1133</v>
      </c>
      <c r="B53" s="369" t="s">
        <v>1401</v>
      </c>
      <c r="C53" s="361">
        <f ca="1">ROUND(IF(F53="押一",C49/12*F11,IF(F53="押二",C49/12*2*F11,IF(F53="押三",C49/12*3*F11,C54*F11))),0)</f>
        <v>0</v>
      </c>
      <c r="D53" s="1823" t="s">
        <v>2997</v>
      </c>
      <c r="E53" s="358" t="s">
        <v>1402</v>
      </c>
      <c r="F53" s="1365"/>
      <c r="I53" s="1904" t="s">
        <v>1539</v>
      </c>
      <c r="J53" s="1905" t="b">
        <f>IF(M47="住宅",IF(D1="——",MAX(J51,L48),IF(D1="在建（套用方法）",MAX(J51,L48-'数据-取费表'!B24),MAX(J51,L48-'数据-取费表'!B20))),IF(D1="——",MIN(J51,L48),IF(D1="在建（套用方法）",MIN(J51,L48-'数据-取费表'!B24),IF(D1="土地（套用方法）",MIN(J51,L48-'数据-取费表'!B20)))))</f>
        <v>0</v>
      </c>
      <c r="K53" s="3223" t="s">
        <v>1540</v>
      </c>
      <c r="L53" s="3224"/>
      <c r="O53" s="1883" t="s">
        <v>1042</v>
      </c>
      <c r="P53" s="1884" t="s">
        <v>1541</v>
      </c>
      <c r="Q53" s="1885" t="e">
        <f ca="1">Q47+Q48</f>
        <v>#DIV/0!</v>
      </c>
      <c r="R53" s="1885" t="s">
        <v>1043</v>
      </c>
    </row>
    <row r="54" spans="1:18" s="1841" customFormat="1" ht="13.5" thickBot="1">
      <c r="A54" s="1193"/>
      <c r="B54" s="1940" t="s">
        <v>1595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5">
        <v>2</v>
      </c>
      <c r="B56" s="1176"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8"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6" t="s">
        <v>1416</v>
      </c>
      <c r="C58" s="361">
        <f ca="1">ROUND(C59+C64+C65+C66,0)</f>
        <v>0</v>
      </c>
      <c r="D58" s="1178" t="s">
        <v>1417</v>
      </c>
      <c r="E58" s="1179"/>
      <c r="F58" s="1180"/>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ROUND(IF(项目基本情况!B11="自然人",C48*F59,C60+C61+C62),0)</f>
        <v>0</v>
      </c>
      <c r="D59" s="1181" t="s">
        <v>1422</v>
      </c>
      <c r="E59" s="1182" t="s">
        <v>1423</v>
      </c>
      <c r="F59" s="368">
        <f ca="1">IF(项目基本情况!B11="企业","",IF(INDIRECT("'数据-取费表'!c"&amp;$G$1)="住宅",5%,IF(F49*F50*F51/12/(1+'数据-取费表'!C42)&gt;20000,12%,7%)))</f>
        <v>7.0000000000000007E-2</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IF(项目基本情况!B11="自然人","——",IF(D61="按租金收入计税",ROUND(C48*F61,0),IF(D61="按房产原值计税",ROUND(C57*F61*0.7,0),INDIRECT("'数据-取费表'!Aj"&amp;$G$1))))</f>
        <v>0</v>
      </c>
      <c r="D61" s="1827" t="s">
        <v>1430</v>
      </c>
      <c r="E61" s="1168"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0" t="s">
        <v>1487</v>
      </c>
      <c r="B62" s="1167" t="s">
        <v>1488</v>
      </c>
      <c r="C62" s="25">
        <f ca="1">IF(项目基本情况!B11="自然人","——",ROUND(F62*F63,0))</f>
        <v>0</v>
      </c>
      <c r="D62" s="1183" t="s">
        <v>1489</v>
      </c>
      <c r="E62" s="1168" t="s">
        <v>1490</v>
      </c>
      <c r="F62" s="371">
        <f t="shared" si="0"/>
        <v>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ROUND(C57*F64,0)</f>
        <v>0</v>
      </c>
      <c r="D64" s="1182" t="s">
        <v>1494</v>
      </c>
      <c r="E64" s="1168"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ROUND(C56*F65,0)</f>
        <v>0</v>
      </c>
      <c r="D65" s="1182" t="s">
        <v>1446</v>
      </c>
      <c r="E65" s="1168"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0" t="s">
        <v>1496</v>
      </c>
      <c r="B66" s="1168" t="s">
        <v>1431</v>
      </c>
      <c r="C66" s="24">
        <f ca="1">ROUND(C48*F66,0)</f>
        <v>0</v>
      </c>
      <c r="D66" s="1182" t="s">
        <v>1497</v>
      </c>
      <c r="E66" s="1168" t="s">
        <v>1414</v>
      </c>
      <c r="F66" s="357">
        <f t="shared" ca="1" si="0"/>
        <v>0</v>
      </c>
      <c r="O66" s="1883" t="s">
        <v>1037</v>
      </c>
      <c r="P66" s="1884" t="s">
        <v>1550</v>
      </c>
      <c r="Q66" s="1885" t="e">
        <f ca="1">L60</f>
        <v>#DIV/0!</v>
      </c>
      <c r="R66" s="1885" t="s">
        <v>1573</v>
      </c>
    </row>
    <row r="67" spans="1:18" s="1841" customFormat="1" ht="16.5" thickBot="1">
      <c r="A67" s="1175" t="s">
        <v>1027</v>
      </c>
      <c r="B67" s="1185" t="s">
        <v>1455</v>
      </c>
      <c r="C67" s="361">
        <f ca="1">C48-C58</f>
        <v>0</v>
      </c>
      <c r="D67" s="1181" t="s">
        <v>1456</v>
      </c>
      <c r="E67" s="1186"/>
      <c r="F67" s="1187"/>
      <c r="O67" s="1893" t="s">
        <v>1038</v>
      </c>
      <c r="P67" s="1884" t="s">
        <v>1554</v>
      </c>
      <c r="Q67" s="1932">
        <f ca="1">L51</f>
        <v>0</v>
      </c>
      <c r="R67" s="1885" t="s">
        <v>1574</v>
      </c>
    </row>
    <row r="68" spans="1:18" s="1841" customFormat="1" ht="16.5" thickBot="1">
      <c r="A68" s="1165" t="s">
        <v>1028</v>
      </c>
      <c r="B68" s="1166" t="s">
        <v>1477</v>
      </c>
      <c r="C68" s="346" t="e">
        <f ca="1">ROUND(C67*(1-((1+F70)/(1+F68))^F69)/(F68-F70),0)</f>
        <v>#DIV/0!</v>
      </c>
      <c r="D68" s="1183" t="s">
        <v>1461</v>
      </c>
      <c r="E68" s="1168" t="s">
        <v>1462</v>
      </c>
      <c r="F68" s="357">
        <f ca="1">F40</f>
        <v>0</v>
      </c>
      <c r="O68" s="1893" t="s">
        <v>1039</v>
      </c>
      <c r="P68" s="1933" t="s">
        <v>1575</v>
      </c>
      <c r="Q68" s="1885">
        <f ca="1">ROUND(Q69-Q70*Q71,0)</f>
        <v>0</v>
      </c>
      <c r="R68" s="1885" t="s">
        <v>1047</v>
      </c>
    </row>
    <row r="69" spans="1:18" s="1841" customFormat="1" ht="13.5" thickBot="1">
      <c r="A69" s="1169"/>
      <c r="B69" s="1170"/>
      <c r="C69" s="351"/>
      <c r="D69" s="1188" t="s">
        <v>1465</v>
      </c>
      <c r="E69" s="1168" t="s">
        <v>1466</v>
      </c>
      <c r="F69" s="379">
        <f ca="1">F41</f>
        <v>0</v>
      </c>
      <c r="O69" s="1893" t="s">
        <v>1044</v>
      </c>
      <c r="P69" s="1933" t="s">
        <v>1576</v>
      </c>
      <c r="Q69" s="1885">
        <f ca="1">C39</f>
        <v>0</v>
      </c>
      <c r="R69" s="1885" t="s">
        <v>1521</v>
      </c>
    </row>
    <row r="70" spans="1:18" s="1841" customFormat="1" ht="13.5" thickBot="1">
      <c r="A70" s="1172"/>
      <c r="B70" s="1173"/>
      <c r="C70" s="355"/>
      <c r="D70" s="1184"/>
      <c r="E70" s="1168" t="s">
        <v>1469</v>
      </c>
      <c r="F70" s="1274">
        <f ca="1">F42</f>
        <v>0</v>
      </c>
      <c r="O70" s="1893" t="s">
        <v>1045</v>
      </c>
      <c r="P70" s="1933" t="s">
        <v>1577</v>
      </c>
      <c r="Q70" s="1885">
        <f ca="1">C13</f>
        <v>0</v>
      </c>
      <c r="R70" s="1885" t="s">
        <v>1521</v>
      </c>
    </row>
    <row r="71" spans="1:18" s="1841" customFormat="1" ht="13.5" thickBot="1">
      <c r="A71" s="1189" t="s">
        <v>1029</v>
      </c>
      <c r="B71" s="1190" t="s">
        <v>1479</v>
      </c>
      <c r="C71" s="382" t="e">
        <f ca="1">ROUND(C68/F71,0)</f>
        <v>#DIV/0!</v>
      </c>
      <c r="D71" s="1191" t="s">
        <v>1480</v>
      </c>
      <c r="E71" s="1192" t="s">
        <v>1481</v>
      </c>
      <c r="F71" s="385">
        <f ca="1">F43</f>
        <v>0</v>
      </c>
      <c r="O71" s="1893" t="s">
        <v>1046</v>
      </c>
      <c r="P71" s="1933" t="s">
        <v>1578</v>
      </c>
      <c r="Q71" s="1896">
        <f ca="1">C76</f>
        <v>0</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2281</v>
      </c>
      <c r="B2" s="2562">
        <f ca="1">SUMIF(B6:B13,"&lt;&gt;#ref!",B6:B13)</f>
        <v>6944</v>
      </c>
      <c r="C2" s="2563" t="s">
        <v>2473</v>
      </c>
      <c r="D2" s="2564" t="s">
        <v>2474</v>
      </c>
      <c r="E2" s="2565">
        <f>SUM(E6:E13)</f>
        <v>8982.83</v>
      </c>
    </row>
    <row r="3" spans="1:6" ht="15.75">
      <c r="A3" s="2561" t="s">
        <v>1387</v>
      </c>
      <c r="B3" s="2562">
        <f ca="1">ROUND(B2*10000/E2,0)</f>
        <v>7730</v>
      </c>
      <c r="C3" s="2563" t="s">
        <v>2481</v>
      </c>
      <c r="D3" s="2566"/>
      <c r="E3" s="2567"/>
    </row>
    <row r="4" spans="1:6" ht="15.75">
      <c r="A4" s="2568"/>
      <c r="B4" s="2566"/>
      <c r="C4" s="2566"/>
      <c r="D4" s="2566"/>
      <c r="E4" s="2567"/>
    </row>
    <row r="5" spans="1:6" ht="15">
      <c r="A5" s="2569" t="s">
        <v>2475</v>
      </c>
      <c r="B5" s="3228" t="s">
        <v>2476</v>
      </c>
      <c r="C5" s="3228"/>
      <c r="D5" s="2570"/>
      <c r="E5" s="2571" t="s">
        <v>2477</v>
      </c>
      <c r="F5" s="2572" t="s">
        <v>2478</v>
      </c>
    </row>
    <row r="6" spans="1:6">
      <c r="A6" s="2573" t="str">
        <f>'数据-取费表'!AN6</f>
        <v>收益法-住宅</v>
      </c>
      <c r="B6" s="2572">
        <f ca="1">IF(F6="是",'数据-取费表'!AO6,0)</f>
        <v>434</v>
      </c>
      <c r="C6" s="2563" t="s">
        <v>2473</v>
      </c>
      <c r="D6" s="2566"/>
      <c r="E6" s="2574">
        <f>IF(OR(A6=0,F6="否"),0,'数据-取费表'!K6+'数据-取费表'!S6)</f>
        <v>2504.4</v>
      </c>
      <c r="F6" s="2575" t="s">
        <v>2479</v>
      </c>
    </row>
    <row r="7" spans="1:6">
      <c r="A7" s="2573" t="str">
        <f>'数据-取费表'!AN7</f>
        <v>收益法-商业</v>
      </c>
      <c r="B7" s="2572">
        <f ca="1">IF(F7="是",'数据-取费表'!AO7,0)</f>
        <v>6510</v>
      </c>
      <c r="C7" s="2563" t="s">
        <v>2473</v>
      </c>
      <c r="D7" s="2566"/>
      <c r="E7" s="2574">
        <f>IF(OR(A7=0,F7="否"),0,'数据-取费表'!K7+'数据-取费表'!S7)</f>
        <v>6478.43</v>
      </c>
      <c r="F7" s="2575" t="s">
        <v>2479</v>
      </c>
    </row>
    <row r="8" spans="1:6">
      <c r="A8" s="2573">
        <f>'数据-取费表'!AN8</f>
        <v>0</v>
      </c>
      <c r="B8" s="2572" t="e">
        <f ca="1">IF(F8="是",'数据-取费表'!AO8,0)</f>
        <v>#REF!</v>
      </c>
      <c r="C8" s="2563" t="s">
        <v>2473</v>
      </c>
      <c r="D8" s="2566"/>
      <c r="E8" s="2574">
        <f>IF(OR(A8=0,F8="否"),0,'数据-取费表'!K8+'数据-取费表'!S8)</f>
        <v>0</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f>'数据-取费表'!AN10</f>
        <v>0</v>
      </c>
      <c r="B10" s="2572" t="e">
        <f ca="1">IF(F10="是",'数据-取费表'!AO10,0)</f>
        <v>#REF!</v>
      </c>
      <c r="C10" s="2563" t="s">
        <v>2473</v>
      </c>
      <c r="D10" s="2566"/>
      <c r="E10" s="2574">
        <f>IF(OR(A10=0,F10="否"),0,'数据-取费表'!K10+'数据-取费表'!S10)</f>
        <v>0</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45" t="s">
        <v>1072</v>
      </c>
      <c r="B1" s="3246"/>
      <c r="C1" s="3247"/>
      <c r="D1" s="3248">
        <f>SUM(I10,I15,I20,I21,I23)</f>
        <v>0</v>
      </c>
      <c r="E1" s="3248"/>
      <c r="F1" s="3248"/>
      <c r="G1" s="3248"/>
      <c r="H1" s="3248"/>
      <c r="I1" s="3249"/>
    </row>
    <row r="2" spans="1:9">
      <c r="A2" s="3235" t="s">
        <v>1073</v>
      </c>
      <c r="B2" s="3236" t="s">
        <v>1074</v>
      </c>
      <c r="C2" s="3236"/>
      <c r="D2" s="1300" t="s">
        <v>1075</v>
      </c>
      <c r="E2" s="1300" t="s">
        <v>1076</v>
      </c>
      <c r="F2" s="1300" t="s">
        <v>1077</v>
      </c>
      <c r="G2" s="1300" t="s">
        <v>1078</v>
      </c>
      <c r="H2" s="1300" t="s">
        <v>1079</v>
      </c>
      <c r="I2" s="1301" t="s">
        <v>1080</v>
      </c>
    </row>
    <row r="3" spans="1:9">
      <c r="A3" s="3235"/>
      <c r="B3" s="3236" t="s">
        <v>1081</v>
      </c>
      <c r="C3" s="3236"/>
      <c r="D3" s="1302"/>
      <c r="E3" s="1300"/>
      <c r="F3" s="1303"/>
      <c r="G3" s="1303"/>
      <c r="H3" s="1304"/>
      <c r="I3" s="1305">
        <f>ROUND(D3*E3*F3*G3*H3/10000,0)</f>
        <v>0</v>
      </c>
    </row>
    <row r="4" spans="1:9">
      <c r="A4" s="3235"/>
      <c r="B4" s="3236" t="s">
        <v>1082</v>
      </c>
      <c r="C4" s="3236"/>
      <c r="D4" s="1302"/>
      <c r="E4" s="1300"/>
      <c r="F4" s="1303"/>
      <c r="G4" s="1303"/>
      <c r="H4" s="1304"/>
      <c r="I4" s="1305">
        <f t="shared" ref="I4:I9" si="0">ROUND(D4*E4*F4*G4*H4/10000,0)</f>
        <v>0</v>
      </c>
    </row>
    <row r="5" spans="1:9">
      <c r="A5" s="3235"/>
      <c r="B5" s="3236" t="s">
        <v>1083</v>
      </c>
      <c r="C5" s="3236"/>
      <c r="D5" s="1302"/>
      <c r="E5" s="1300"/>
      <c r="F5" s="1303"/>
      <c r="G5" s="1303"/>
      <c r="H5" s="1304"/>
      <c r="I5" s="1305">
        <f t="shared" si="0"/>
        <v>0</v>
      </c>
    </row>
    <row r="6" spans="1:9">
      <c r="A6" s="3235"/>
      <c r="B6" s="3236" t="s">
        <v>1084</v>
      </c>
      <c r="C6" s="3236"/>
      <c r="D6" s="1302"/>
      <c r="E6" s="1300"/>
      <c r="F6" s="1303"/>
      <c r="G6" s="1303"/>
      <c r="H6" s="1304"/>
      <c r="I6" s="1305">
        <f t="shared" si="0"/>
        <v>0</v>
      </c>
    </row>
    <row r="7" spans="1:9">
      <c r="A7" s="3235"/>
      <c r="B7" s="3236" t="s">
        <v>1085</v>
      </c>
      <c r="C7" s="3236"/>
      <c r="D7" s="1302"/>
      <c r="E7" s="1300"/>
      <c r="F7" s="1303"/>
      <c r="G7" s="1303"/>
      <c r="H7" s="1304"/>
      <c r="I7" s="1305">
        <f t="shared" si="0"/>
        <v>0</v>
      </c>
    </row>
    <row r="8" spans="1:9">
      <c r="A8" s="3235"/>
      <c r="B8" s="3236" t="s">
        <v>1086</v>
      </c>
      <c r="C8" s="3236"/>
      <c r="D8" s="1302"/>
      <c r="E8" s="1300"/>
      <c r="F8" s="1303"/>
      <c r="G8" s="1303"/>
      <c r="H8" s="1304"/>
      <c r="I8" s="1305">
        <f t="shared" si="0"/>
        <v>0</v>
      </c>
    </row>
    <row r="9" spans="1:9">
      <c r="A9" s="3235"/>
      <c r="B9" s="3236" t="s">
        <v>1087</v>
      </c>
      <c r="C9" s="3236"/>
      <c r="D9" s="1302"/>
      <c r="E9" s="1300"/>
      <c r="F9" s="1303"/>
      <c r="G9" s="1303"/>
      <c r="H9" s="1304"/>
      <c r="I9" s="1305">
        <f t="shared" si="0"/>
        <v>0</v>
      </c>
    </row>
    <row r="10" spans="1:9">
      <c r="A10" s="3235"/>
      <c r="B10" s="3237" t="s">
        <v>1088</v>
      </c>
      <c r="C10" s="3237"/>
      <c r="D10" s="1306"/>
      <c r="E10" s="1306" t="e">
        <f>ROUND(D1*10000/D10/H9,0)</f>
        <v>#DIV/0!</v>
      </c>
      <c r="F10" s="1307"/>
      <c r="G10" s="1307"/>
      <c r="H10" s="1308"/>
      <c r="I10" s="1309">
        <f>SUM(I3:I9)</f>
        <v>0</v>
      </c>
    </row>
    <row r="11" spans="1:9" ht="14.25">
      <c r="A11" s="3235" t="s">
        <v>1089</v>
      </c>
      <c r="B11" s="3236" t="s">
        <v>1090</v>
      </c>
      <c r="C11" s="3236"/>
      <c r="D11" s="1302" t="s">
        <v>1091</v>
      </c>
      <c r="E11" s="1302" t="s">
        <v>1092</v>
      </c>
      <c r="F11" s="1303" t="s">
        <v>1093</v>
      </c>
      <c r="G11" s="1303" t="s">
        <v>1079</v>
      </c>
      <c r="H11" s="1310" t="s">
        <v>1094</v>
      </c>
      <c r="I11" s="1301" t="s">
        <v>1080</v>
      </c>
    </row>
    <row r="12" spans="1:9">
      <c r="A12" s="3235"/>
      <c r="B12" s="3236" t="s">
        <v>1095</v>
      </c>
      <c r="C12" s="3236"/>
      <c r="D12" s="1302"/>
      <c r="E12" s="1302"/>
      <c r="F12" s="1303"/>
      <c r="G12" s="1304"/>
      <c r="H12" s="1311"/>
      <c r="I12" s="1301">
        <f>ROUND(D12*E12*F12*G12/10000,0)</f>
        <v>0</v>
      </c>
    </row>
    <row r="13" spans="1:9">
      <c r="A13" s="3235"/>
      <c r="B13" s="3236" t="s">
        <v>1096</v>
      </c>
      <c r="C13" s="3236"/>
      <c r="D13" s="1302"/>
      <c r="E13" s="1302"/>
      <c r="F13" s="1303"/>
      <c r="G13" s="1304"/>
      <c r="H13" s="1311"/>
      <c r="I13" s="1301">
        <f>ROUND(D13*E13*F13*G13/10000,0)</f>
        <v>0</v>
      </c>
    </row>
    <row r="14" spans="1:9">
      <c r="A14" s="3235"/>
      <c r="B14" s="3236" t="s">
        <v>1097</v>
      </c>
      <c r="C14" s="3236"/>
      <c r="D14" s="1302"/>
      <c r="E14" s="1302"/>
      <c r="F14" s="1303"/>
      <c r="G14" s="1304"/>
      <c r="H14" s="1311"/>
      <c r="I14" s="1301">
        <f>ROUND(D14*E14*F14*G14/10000,0)</f>
        <v>0</v>
      </c>
    </row>
    <row r="15" spans="1:9">
      <c r="A15" s="3235"/>
      <c r="B15" s="3237" t="s">
        <v>1088</v>
      </c>
      <c r="C15" s="3237"/>
      <c r="D15" s="1306"/>
      <c r="E15" s="1306">
        <f>SUM(E12:E14)</f>
        <v>0</v>
      </c>
      <c r="F15" s="1307"/>
      <c r="G15" s="1304"/>
      <c r="H15" s="1311"/>
      <c r="I15" s="1312">
        <f>SUM(I12:I14)</f>
        <v>0</v>
      </c>
    </row>
    <row r="16" spans="1:9" ht="24">
      <c r="A16" s="3235" t="s">
        <v>1098</v>
      </c>
      <c r="B16" s="3236" t="s">
        <v>1099</v>
      </c>
      <c r="C16" s="3236"/>
      <c r="D16" s="1302" t="s">
        <v>1075</v>
      </c>
      <c r="E16" s="1313" t="s">
        <v>1100</v>
      </c>
      <c r="F16" s="1303" t="s">
        <v>1101</v>
      </c>
      <c r="G16" s="1304" t="s">
        <v>1079</v>
      </c>
      <c r="H16" s="1310" t="s">
        <v>1094</v>
      </c>
      <c r="I16" s="1301" t="s">
        <v>1080</v>
      </c>
    </row>
    <row r="17" spans="1:9" ht="14.25">
      <c r="A17" s="3235"/>
      <c r="B17" s="3236" t="s">
        <v>1102</v>
      </c>
      <c r="C17" s="3236"/>
      <c r="D17" s="1302"/>
      <c r="E17" s="1302"/>
      <c r="F17" s="1303"/>
      <c r="G17" s="1304"/>
      <c r="H17" s="1314"/>
      <c r="I17" s="1315">
        <f>ROUND(D17*E17*F17*G17/10000,0)</f>
        <v>0</v>
      </c>
    </row>
    <row r="18" spans="1:9" ht="14.25">
      <c r="A18" s="3235"/>
      <c r="B18" s="3236" t="s">
        <v>1103</v>
      </c>
      <c r="C18" s="3236"/>
      <c r="D18" s="1302"/>
      <c r="E18" s="1302"/>
      <c r="F18" s="1303"/>
      <c r="G18" s="1304"/>
      <c r="H18" s="1314"/>
      <c r="I18" s="1315">
        <f>ROUND(D18*E18*F18*G18/10000,0)</f>
        <v>0</v>
      </c>
    </row>
    <row r="19" spans="1:9" ht="14.25">
      <c r="A19" s="3235"/>
      <c r="B19" s="3236" t="s">
        <v>1104</v>
      </c>
      <c r="C19" s="3236"/>
      <c r="D19" s="1302"/>
      <c r="E19" s="1302"/>
      <c r="F19" s="1303"/>
      <c r="G19" s="1304"/>
      <c r="H19" s="1314"/>
      <c r="I19" s="1315">
        <f>ROUND(D19*E19*F19*G19/10000,0)</f>
        <v>0</v>
      </c>
    </row>
    <row r="20" spans="1:9">
      <c r="A20" s="3235"/>
      <c r="B20" s="3237" t="s">
        <v>1088</v>
      </c>
      <c r="C20" s="3237"/>
      <c r="D20" s="1306">
        <f>SUM(D17:D19)</f>
        <v>0</v>
      </c>
      <c r="E20" s="1306"/>
      <c r="F20" s="1307"/>
      <c r="G20" s="1304"/>
      <c r="H20" s="1311"/>
      <c r="I20" s="1312">
        <f>SUM(I17:I19)</f>
        <v>0</v>
      </c>
    </row>
    <row r="21" spans="1:9">
      <c r="A21" s="3235" t="s">
        <v>1105</v>
      </c>
      <c r="B21" s="3238"/>
      <c r="C21" s="3238"/>
      <c r="D21" s="3238"/>
      <c r="E21" s="3238"/>
      <c r="F21" s="3238"/>
      <c r="G21" s="3238"/>
      <c r="H21" s="1764">
        <v>0.1</v>
      </c>
      <c r="I21" s="1309">
        <f>ROUND(I10*H21,0)</f>
        <v>0</v>
      </c>
    </row>
    <row r="22" spans="1:9" ht="14.25">
      <c r="A22" s="3239" t="s">
        <v>1106</v>
      </c>
      <c r="B22" s="3240"/>
      <c r="C22" s="3241"/>
      <c r="D22" s="1316" t="s">
        <v>1107</v>
      </c>
      <c r="E22" s="1316" t="s">
        <v>1108</v>
      </c>
      <c r="F22" s="1317" t="s">
        <v>1109</v>
      </c>
      <c r="G22" s="1317" t="s">
        <v>1110</v>
      </c>
      <c r="H22" s="1310" t="s">
        <v>1111</v>
      </c>
      <c r="I22" s="1301" t="s">
        <v>1112</v>
      </c>
    </row>
    <row r="23" spans="1:9" ht="14.25" thickBot="1">
      <c r="A23" s="3242"/>
      <c r="B23" s="3243"/>
      <c r="C23" s="3244"/>
      <c r="D23" s="1318"/>
      <c r="E23" s="1318"/>
      <c r="F23" s="1318"/>
      <c r="G23" s="1319"/>
      <c r="H23" s="1320"/>
      <c r="I23" s="1321">
        <f>ROUND(E23*D23*F23*(1-G23)/10000,0)</f>
        <v>0</v>
      </c>
    </row>
    <row r="26" spans="1:9">
      <c r="A26" s="1322" t="s">
        <v>1113</v>
      </c>
      <c r="B26" s="1322"/>
      <c r="C26" s="1322"/>
      <c r="D26" s="1322"/>
      <c r="E26" s="3232">
        <f>C27-C30-C31-C32</f>
        <v>0</v>
      </c>
      <c r="F26" s="3232"/>
      <c r="G26" s="3232"/>
      <c r="H26" s="1736" t="s">
        <v>1332</v>
      </c>
    </row>
    <row r="27" spans="1:9">
      <c r="A27" s="1323">
        <v>1</v>
      </c>
      <c r="B27" s="1324" t="s">
        <v>1114</v>
      </c>
      <c r="C27" s="1324">
        <f>C28+C29</f>
        <v>0</v>
      </c>
      <c r="D27" s="1324"/>
      <c r="E27" s="3233"/>
      <c r="F27" s="3233"/>
      <c r="G27" s="3233"/>
    </row>
    <row r="28" spans="1:9">
      <c r="A28" s="1325" t="s">
        <v>1115</v>
      </c>
      <c r="B28" s="1324" t="s">
        <v>1116</v>
      </c>
      <c r="C28" s="1324"/>
      <c r="D28" s="1324"/>
      <c r="E28" s="3233"/>
      <c r="F28" s="3233"/>
      <c r="G28" s="323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34"/>
      <c r="F32" s="3234"/>
      <c r="G32" s="3234"/>
    </row>
    <row r="33" spans="1:7" hidden="1">
      <c r="A33" s="3229" t="s">
        <v>1125</v>
      </c>
      <c r="B33" s="3230"/>
      <c r="C33" s="3230"/>
      <c r="D33" s="3231"/>
      <c r="E33" s="3232"/>
      <c r="F33" s="3232"/>
      <c r="G33" s="3232"/>
    </row>
    <row r="34" spans="1:7" hidden="1">
      <c r="A34" s="1327">
        <v>1</v>
      </c>
      <c r="B34" s="1324" t="s">
        <v>1126</v>
      </c>
      <c r="C34" s="1324"/>
      <c r="D34" s="1324"/>
      <c r="E34" s="3233"/>
      <c r="F34" s="3233"/>
      <c r="G34" s="3233"/>
    </row>
    <row r="35" spans="1:7" hidden="1">
      <c r="A35" s="1327">
        <v>2</v>
      </c>
      <c r="B35" s="1324" t="s">
        <v>1127</v>
      </c>
      <c r="C35" s="1324"/>
      <c r="D35" s="1324"/>
      <c r="E35" s="3233"/>
      <c r="F35" s="3233"/>
      <c r="G35" s="3233"/>
    </row>
    <row r="36" spans="1:7" hidden="1">
      <c r="A36" s="1327">
        <v>3</v>
      </c>
      <c r="B36" s="1324" t="s">
        <v>1128</v>
      </c>
      <c r="C36" s="1324"/>
      <c r="D36" s="1324"/>
      <c r="E36" s="3233"/>
      <c r="F36" s="3233"/>
      <c r="G36" s="3233"/>
    </row>
    <row r="37" spans="1:7" hidden="1">
      <c r="A37" s="1327">
        <v>4</v>
      </c>
      <c r="B37" s="1324" t="s">
        <v>1129</v>
      </c>
      <c r="C37" s="1324"/>
      <c r="D37" s="1324"/>
      <c r="E37" s="3233"/>
      <c r="F37" s="3233"/>
      <c r="G37" s="3233"/>
    </row>
    <row r="38" spans="1:7" hidden="1">
      <c r="A38" s="3229" t="s">
        <v>1130</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Normal="100" workbookViewId="0">
      <selection activeCell="C37" sqref="C37:J4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t="s">
        <v>3011</v>
      </c>
      <c r="E1" s="2654"/>
      <c r="F1" s="2581" t="s">
        <v>3037</v>
      </c>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2281</v>
      </c>
      <c r="B2" s="1417">
        <f>IF(C2="——",ROUND(C49*D3/10000,0),ROUND(C49*D3/10000,0)-D2)</f>
        <v>6705</v>
      </c>
      <c r="C2" s="2583" t="s">
        <v>70</v>
      </c>
      <c r="D2" s="1364" t="e">
        <f ca="1">SUMIF(INDIRECT("'"&amp;F2&amp;"'"&amp;"!A:A"),"承租人权益价值",INDIRECT("'"&amp;F2&amp;"'"&amp;"!c:c"))</f>
        <v>#REF!</v>
      </c>
      <c r="E2" s="2584" t="s">
        <v>2282</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2283</v>
      </c>
      <c r="B3" s="609">
        <f>IF(C2="——",C49,ROUND(B2*10000/D3,0))</f>
        <v>10350</v>
      </c>
      <c r="C3" s="400" t="s">
        <v>2597</v>
      </c>
      <c r="D3" s="399">
        <f>IF(D1="",'数据-汇总表'!E3,SUMIF('数据-汇总表'!$C19:$C33,D1,'数据-汇总表'!$E19:$E33))</f>
        <v>6478.43</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210" t="s">
        <v>2601</v>
      </c>
      <c r="AC4" s="3191" t="s">
        <v>2602</v>
      </c>
    </row>
    <row r="5" spans="1:29" ht="15">
      <c r="A5" s="404"/>
      <c r="B5" s="405"/>
      <c r="C5" s="3218" t="s">
        <v>2496</v>
      </c>
      <c r="D5" s="3214"/>
      <c r="E5" s="3251" t="s">
        <v>3138</v>
      </c>
      <c r="F5" s="3222"/>
      <c r="G5" s="3250" t="s">
        <v>3139</v>
      </c>
      <c r="H5" s="3214"/>
      <c r="I5" s="3250" t="s">
        <v>3140</v>
      </c>
      <c r="J5" s="3214"/>
      <c r="K5" s="610"/>
      <c r="L5" s="1129"/>
      <c r="M5" s="1130"/>
      <c r="N5" s="1130"/>
      <c r="O5" s="1130"/>
      <c r="P5" s="3200"/>
      <c r="Q5" s="3201"/>
      <c r="R5" s="3206"/>
      <c r="S5" s="3207"/>
      <c r="T5" s="3206"/>
      <c r="U5" s="3207"/>
      <c r="V5" s="3210"/>
      <c r="W5" s="3210"/>
      <c r="X5" s="1812"/>
      <c r="Y5" s="3206"/>
      <c r="Z5" s="3207"/>
      <c r="AA5" s="3192"/>
      <c r="AB5" s="3210"/>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210"/>
      <c r="AC6" s="3193"/>
    </row>
    <row r="7" spans="1:29" s="117" customFormat="1" ht="15.75" thickBot="1">
      <c r="A7" s="408" t="s">
        <v>2502</v>
      </c>
      <c r="B7" s="409"/>
      <c r="C7" s="410">
        <f>'数据-取费表'!B2</f>
        <v>43641</v>
      </c>
      <c r="D7" s="411">
        <v>100</v>
      </c>
      <c r="E7" s="412">
        <f>C7</f>
        <v>43641</v>
      </c>
      <c r="F7" s="413">
        <f>SUMIF(58:58,YEAR(E7)&amp;"-"&amp;MONTH(E7),59:59)</f>
        <v>100</v>
      </c>
      <c r="G7" s="412">
        <f>C7</f>
        <v>43641</v>
      </c>
      <c r="H7" s="411">
        <f>SUMIF(58:58,YEAR(G7)&amp;"-"&amp;MONTH(G7),59:59)</f>
        <v>100</v>
      </c>
      <c r="I7" s="412">
        <f>C7</f>
        <v>43641</v>
      </c>
      <c r="J7" s="411">
        <f>SUMIF(58:58,YEAR(I7)&amp;"-"&amp;MONTH(I7),59:59)</f>
        <v>100</v>
      </c>
      <c r="K7" s="611"/>
      <c r="L7" s="1131"/>
      <c r="M7" s="1132"/>
      <c r="N7" s="1132"/>
      <c r="O7" s="1132"/>
      <c r="P7" s="3215" t="s">
        <v>2503</v>
      </c>
      <c r="Q7" s="3217"/>
      <c r="R7" s="769" t="s">
        <v>17</v>
      </c>
      <c r="S7" s="770">
        <f t="shared" ref="S7:S15" si="0">F7</f>
        <v>100</v>
      </c>
      <c r="T7" s="769" t="s">
        <v>17</v>
      </c>
      <c r="U7" s="770">
        <f t="shared" ref="U7:U15" si="1">H7</f>
        <v>100</v>
      </c>
      <c r="V7" s="769" t="s">
        <v>17</v>
      </c>
      <c r="W7" s="770">
        <f t="shared" ref="W7:W15" si="2">J7</f>
        <v>100</v>
      </c>
      <c r="X7" s="771"/>
      <c r="Y7" s="3215" t="s">
        <v>2503</v>
      </c>
      <c r="Z7" s="3216"/>
      <c r="AA7" s="772">
        <f>D7/F7</f>
        <v>1</v>
      </c>
      <c r="AB7" s="772">
        <f>D7/H7</f>
        <v>1</v>
      </c>
      <c r="AC7" s="772">
        <f>D7/J7</f>
        <v>1</v>
      </c>
    </row>
    <row r="8" spans="1:29" s="117" customFormat="1" ht="15.75" thickBot="1">
      <c r="A8" s="408" t="s">
        <v>2504</v>
      </c>
      <c r="B8" s="409"/>
      <c r="C8" s="414" t="s">
        <v>2605</v>
      </c>
      <c r="D8" s="411">
        <v>100</v>
      </c>
      <c r="E8" s="414" t="s">
        <v>3036</v>
      </c>
      <c r="F8" s="413">
        <f>SUMIF(61:61,E8,62:62)-SUMIF(61:61,C8,62:62)+100</f>
        <v>100</v>
      </c>
      <c r="G8" s="414" t="s">
        <v>3036</v>
      </c>
      <c r="H8" s="411">
        <f>SUMIF(61:61,G8,62:62)-SUMIF(61:61,C8,62:62)+100</f>
        <v>100</v>
      </c>
      <c r="I8" s="414" t="s">
        <v>3036</v>
      </c>
      <c r="J8" s="411">
        <f>SUMIF(61:61,I8,62:62)-SUMIF(61:61,C8,62:62)+100</f>
        <v>100</v>
      </c>
      <c r="K8" s="611"/>
      <c r="L8" s="1131"/>
      <c r="M8" s="1132"/>
      <c r="N8" s="1132"/>
      <c r="O8" s="1132"/>
      <c r="P8" s="3215" t="s">
        <v>2506</v>
      </c>
      <c r="Q8" s="3216"/>
      <c r="R8" s="769" t="s">
        <v>17</v>
      </c>
      <c r="S8" s="770">
        <f t="shared" si="0"/>
        <v>100</v>
      </c>
      <c r="T8" s="769" t="s">
        <v>17</v>
      </c>
      <c r="U8" s="770">
        <f t="shared" si="1"/>
        <v>100</v>
      </c>
      <c r="V8" s="769" t="s">
        <v>17</v>
      </c>
      <c r="W8" s="770">
        <f t="shared" si="2"/>
        <v>100</v>
      </c>
      <c r="X8" s="771"/>
      <c r="Y8" s="3215" t="s">
        <v>2506</v>
      </c>
      <c r="Z8" s="3216"/>
      <c r="AA8" s="772">
        <f t="shared" ref="AA8:AA46" si="3">D8/F8</f>
        <v>1</v>
      </c>
      <c r="AB8" s="772">
        <f t="shared" ref="AB8:AB46" si="4">D8/H8</f>
        <v>1</v>
      </c>
      <c r="AC8" s="772">
        <f t="shared" ref="AC8:AC46" si="5">D8/J8</f>
        <v>1</v>
      </c>
    </row>
    <row r="9" spans="1:29" s="117" customFormat="1">
      <c r="A9" s="415" t="s">
        <v>2507</v>
      </c>
      <c r="B9" s="71" t="s">
        <v>2508</v>
      </c>
      <c r="C9" s="2967" t="s">
        <v>3046</v>
      </c>
      <c r="D9" s="135">
        <v>100</v>
      </c>
      <c r="E9" s="417" t="s">
        <v>1369</v>
      </c>
      <c r="F9" s="418">
        <f>SUMIF(63:63,E9,64:64)-SUMIF(63:63,C9,64:64)+100</f>
        <v>100</v>
      </c>
      <c r="G9" s="417" t="s">
        <v>1369</v>
      </c>
      <c r="H9" s="135">
        <f>SUMIF(63:63,G9,64:64)-SUMIF(63:63,C9,64:64)+100</f>
        <v>100</v>
      </c>
      <c r="I9" s="417" t="s">
        <v>1369</v>
      </c>
      <c r="J9" s="135">
        <f>SUMIF(63:63,I9,64:64)-SUMIF(63:63,C9,64:64)+100</f>
        <v>100</v>
      </c>
      <c r="K9" s="611"/>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t="s">
        <v>3047</v>
      </c>
      <c r="D10" s="136">
        <v>100</v>
      </c>
      <c r="E10" s="424" t="s">
        <v>3047</v>
      </c>
      <c r="F10" s="425">
        <f>SUMIF(65:65,E10,66:66)-SUMIF(65:65,C10,66:66)+100</f>
        <v>100</v>
      </c>
      <c r="G10" s="424" t="s">
        <v>3047</v>
      </c>
      <c r="H10" s="136">
        <f>SUMIF(65:65,G10,66:66)-SUMIF(65:65,C10,66:66)+100</f>
        <v>100</v>
      </c>
      <c r="I10" s="424" t="s">
        <v>3047</v>
      </c>
      <c r="J10" s="136">
        <f>SUMIF(65:65,I10,66:66)-SUMIF(65:65,C10,66:66)+100</f>
        <v>100</v>
      </c>
      <c r="K10" s="612">
        <v>1</v>
      </c>
      <c r="L10" s="1134"/>
      <c r="M10" s="1135"/>
      <c r="N10" s="1135" t="s">
        <v>3110</v>
      </c>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t="s">
        <v>3038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7"/>
      <c r="M11" s="1130"/>
      <c r="N11" s="1130"/>
      <c r="O11" s="1130"/>
      <c r="P11" s="3190"/>
      <c r="Q11" s="1794" t="str">
        <f t="shared" si="6"/>
        <v>容积率</v>
      </c>
      <c r="R11" s="769" t="s">
        <v>17</v>
      </c>
      <c r="S11" s="770">
        <f t="shared" si="0"/>
        <v>100</v>
      </c>
      <c r="T11" s="769" t="s">
        <v>17</v>
      </c>
      <c r="U11" s="770">
        <f t="shared" si="1"/>
        <v>100</v>
      </c>
      <c r="V11" s="769" t="s">
        <v>17</v>
      </c>
      <c r="W11" s="770">
        <f t="shared" si="2"/>
        <v>100</v>
      </c>
      <c r="X11" s="771"/>
      <c r="Y11" s="3031"/>
      <c r="Z11" s="55" t="str">
        <f t="shared" si="7"/>
        <v>容积率</v>
      </c>
      <c r="AA11" s="772">
        <f t="shared" si="3"/>
        <v>1</v>
      </c>
      <c r="AB11" s="772">
        <f t="shared" si="4"/>
        <v>1</v>
      </c>
      <c r="AC11" s="772">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0"/>
      <c r="Q12" s="1794">
        <f t="shared" si="6"/>
        <v>0</v>
      </c>
      <c r="R12" s="769" t="s">
        <v>17</v>
      </c>
      <c r="S12" s="770">
        <f t="shared" si="0"/>
        <v>100</v>
      </c>
      <c r="T12" s="769" t="s">
        <v>17</v>
      </c>
      <c r="U12" s="770">
        <f t="shared" si="1"/>
        <v>100</v>
      </c>
      <c r="V12" s="769" t="s">
        <v>17</v>
      </c>
      <c r="W12" s="770">
        <f t="shared" si="2"/>
        <v>100</v>
      </c>
      <c r="X12" s="771"/>
      <c r="Y12" s="3031"/>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0"/>
      <c r="Q13" s="1794">
        <f t="shared" si="6"/>
        <v>0</v>
      </c>
      <c r="R13" s="769" t="s">
        <v>17</v>
      </c>
      <c r="S13" s="770">
        <f t="shared" si="0"/>
        <v>100</v>
      </c>
      <c r="T13" s="769" t="s">
        <v>17</v>
      </c>
      <c r="U13" s="770">
        <f t="shared" si="1"/>
        <v>100</v>
      </c>
      <c r="V13" s="769" t="s">
        <v>17</v>
      </c>
      <c r="W13" s="770">
        <f t="shared" si="2"/>
        <v>100</v>
      </c>
      <c r="X13" s="771"/>
      <c r="Y13" s="3031"/>
      <c r="Z13" s="55">
        <f t="shared" si="7"/>
        <v>0</v>
      </c>
      <c r="AA13" s="772">
        <f t="shared" si="3"/>
        <v>1</v>
      </c>
      <c r="AB13" s="772">
        <f t="shared" si="4"/>
        <v>1</v>
      </c>
      <c r="AC13" s="772">
        <f t="shared" si="5"/>
        <v>1</v>
      </c>
    </row>
    <row r="14" spans="1:29" ht="15.75"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0"/>
      <c r="Q14" s="1794">
        <f t="shared" si="6"/>
        <v>0</v>
      </c>
      <c r="R14" s="769" t="s">
        <v>17</v>
      </c>
      <c r="S14" s="770">
        <f t="shared" si="0"/>
        <v>100</v>
      </c>
      <c r="T14" s="769" t="s">
        <v>17</v>
      </c>
      <c r="U14" s="770">
        <f t="shared" si="1"/>
        <v>100</v>
      </c>
      <c r="V14" s="769" t="s">
        <v>17</v>
      </c>
      <c r="W14" s="770">
        <f t="shared" si="2"/>
        <v>100</v>
      </c>
      <c r="X14" s="771"/>
      <c r="Y14" s="3031"/>
      <c r="Z14" s="55">
        <f t="shared" si="7"/>
        <v>0</v>
      </c>
      <c r="AA14" s="772">
        <f t="shared" si="3"/>
        <v>1</v>
      </c>
      <c r="AB14" s="772">
        <f t="shared" si="4"/>
        <v>1</v>
      </c>
      <c r="AC14" s="772">
        <f t="shared" si="5"/>
        <v>1</v>
      </c>
    </row>
    <row r="15" spans="1:29" ht="85.5">
      <c r="A15" s="440" t="s">
        <v>2513</v>
      </c>
      <c r="B15" s="69" t="s">
        <v>2606</v>
      </c>
      <c r="C15" s="2600" t="str">
        <f>估价对象房地状况!C4</f>
        <v>估价对象位于圣莲岛，周边商业氛围成熟度一般，人流量大一般，商业繁华度一般</v>
      </c>
      <c r="D15" s="441">
        <v>100</v>
      </c>
      <c r="E15" s="2982" t="s">
        <v>3134</v>
      </c>
      <c r="F15" s="443">
        <f>SUMIF(76:76,E16,77:77)-SUMIF(76:76,C16,77:77)+100</f>
        <v>105</v>
      </c>
      <c r="G15" s="2982" t="s">
        <v>3134</v>
      </c>
      <c r="H15" s="441">
        <f>SUMIF(76:76,G16,77:77)-SUMIF(76:76,C16,77:77)+100</f>
        <v>105</v>
      </c>
      <c r="I15" s="2982" t="s">
        <v>3134</v>
      </c>
      <c r="J15" s="441">
        <f>SUMIF(76:76,I16,77:77)-SUMIF(76:76,C16,77:77)+100</f>
        <v>105</v>
      </c>
      <c r="K15" s="614">
        <v>5</v>
      </c>
      <c r="L15" s="1139"/>
      <c r="M15" s="1130"/>
      <c r="N15" s="1130"/>
      <c r="O15" s="1130"/>
      <c r="P15" s="3188" t="s">
        <v>2514</v>
      </c>
      <c r="Q15" s="1809" t="str">
        <f t="shared" si="6"/>
        <v>商业繁华度</v>
      </c>
      <c r="R15" s="773" t="s">
        <v>17</v>
      </c>
      <c r="S15" s="774">
        <f t="shared" si="0"/>
        <v>105</v>
      </c>
      <c r="T15" s="773" t="s">
        <v>17</v>
      </c>
      <c r="U15" s="774">
        <f t="shared" si="1"/>
        <v>105</v>
      </c>
      <c r="V15" s="773" t="s">
        <v>17</v>
      </c>
      <c r="W15" s="774">
        <f t="shared" si="2"/>
        <v>105</v>
      </c>
      <c r="X15" s="1812"/>
      <c r="Y15" s="3181" t="s">
        <v>2514</v>
      </c>
      <c r="Z15" s="1813" t="str">
        <f t="shared" si="7"/>
        <v>商业繁华度</v>
      </c>
      <c r="AA15" s="1810">
        <f t="shared" si="3"/>
        <v>0.95238095238095233</v>
      </c>
      <c r="AB15" s="1810">
        <f t="shared" si="4"/>
        <v>0.95238095238095233</v>
      </c>
      <c r="AC15" s="1810">
        <f t="shared" si="5"/>
        <v>0.95238095238095233</v>
      </c>
    </row>
    <row r="16" spans="1:29" ht="15">
      <c r="A16" s="428"/>
      <c r="B16" s="446"/>
      <c r="C16" s="447" t="s">
        <v>3084</v>
      </c>
      <c r="D16" s="448"/>
      <c r="E16" s="447" t="s">
        <v>3033</v>
      </c>
      <c r="F16" s="449"/>
      <c r="G16" s="447" t="s">
        <v>3033</v>
      </c>
      <c r="H16" s="450"/>
      <c r="I16" s="447" t="s">
        <v>3033</v>
      </c>
      <c r="J16" s="448"/>
      <c r="K16" s="615"/>
      <c r="L16" s="1139"/>
      <c r="M16" s="1130"/>
      <c r="N16" s="1130"/>
      <c r="O16" s="1130"/>
      <c r="P16" s="3189"/>
      <c r="Q16" s="1809"/>
      <c r="R16" s="773"/>
      <c r="S16" s="774"/>
      <c r="T16" s="773"/>
      <c r="U16" s="774"/>
      <c r="V16" s="773"/>
      <c r="W16" s="774"/>
      <c r="X16" s="1812"/>
      <c r="Y16" s="3182"/>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3135</v>
      </c>
      <c r="F17" s="453">
        <f>SUMIF(78:78,E18,79:79)-SUMIF(78:78,C18,79:79)+100</f>
        <v>106</v>
      </c>
      <c r="G17" s="2983" t="s">
        <v>3135</v>
      </c>
      <c r="H17" s="455">
        <f>SUMIF(78:78,G18,79:79)-SUMIF(78:78,C18,79:79)+100</f>
        <v>106</v>
      </c>
      <c r="I17" s="2983" t="s">
        <v>3135</v>
      </c>
      <c r="J17" s="455">
        <f>SUMIF(78:78,I18,79:79)-SUMIF(78:78,C18,79:79)+100</f>
        <v>106</v>
      </c>
      <c r="K17" s="614">
        <v>3</v>
      </c>
      <c r="L17" s="1139"/>
      <c r="M17" s="1130"/>
      <c r="N17" s="1130"/>
      <c r="O17" s="1130"/>
      <c r="P17" s="3189"/>
      <c r="Q17" s="1809" t="str">
        <f>B17</f>
        <v>交通便捷度</v>
      </c>
      <c r="R17" s="773" t="s">
        <v>17</v>
      </c>
      <c r="S17" s="774">
        <f>F17</f>
        <v>106</v>
      </c>
      <c r="T17" s="773" t="s">
        <v>17</v>
      </c>
      <c r="U17" s="774">
        <f>H17</f>
        <v>106</v>
      </c>
      <c r="V17" s="773" t="s">
        <v>17</v>
      </c>
      <c r="W17" s="774">
        <f>J17</f>
        <v>106</v>
      </c>
      <c r="X17" s="1812"/>
      <c r="Y17" s="3182"/>
      <c r="Z17" s="1813" t="str">
        <f>Q17</f>
        <v>交通便捷度</v>
      </c>
      <c r="AA17" s="1810">
        <f t="shared" si="3"/>
        <v>0.94339622641509435</v>
      </c>
      <c r="AB17" s="1810">
        <f t="shared" si="4"/>
        <v>0.94339622641509435</v>
      </c>
      <c r="AC17" s="1810">
        <f t="shared" si="5"/>
        <v>0.94339622641509435</v>
      </c>
    </row>
    <row r="18" spans="1:29" ht="15">
      <c r="A18" s="428"/>
      <c r="B18" s="456"/>
      <c r="C18" s="2605" t="s">
        <v>3085</v>
      </c>
      <c r="D18" s="450"/>
      <c r="E18" s="2607" t="s">
        <v>3033</v>
      </c>
      <c r="F18" s="453"/>
      <c r="G18" s="2607" t="s">
        <v>3033</v>
      </c>
      <c r="H18" s="448"/>
      <c r="I18" s="2607" t="s">
        <v>3033</v>
      </c>
      <c r="J18" s="448"/>
      <c r="K18" s="615"/>
      <c r="L18" s="1139"/>
      <c r="M18" s="1130"/>
      <c r="N18" s="1130"/>
      <c r="O18" s="1130"/>
      <c r="P18" s="3189"/>
      <c r="Q18" s="1809"/>
      <c r="R18" s="773"/>
      <c r="S18" s="774"/>
      <c r="T18" s="773"/>
      <c r="U18" s="774"/>
      <c r="V18" s="773"/>
      <c r="W18" s="774"/>
      <c r="X18" s="1812"/>
      <c r="Y18" s="3182"/>
      <c r="Z18" s="1813"/>
      <c r="AA18" s="1810">
        <v>1</v>
      </c>
      <c r="AB18" s="1810">
        <v>1</v>
      </c>
      <c r="AC18" s="1810">
        <v>1</v>
      </c>
    </row>
    <row r="19" spans="1:29" ht="42.75">
      <c r="A19" s="428"/>
      <c r="B19" s="451" t="s">
        <v>2607</v>
      </c>
      <c r="C19" s="2604" t="str">
        <f>估价对象房地状况!C7</f>
        <v>估价对象所在区域公共配套设施齐备情况较差</v>
      </c>
      <c r="D19" s="455">
        <v>100</v>
      </c>
      <c r="E19" s="2984" t="s">
        <v>3136</v>
      </c>
      <c r="F19" s="458">
        <f>SUMIF(80:80,E20,81:81)-SUMIF(80:80,C20,81:81)+100</f>
        <v>102</v>
      </c>
      <c r="G19" s="2984" t="s">
        <v>3136</v>
      </c>
      <c r="H19" s="450">
        <f>SUMIF(80:80,G20,81:81)-SUMIF(80:80,C20,81:81)+100</f>
        <v>102</v>
      </c>
      <c r="I19" s="2984" t="s">
        <v>3136</v>
      </c>
      <c r="J19" s="450">
        <f>SUMIF(80:80,I20,81:81)-SUMIF(80:80,C20,81:81)+100</f>
        <v>102</v>
      </c>
      <c r="K19" s="614">
        <v>1</v>
      </c>
      <c r="L19" s="1139"/>
      <c r="M19" s="1130"/>
      <c r="N19" s="1130"/>
      <c r="O19" s="1130"/>
      <c r="P19" s="3189"/>
      <c r="Q19" s="1809" t="str">
        <f>B19</f>
        <v>公共配套设施</v>
      </c>
      <c r="R19" s="773" t="s">
        <v>17</v>
      </c>
      <c r="S19" s="774">
        <f>F19</f>
        <v>102</v>
      </c>
      <c r="T19" s="773" t="s">
        <v>17</v>
      </c>
      <c r="U19" s="774">
        <f>H19</f>
        <v>102</v>
      </c>
      <c r="V19" s="773" t="s">
        <v>17</v>
      </c>
      <c r="W19" s="774">
        <f>J19</f>
        <v>102</v>
      </c>
      <c r="X19" s="1812"/>
      <c r="Y19" s="3182"/>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9"/>
      <c r="G20" s="2602" t="s">
        <v>3033</v>
      </c>
      <c r="H20" s="448"/>
      <c r="I20" s="2602" t="s">
        <v>3033</v>
      </c>
      <c r="J20" s="448"/>
      <c r="K20" s="615"/>
      <c r="L20" s="1139"/>
      <c r="M20" s="1130"/>
      <c r="N20" s="1130"/>
      <c r="O20" s="1130"/>
      <c r="P20" s="3189"/>
      <c r="Q20" s="1809"/>
      <c r="R20" s="773"/>
      <c r="S20" s="774"/>
      <c r="T20" s="773"/>
      <c r="U20" s="774"/>
      <c r="V20" s="773"/>
      <c r="W20" s="774"/>
      <c r="X20" s="1812"/>
      <c r="Y20" s="3182"/>
      <c r="Z20" s="1813"/>
      <c r="AA20" s="1810">
        <v>1</v>
      </c>
      <c r="AB20" s="1810">
        <v>1</v>
      </c>
      <c r="AC20" s="1810">
        <v>1</v>
      </c>
    </row>
    <row r="21" spans="1:29" ht="42.75">
      <c r="A21" s="428"/>
      <c r="B21" s="1383" t="s">
        <v>2608</v>
      </c>
      <c r="C21" s="2604" t="str">
        <f>估价对象房地状况!C8</f>
        <v>估价对象所在区域基础设施水平较好</v>
      </c>
      <c r="D21" s="455">
        <v>100</v>
      </c>
      <c r="E21" s="457" t="s">
        <v>3094</v>
      </c>
      <c r="F21" s="458">
        <f>SUMIF(82:82,E22,83:83)-SUMIF(82:82,C22,83:83)+100</f>
        <v>100</v>
      </c>
      <c r="G21" s="457" t="s">
        <v>3094</v>
      </c>
      <c r="H21" s="450">
        <f>SUMIF(82:82,G22,83:83)-SUMIF(82:82,C22,83:83)+100</f>
        <v>100</v>
      </c>
      <c r="I21" s="457" t="s">
        <v>3094</v>
      </c>
      <c r="J21" s="450">
        <f>SUMIF(82:82,I22,83:83)-SUMIF(82:82,C22,83:83)+100</f>
        <v>100</v>
      </c>
      <c r="K21" s="614">
        <v>1</v>
      </c>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9"/>
      <c r="G22" s="447" t="s">
        <v>3035</v>
      </c>
      <c r="H22" s="448"/>
      <c r="I22" s="447" t="s">
        <v>3035</v>
      </c>
      <c r="J22" s="448"/>
      <c r="K22" s="1382"/>
      <c r="L22" s="1139"/>
      <c r="M22" s="1130"/>
      <c r="N22" s="1130"/>
      <c r="O22" s="1130"/>
      <c r="P22" s="3189"/>
      <c r="Q22" s="1809"/>
      <c r="R22" s="773"/>
      <c r="S22" s="774"/>
      <c r="T22" s="773"/>
      <c r="U22" s="774"/>
      <c r="V22" s="773"/>
      <c r="W22" s="774"/>
      <c r="X22" s="1812"/>
      <c r="Y22" s="3182"/>
      <c r="Z22" s="1813"/>
      <c r="AA22" s="1810">
        <v>1</v>
      </c>
      <c r="AB22" s="1810">
        <v>1</v>
      </c>
      <c r="AC22" s="1810">
        <v>1</v>
      </c>
    </row>
    <row r="23" spans="1:29" ht="71.25">
      <c r="A23" s="428"/>
      <c r="B23" s="451" t="s">
        <v>2056</v>
      </c>
      <c r="C23" s="2661" t="str">
        <f>估价对象房地状况!C9</f>
        <v>区域自然环境：较好；人文环境：一般；综合评价环境状况一般</v>
      </c>
      <c r="D23" s="450">
        <v>100</v>
      </c>
      <c r="E23" s="2983" t="s">
        <v>3137</v>
      </c>
      <c r="F23" s="453">
        <f>SUMIF(84:84,E24,85:85)-SUMIF(84:84,C24,85:85)+100</f>
        <v>101</v>
      </c>
      <c r="G23" s="2983" t="s">
        <v>3137</v>
      </c>
      <c r="H23" s="450">
        <f>SUMIF(84:84,G24,85:85)-SUMIF(84:84,C24,85:85)+100</f>
        <v>101</v>
      </c>
      <c r="I23" s="2983" t="s">
        <v>3137</v>
      </c>
      <c r="J23" s="450">
        <f>SUMIF(84:84,I24,85:85)-SUMIF(84:84,C24,85:85)+100</f>
        <v>101</v>
      </c>
      <c r="K23" s="614">
        <v>1</v>
      </c>
      <c r="L23" s="1139"/>
      <c r="M23" s="1130"/>
      <c r="N23" s="1130"/>
      <c r="O23" s="1130"/>
      <c r="P23" s="3189"/>
      <c r="Q23" s="1809" t="str">
        <f>B23</f>
        <v>自然及人文环境</v>
      </c>
      <c r="R23" s="773" t="s">
        <v>17</v>
      </c>
      <c r="S23" s="774">
        <f>F23</f>
        <v>101</v>
      </c>
      <c r="T23" s="773" t="s">
        <v>17</v>
      </c>
      <c r="U23" s="774">
        <f>H23</f>
        <v>101</v>
      </c>
      <c r="V23" s="773" t="s">
        <v>17</v>
      </c>
      <c r="W23" s="774">
        <f>J23</f>
        <v>101</v>
      </c>
      <c r="X23" s="1812"/>
      <c r="Y23" s="3182"/>
      <c r="Z23" s="1813" t="str">
        <f>Q23</f>
        <v>自然及人文环境</v>
      </c>
      <c r="AA23" s="1810">
        <f t="shared" si="3"/>
        <v>0.99009900990099009</v>
      </c>
      <c r="AB23" s="1810">
        <f t="shared" si="4"/>
        <v>0.99009900990099009</v>
      </c>
      <c r="AC23" s="1810">
        <f t="shared" si="5"/>
        <v>0.99009900990099009</v>
      </c>
    </row>
    <row r="24" spans="1:29" ht="15">
      <c r="A24" s="428"/>
      <c r="B24" s="456"/>
      <c r="C24" s="447" t="s">
        <v>3084</v>
      </c>
      <c r="D24" s="448"/>
      <c r="E24" s="2602" t="s">
        <v>3033</v>
      </c>
      <c r="F24" s="449"/>
      <c r="G24" s="2602" t="s">
        <v>3033</v>
      </c>
      <c r="H24" s="448"/>
      <c r="I24" s="2602" t="s">
        <v>3033</v>
      </c>
      <c r="J24" s="448"/>
      <c r="K24" s="615"/>
      <c r="L24" s="1139"/>
      <c r="M24" s="1130"/>
      <c r="N24" s="1130"/>
      <c r="O24" s="1130"/>
      <c r="P24" s="3189"/>
      <c r="Q24" s="1809"/>
      <c r="R24" s="773"/>
      <c r="S24" s="774"/>
      <c r="T24" s="773"/>
      <c r="U24" s="774"/>
      <c r="V24" s="773"/>
      <c r="W24" s="774"/>
      <c r="X24" s="1812"/>
      <c r="Y24" s="3182"/>
      <c r="Z24" s="1813"/>
      <c r="AA24" s="1810">
        <v>1</v>
      </c>
      <c r="AB24" s="1810">
        <v>1</v>
      </c>
      <c r="AC24" s="1810">
        <v>1</v>
      </c>
    </row>
    <row r="25" spans="1:29" ht="15">
      <c r="A25" s="428"/>
      <c r="B25" s="422" t="s">
        <v>2609</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39"/>
      <c r="M25" s="1130"/>
      <c r="N25" s="1130"/>
      <c r="O25" s="1130"/>
      <c r="P25" s="3189"/>
      <c r="Q25" s="1809" t="str">
        <f t="shared" ref="Q25:Q46" si="11">B25</f>
        <v>临街状况</v>
      </c>
      <c r="R25" s="773" t="s">
        <v>17</v>
      </c>
      <c r="S25" s="774">
        <f>F25</f>
        <v>100</v>
      </c>
      <c r="T25" s="773" t="s">
        <v>17</v>
      </c>
      <c r="U25" s="774">
        <f>H25</f>
        <v>100</v>
      </c>
      <c r="V25" s="773" t="s">
        <v>17</v>
      </c>
      <c r="W25" s="774">
        <f>J25</f>
        <v>100</v>
      </c>
      <c r="X25" s="1812"/>
      <c r="Y25" s="3182"/>
      <c r="Z25" s="1813" t="str">
        <f>Q25</f>
        <v>临街状况</v>
      </c>
      <c r="AA25" s="1810">
        <f t="shared" si="3"/>
        <v>1</v>
      </c>
      <c r="AB25" s="1810">
        <f t="shared" si="4"/>
        <v>1</v>
      </c>
      <c r="AC25" s="1810">
        <f t="shared" si="5"/>
        <v>1</v>
      </c>
    </row>
    <row r="26" spans="1:29" ht="15">
      <c r="A26" s="428"/>
      <c r="B26" s="1385" t="s">
        <v>2610</v>
      </c>
      <c r="C26" s="2986" t="s">
        <v>3118</v>
      </c>
      <c r="D26" s="435">
        <v>100</v>
      </c>
      <c r="E26" s="434" t="s">
        <v>3084</v>
      </c>
      <c r="F26" s="461">
        <f>SUMIF(88:88,E26,89:89)-SUMIF(88:88,C26,89:89)+100</f>
        <v>100</v>
      </c>
      <c r="G26" s="434" t="s">
        <v>3084</v>
      </c>
      <c r="H26" s="435">
        <f>SUMIF(88:88,G26,89:89)-SUMIF(88:88,C26,89:89)+100</f>
        <v>100</v>
      </c>
      <c r="I26" s="434" t="s">
        <v>3084</v>
      </c>
      <c r="J26" s="435">
        <f>SUMIF(88:88,I26,89:89)-SUMIF(88:88,C26,89:89)+100</f>
        <v>100</v>
      </c>
      <c r="K26" s="613"/>
      <c r="L26" s="1139"/>
      <c r="M26" s="1130"/>
      <c r="N26" s="1130"/>
      <c r="O26" s="1130"/>
      <c r="P26" s="3189"/>
      <c r="Q26" s="1809" t="str">
        <f t="shared" si="11"/>
        <v>平面位置/可视性</v>
      </c>
      <c r="R26" s="773" t="s">
        <v>17</v>
      </c>
      <c r="S26" s="774">
        <f>F26</f>
        <v>100</v>
      </c>
      <c r="T26" s="773" t="s">
        <v>17</v>
      </c>
      <c r="U26" s="774">
        <f>H26</f>
        <v>100</v>
      </c>
      <c r="V26" s="773" t="s">
        <v>17</v>
      </c>
      <c r="W26" s="774">
        <f>J26</f>
        <v>100</v>
      </c>
      <c r="X26" s="1812"/>
      <c r="Y26" s="3182"/>
      <c r="Z26" s="1813" t="str">
        <f>Q26</f>
        <v>平面位置/可视性</v>
      </c>
      <c r="AA26" s="1810">
        <f t="shared" si="3"/>
        <v>1</v>
      </c>
      <c r="AB26" s="1810">
        <f t="shared" si="4"/>
        <v>1</v>
      </c>
      <c r="AC26" s="1810">
        <f t="shared" si="5"/>
        <v>1</v>
      </c>
    </row>
    <row r="27" spans="1:29" s="117" customFormat="1" ht="15">
      <c r="A27" s="431"/>
      <c r="B27" s="451" t="s">
        <v>2611</v>
      </c>
      <c r="C27" s="2662" t="s">
        <v>3084</v>
      </c>
      <c r="D27" s="462">
        <v>100</v>
      </c>
      <c r="E27" s="2662" t="s">
        <v>3033</v>
      </c>
      <c r="F27" s="464">
        <f>SUMIF(90:90,E27,91:91)-SUMIF(90:90,C27,91:91)+100</f>
        <v>101</v>
      </c>
      <c r="G27" s="2662" t="s">
        <v>3033</v>
      </c>
      <c r="H27" s="462">
        <f>SUMIF(90:90,G27,91:91)-SUMIF(90:90,C27,91:91)+100</f>
        <v>101</v>
      </c>
      <c r="I27" s="2662" t="s">
        <v>3033</v>
      </c>
      <c r="J27" s="462">
        <f>SUMIF(90:90,I27,91:91)-SUMIF(90:90,C27,91:91)+100</f>
        <v>101</v>
      </c>
      <c r="K27" s="612">
        <v>1</v>
      </c>
      <c r="L27" s="1131"/>
      <c r="M27" s="1132"/>
      <c r="N27" s="1132"/>
      <c r="O27" s="1132"/>
      <c r="P27" s="3189"/>
      <c r="Q27" s="1794" t="str">
        <f t="shared" si="11"/>
        <v>人流量</v>
      </c>
      <c r="R27" s="769" t="s">
        <v>17</v>
      </c>
      <c r="S27" s="770">
        <f>F27</f>
        <v>101</v>
      </c>
      <c r="T27" s="769" t="s">
        <v>17</v>
      </c>
      <c r="U27" s="770">
        <f>H27</f>
        <v>101</v>
      </c>
      <c r="V27" s="769" t="s">
        <v>17</v>
      </c>
      <c r="W27" s="770">
        <f>J27</f>
        <v>101</v>
      </c>
      <c r="X27" s="771"/>
      <c r="Y27" s="3182"/>
      <c r="Z27" s="55" t="str">
        <f>Q27</f>
        <v>人流量</v>
      </c>
      <c r="AA27" s="1810">
        <f>D27/F27</f>
        <v>0.99009900990099009</v>
      </c>
      <c r="AB27" s="1810">
        <f>D27/H27</f>
        <v>0.99009900990099009</v>
      </c>
      <c r="AC27" s="1810">
        <f>D27/J27</f>
        <v>0.99009900990099009</v>
      </c>
    </row>
    <row r="28" spans="1:29" ht="15">
      <c r="A28" s="428"/>
      <c r="B28" s="422" t="s">
        <v>2612</v>
      </c>
      <c r="C28" s="616" t="s">
        <v>3132</v>
      </c>
      <c r="D28" s="435">
        <v>100</v>
      </c>
      <c r="E28" s="616" t="s">
        <v>3132</v>
      </c>
      <c r="F28" s="461">
        <f>SUMIF(92:92,E28,93:93)-SUMIF(92:92,C28,93:93)+100</f>
        <v>100</v>
      </c>
      <c r="G28" s="616" t="s">
        <v>3132</v>
      </c>
      <c r="H28" s="435">
        <f>SUMIF(92:92,G28,93:93)-SUMIF(92:92,C28,93:93)+100</f>
        <v>100</v>
      </c>
      <c r="I28" s="616" t="s">
        <v>3132</v>
      </c>
      <c r="J28" s="435">
        <f>SUMIF(92:92,I28,93:93)-SUMIF(92:92,C28,93:93)+100</f>
        <v>100</v>
      </c>
      <c r="K28" s="613"/>
      <c r="L28" s="1139"/>
      <c r="M28" s="1130"/>
      <c r="N28" s="1130"/>
      <c r="O28" s="1130"/>
      <c r="P28" s="318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2"/>
      <c r="Z28" s="1813" t="str">
        <f t="shared" ref="Z28:Z46" si="15">Q28</f>
        <v>楼层</v>
      </c>
      <c r="AA28" s="1810">
        <f t="shared" si="3"/>
        <v>1</v>
      </c>
      <c r="AB28" s="1810">
        <f t="shared" si="4"/>
        <v>1</v>
      </c>
      <c r="AC28" s="1810">
        <f t="shared" si="5"/>
        <v>1</v>
      </c>
    </row>
    <row r="29" spans="1:29" ht="15">
      <c r="A29" s="428"/>
      <c r="B29" s="1385"/>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89"/>
      <c r="Q29" s="1809">
        <f t="shared" si="11"/>
        <v>0</v>
      </c>
      <c r="R29" s="773" t="s">
        <v>17</v>
      </c>
      <c r="S29" s="774">
        <f t="shared" si="12"/>
        <v>100</v>
      </c>
      <c r="T29" s="773" t="s">
        <v>17</v>
      </c>
      <c r="U29" s="774">
        <f t="shared" si="13"/>
        <v>100</v>
      </c>
      <c r="V29" s="773" t="s">
        <v>17</v>
      </c>
      <c r="W29" s="774">
        <f t="shared" si="14"/>
        <v>100</v>
      </c>
      <c r="X29" s="1812"/>
      <c r="Y29" s="3182"/>
      <c r="Z29" s="1813">
        <f t="shared" si="15"/>
        <v>0</v>
      </c>
      <c r="AA29" s="1810">
        <f t="shared" si="3"/>
        <v>1</v>
      </c>
      <c r="AB29" s="1810">
        <f t="shared" si="4"/>
        <v>1</v>
      </c>
      <c r="AC29" s="1810">
        <f t="shared" si="5"/>
        <v>1</v>
      </c>
    </row>
    <row r="30" spans="1:29" ht="15">
      <c r="A30" s="428"/>
      <c r="B30" s="1385"/>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89"/>
      <c r="Q30" s="1809">
        <f t="shared" si="11"/>
        <v>0</v>
      </c>
      <c r="R30" s="773" t="s">
        <v>17</v>
      </c>
      <c r="S30" s="774">
        <f t="shared" si="12"/>
        <v>100</v>
      </c>
      <c r="T30" s="773" t="s">
        <v>17</v>
      </c>
      <c r="U30" s="774">
        <f t="shared" si="13"/>
        <v>100</v>
      </c>
      <c r="V30" s="773" t="s">
        <v>17</v>
      </c>
      <c r="W30" s="774">
        <f t="shared" si="14"/>
        <v>100</v>
      </c>
      <c r="X30" s="1812"/>
      <c r="Y30" s="3182"/>
      <c r="Z30" s="1813">
        <f t="shared" si="15"/>
        <v>0</v>
      </c>
      <c r="AA30" s="1810">
        <f t="shared" si="3"/>
        <v>1</v>
      </c>
      <c r="AB30" s="1810">
        <f t="shared" si="4"/>
        <v>1</v>
      </c>
      <c r="AC30" s="1810">
        <f t="shared" si="5"/>
        <v>1</v>
      </c>
    </row>
    <row r="31" spans="1:29" ht="15.75" thickBot="1">
      <c r="A31" s="436"/>
      <c r="B31" s="1385"/>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89"/>
      <c r="Q31" s="1809">
        <f t="shared" si="11"/>
        <v>0</v>
      </c>
      <c r="R31" s="773" t="s">
        <v>17</v>
      </c>
      <c r="S31" s="774">
        <f t="shared" si="12"/>
        <v>100</v>
      </c>
      <c r="T31" s="773" t="s">
        <v>17</v>
      </c>
      <c r="U31" s="774">
        <f t="shared" si="13"/>
        <v>100</v>
      </c>
      <c r="V31" s="773" t="s">
        <v>17</v>
      </c>
      <c r="W31" s="774">
        <f t="shared" si="14"/>
        <v>100</v>
      </c>
      <c r="X31" s="1812"/>
      <c r="Y31" s="3182"/>
      <c r="Z31" s="1813">
        <f t="shared" si="15"/>
        <v>0</v>
      </c>
      <c r="AA31" s="1810">
        <f t="shared" si="3"/>
        <v>1</v>
      </c>
      <c r="AB31" s="1810">
        <f t="shared" si="4"/>
        <v>1</v>
      </c>
      <c r="AC31" s="1810">
        <f t="shared" si="5"/>
        <v>1</v>
      </c>
    </row>
    <row r="32" spans="1:29" ht="15">
      <c r="A32" s="440" t="s">
        <v>2517</v>
      </c>
      <c r="B32" s="71" t="s">
        <v>2613</v>
      </c>
      <c r="C32" s="2614" t="s">
        <v>3119</v>
      </c>
      <c r="D32" s="467">
        <v>100</v>
      </c>
      <c r="E32" s="2614" t="s">
        <v>3119</v>
      </c>
      <c r="F32" s="461">
        <f>SUMIF(100:100,E32,101:101)-SUMIF(100:100,C32,101:101)+100</f>
        <v>100</v>
      </c>
      <c r="G32" s="2614" t="s">
        <v>3119</v>
      </c>
      <c r="H32" s="435">
        <f>SUMIF(100:100,G32,101:101)-SUMIF(100:100,C32,101:101)+100</f>
        <v>100</v>
      </c>
      <c r="I32" s="2614" t="s">
        <v>3119</v>
      </c>
      <c r="J32" s="467">
        <f>SUMIF(100:100,I32,101:101)-SUMIF(100:100,C32,101:101)+100</f>
        <v>100</v>
      </c>
      <c r="K32" s="612">
        <v>1</v>
      </c>
      <c r="L32" s="1139"/>
      <c r="M32" s="1130"/>
      <c r="N32" s="1130"/>
      <c r="O32" s="1130"/>
      <c r="P32" s="3183" t="s">
        <v>2519</v>
      </c>
      <c r="Q32" s="1809" t="str">
        <f t="shared" si="11"/>
        <v>商业类型</v>
      </c>
      <c r="R32" s="773" t="s">
        <v>17</v>
      </c>
      <c r="S32" s="774">
        <f t="shared" si="12"/>
        <v>100</v>
      </c>
      <c r="T32" s="773" t="s">
        <v>17</v>
      </c>
      <c r="U32" s="774">
        <f t="shared" si="13"/>
        <v>100</v>
      </c>
      <c r="V32" s="773" t="s">
        <v>17</v>
      </c>
      <c r="W32" s="774">
        <f t="shared" si="14"/>
        <v>100</v>
      </c>
      <c r="X32" s="1812"/>
      <c r="Y32" s="3186" t="s">
        <v>2519</v>
      </c>
      <c r="Z32" s="1813" t="str">
        <f t="shared" si="15"/>
        <v>商业类型</v>
      </c>
      <c r="AA32" s="1810">
        <f t="shared" si="3"/>
        <v>1</v>
      </c>
      <c r="AB32" s="1810">
        <f t="shared" si="4"/>
        <v>1</v>
      </c>
      <c r="AC32" s="1810">
        <f t="shared" si="5"/>
        <v>1</v>
      </c>
    </row>
    <row r="33" spans="1:29" s="471" customFormat="1" ht="15">
      <c r="A33" s="468"/>
      <c r="B33" s="422" t="s">
        <v>2520</v>
      </c>
      <c r="C33" s="469" t="s">
        <v>3133</v>
      </c>
      <c r="D33" s="136">
        <v>100</v>
      </c>
      <c r="E33" s="469" t="s">
        <v>3133</v>
      </c>
      <c r="F33" s="425">
        <f>LOOKUP(E33,103:103,104:104)-LOOKUP(C33,103:103,104:104)+100</f>
        <v>100</v>
      </c>
      <c r="G33" s="469" t="s">
        <v>3133</v>
      </c>
      <c r="H33" s="136">
        <f>LOOKUP(G33,103:103,104:104)-LOOKUP(C33,103:103,104:104)+100</f>
        <v>100</v>
      </c>
      <c r="I33" s="469" t="s">
        <v>3133</v>
      </c>
      <c r="J33" s="136">
        <f>LOOKUP(I33,103:103,104:104)-LOOKUP(C33,103:103,104:104)+100</f>
        <v>100</v>
      </c>
      <c r="K33" s="613"/>
      <c r="L33" s="1137"/>
      <c r="M33" s="1140"/>
      <c r="N33" s="1140"/>
      <c r="O33" s="1140"/>
      <c r="P33" s="3184"/>
      <c r="Q33" s="775" t="str">
        <f t="shared" si="11"/>
        <v>项目建筑规模</v>
      </c>
      <c r="R33" s="776" t="s">
        <v>17</v>
      </c>
      <c r="S33" s="777">
        <f t="shared" si="12"/>
        <v>100</v>
      </c>
      <c r="T33" s="776" t="s">
        <v>17</v>
      </c>
      <c r="U33" s="777">
        <f t="shared" si="13"/>
        <v>100</v>
      </c>
      <c r="V33" s="776" t="s">
        <v>17</v>
      </c>
      <c r="W33" s="777">
        <f t="shared" si="14"/>
        <v>100</v>
      </c>
      <c r="X33" s="778"/>
      <c r="Y33" s="3186"/>
      <c r="Z33" s="779" t="str">
        <f t="shared" si="15"/>
        <v>项目建筑规模</v>
      </c>
      <c r="AA33" s="1810">
        <f t="shared" si="3"/>
        <v>1</v>
      </c>
      <c r="AB33" s="1810">
        <f t="shared" si="4"/>
        <v>1</v>
      </c>
      <c r="AC33" s="1810">
        <f t="shared" si="5"/>
        <v>1</v>
      </c>
    </row>
    <row r="34" spans="1:29" ht="15">
      <c r="A34" s="472"/>
      <c r="B34" s="422" t="s">
        <v>2521</v>
      </c>
      <c r="C34" s="2616" t="s">
        <v>3030</v>
      </c>
      <c r="D34" s="435">
        <v>100</v>
      </c>
      <c r="E34" s="2616" t="s">
        <v>3030</v>
      </c>
      <c r="F34" s="461">
        <f>SUMIF(105:105,E34,106:106)-SUMIF(105:105,C34,106:106)+100</f>
        <v>100</v>
      </c>
      <c r="G34" s="2616" t="s">
        <v>3030</v>
      </c>
      <c r="H34" s="435">
        <f>SUMIF(105:105,G34,106:106)-SUMIF(105:105,C34,106:106)+100</f>
        <v>100</v>
      </c>
      <c r="I34" s="2616" t="s">
        <v>3030</v>
      </c>
      <c r="J34" s="435">
        <f>SUMIF(105:105,I34,106:106)-SUMIF(105:105,C34,106:106)+100</f>
        <v>100</v>
      </c>
      <c r="K34" s="612">
        <v>1</v>
      </c>
      <c r="L34" s="1139"/>
      <c r="M34" s="1130"/>
      <c r="N34" s="1130"/>
      <c r="O34" s="1130"/>
      <c r="P34" s="3184"/>
      <c r="Q34" s="1809" t="str">
        <f t="shared" si="11"/>
        <v>建筑结构</v>
      </c>
      <c r="R34" s="773" t="s">
        <v>17</v>
      </c>
      <c r="S34" s="774">
        <f t="shared" si="12"/>
        <v>100</v>
      </c>
      <c r="T34" s="773" t="s">
        <v>17</v>
      </c>
      <c r="U34" s="774">
        <f t="shared" si="13"/>
        <v>100</v>
      </c>
      <c r="V34" s="773" t="s">
        <v>17</v>
      </c>
      <c r="W34" s="774">
        <f t="shared" si="14"/>
        <v>100</v>
      </c>
      <c r="X34" s="1812"/>
      <c r="Y34" s="3186"/>
      <c r="Z34" s="1813" t="str">
        <f t="shared" si="15"/>
        <v>建筑结构</v>
      </c>
      <c r="AA34" s="1810">
        <f t="shared" si="3"/>
        <v>1</v>
      </c>
      <c r="AB34" s="1810">
        <f t="shared" si="4"/>
        <v>1</v>
      </c>
      <c r="AC34" s="1810">
        <f t="shared" si="5"/>
        <v>1</v>
      </c>
    </row>
    <row r="35" spans="1:29" ht="15">
      <c r="A35" s="472"/>
      <c r="B35" s="422" t="s">
        <v>2614</v>
      </c>
      <c r="C35" s="2610" t="s">
        <v>3076</v>
      </c>
      <c r="D35" s="435">
        <v>100</v>
      </c>
      <c r="E35" s="2610" t="s">
        <v>3076</v>
      </c>
      <c r="F35" s="461">
        <f>SUMIF(107:107,E35,108:108)-SUMIF(107:107,C35,108:108)+100</f>
        <v>100</v>
      </c>
      <c r="G35" s="2610" t="s">
        <v>3076</v>
      </c>
      <c r="H35" s="435">
        <f>SUMIF(107:107,G35,108:108)-SUMIF(107:107,C35,108:108)+100</f>
        <v>100</v>
      </c>
      <c r="I35" s="2610" t="s">
        <v>3076</v>
      </c>
      <c r="J35" s="435">
        <f>SUMIF(107:107,I35,108:108)-SUMIF(107:107,C35,108:108)+100</f>
        <v>100</v>
      </c>
      <c r="K35" s="612">
        <v>1</v>
      </c>
      <c r="L35" s="1139"/>
      <c r="M35" s="1130"/>
      <c r="N35" s="1130"/>
      <c r="O35" s="1130"/>
      <c r="P35" s="3184"/>
      <c r="Q35" s="1809" t="str">
        <f t="shared" si="11"/>
        <v>公共部分装修</v>
      </c>
      <c r="R35" s="773" t="s">
        <v>17</v>
      </c>
      <c r="S35" s="774">
        <f t="shared" si="12"/>
        <v>100</v>
      </c>
      <c r="T35" s="773" t="s">
        <v>17</v>
      </c>
      <c r="U35" s="774">
        <f t="shared" si="13"/>
        <v>100</v>
      </c>
      <c r="V35" s="773" t="s">
        <v>17</v>
      </c>
      <c r="W35" s="774">
        <f t="shared" si="14"/>
        <v>100</v>
      </c>
      <c r="X35" s="1812"/>
      <c r="Y35" s="3186"/>
      <c r="Z35" s="1813" t="str">
        <f t="shared" si="15"/>
        <v>公共部分装修</v>
      </c>
      <c r="AA35" s="1810">
        <f t="shared" si="3"/>
        <v>1</v>
      </c>
      <c r="AB35" s="1810">
        <f t="shared" si="4"/>
        <v>1</v>
      </c>
      <c r="AC35" s="1810">
        <f t="shared" si="5"/>
        <v>1</v>
      </c>
    </row>
    <row r="36" spans="1:29" ht="15">
      <c r="A36" s="472"/>
      <c r="B36" s="422" t="s">
        <v>2615</v>
      </c>
      <c r="C36" s="474">
        <f>'数据-取费表'!N7</f>
        <v>0.93</v>
      </c>
      <c r="D36" s="435">
        <v>100</v>
      </c>
      <c r="E36" s="474">
        <f>ROUND(1-(2019-2015)/60,2)</f>
        <v>0.93</v>
      </c>
      <c r="F36" s="461">
        <f>LOOKUP(E36,110:110,111:111)-LOOKUP(C36,110:110,111:111)+100</f>
        <v>100</v>
      </c>
      <c r="G36" s="474">
        <f>ROUND(1-(2019-2012)/60,2)</f>
        <v>0.88</v>
      </c>
      <c r="H36" s="461">
        <f>LOOKUP(G36,110:110,111:111)-LOOKUP(C36,110:110,111:111)+100</f>
        <v>99</v>
      </c>
      <c r="I36" s="474">
        <f>ROUND(1-(2019-2011)/60,2)</f>
        <v>0.87</v>
      </c>
      <c r="J36" s="435">
        <f>LOOKUP(I36,110:110,111:111)-LOOKUP(C36,110:110,111:111)+100</f>
        <v>99</v>
      </c>
      <c r="K36" s="612">
        <v>1</v>
      </c>
      <c r="L36" s="1139"/>
      <c r="M36" s="1130"/>
      <c r="N36" s="1130"/>
      <c r="O36" s="1130"/>
      <c r="P36" s="3184"/>
      <c r="Q36" s="1809" t="str">
        <f t="shared" si="11"/>
        <v>成新度</v>
      </c>
      <c r="R36" s="773" t="s">
        <v>17</v>
      </c>
      <c r="S36" s="774">
        <f t="shared" si="12"/>
        <v>100</v>
      </c>
      <c r="T36" s="773" t="s">
        <v>17</v>
      </c>
      <c r="U36" s="774">
        <f t="shared" si="13"/>
        <v>99</v>
      </c>
      <c r="V36" s="773" t="s">
        <v>17</v>
      </c>
      <c r="W36" s="774">
        <f t="shared" si="14"/>
        <v>99</v>
      </c>
      <c r="X36" s="1812"/>
      <c r="Y36" s="3186"/>
      <c r="Z36" s="1813" t="str">
        <f t="shared" si="15"/>
        <v>成新度</v>
      </c>
      <c r="AA36" s="1810">
        <f t="shared" si="3"/>
        <v>1</v>
      </c>
      <c r="AB36" s="1810">
        <f t="shared" si="4"/>
        <v>1.0101010101010102</v>
      </c>
      <c r="AC36" s="1810">
        <f t="shared" si="5"/>
        <v>1.0101010101010102</v>
      </c>
    </row>
    <row r="37" spans="1:29" s="117" customFormat="1" ht="15">
      <c r="A37" s="473"/>
      <c r="B37" s="422" t="s">
        <v>2616</v>
      </c>
      <c r="C37" s="2610" t="s">
        <v>3035</v>
      </c>
      <c r="D37" s="136">
        <v>100</v>
      </c>
      <c r="E37" s="2610" t="s">
        <v>3035</v>
      </c>
      <c r="F37" s="461">
        <f>SUMIF(112:112,E37,113:113)-SUMIF(112:112,C37,113:113)+100</f>
        <v>100</v>
      </c>
      <c r="G37" s="2610" t="s">
        <v>3035</v>
      </c>
      <c r="H37" s="435">
        <f>SUMIF(112:112,G37,113:113)-SUMIF(112:112,C37,113:113)+100</f>
        <v>100</v>
      </c>
      <c r="I37" s="2610" t="s">
        <v>3035</v>
      </c>
      <c r="J37" s="435">
        <f>SUMIF(112:112,I37,113:113)-SUMIF(112:112,C37,113:113)+100</f>
        <v>100</v>
      </c>
      <c r="K37" s="612">
        <v>1</v>
      </c>
      <c r="L37" s="1131"/>
      <c r="M37" s="1132"/>
      <c r="N37" s="1132"/>
      <c r="O37" s="1132"/>
      <c r="P37" s="3184"/>
      <c r="Q37" s="1794" t="str">
        <f t="shared" si="11"/>
        <v>市政基础设施</v>
      </c>
      <c r="R37" s="769" t="s">
        <v>17</v>
      </c>
      <c r="S37" s="770">
        <f t="shared" si="12"/>
        <v>100</v>
      </c>
      <c r="T37" s="769" t="s">
        <v>17</v>
      </c>
      <c r="U37" s="770">
        <f t="shared" si="13"/>
        <v>100</v>
      </c>
      <c r="V37" s="769" t="s">
        <v>17</v>
      </c>
      <c r="W37" s="770">
        <f t="shared" si="14"/>
        <v>100</v>
      </c>
      <c r="X37" s="771"/>
      <c r="Y37" s="3186"/>
      <c r="Z37" s="55" t="str">
        <f t="shared" si="15"/>
        <v>市政基础设施</v>
      </c>
      <c r="AA37" s="772">
        <f t="shared" si="3"/>
        <v>1</v>
      </c>
      <c r="AB37" s="772">
        <f t="shared" si="4"/>
        <v>1</v>
      </c>
      <c r="AC37" s="772">
        <f t="shared" si="5"/>
        <v>1</v>
      </c>
    </row>
    <row r="38" spans="1:29" ht="15">
      <c r="A38" s="472"/>
      <c r="B38" s="422" t="s">
        <v>2617</v>
      </c>
      <c r="C38" s="2610" t="s">
        <v>3124</v>
      </c>
      <c r="D38" s="435">
        <v>100</v>
      </c>
      <c r="E38" s="2610" t="s">
        <v>3124</v>
      </c>
      <c r="F38" s="461">
        <f>SUMIF(114:114,E38,115:115)-SUMIF(114:114,C38,115:115)+100</f>
        <v>100</v>
      </c>
      <c r="G38" s="2610" t="s">
        <v>3124</v>
      </c>
      <c r="H38" s="435">
        <f>SUMIF(114:114,G38,115:115)-SUMIF(114:114,C38,115:115)+100</f>
        <v>100</v>
      </c>
      <c r="I38" s="2610" t="s">
        <v>3124</v>
      </c>
      <c r="J38" s="435">
        <f>SUMIF(114:114,I38,115:115)-SUMIF(114:114,C38,115:115)+100</f>
        <v>100</v>
      </c>
      <c r="K38" s="612">
        <v>1</v>
      </c>
      <c r="L38" s="1139"/>
      <c r="M38" s="1130"/>
      <c r="N38" s="1130"/>
      <c r="O38" s="1130"/>
      <c r="P38" s="3184" t="s">
        <v>2519</v>
      </c>
      <c r="Q38" s="1809" t="str">
        <f t="shared" si="11"/>
        <v>业态</v>
      </c>
      <c r="R38" s="773" t="s">
        <v>17</v>
      </c>
      <c r="S38" s="774">
        <f t="shared" si="12"/>
        <v>100</v>
      </c>
      <c r="T38" s="773" t="s">
        <v>17</v>
      </c>
      <c r="U38" s="774">
        <f t="shared" si="13"/>
        <v>100</v>
      </c>
      <c r="V38" s="773" t="s">
        <v>17</v>
      </c>
      <c r="W38" s="774">
        <f t="shared" si="14"/>
        <v>100</v>
      </c>
      <c r="X38" s="1812"/>
      <c r="Y38" s="3186" t="s">
        <v>2519</v>
      </c>
      <c r="Z38" s="1813" t="str">
        <f t="shared" si="15"/>
        <v>业态</v>
      </c>
      <c r="AA38" s="1810">
        <f t="shared" si="3"/>
        <v>1</v>
      </c>
      <c r="AB38" s="1810">
        <f t="shared" si="4"/>
        <v>1</v>
      </c>
      <c r="AC38" s="1810">
        <f t="shared" si="5"/>
        <v>1</v>
      </c>
    </row>
    <row r="39" spans="1:29" ht="15">
      <c r="A39" s="472"/>
      <c r="B39" s="422" t="s">
        <v>2618</v>
      </c>
      <c r="C39" s="2610" t="s">
        <v>3126</v>
      </c>
      <c r="D39" s="435">
        <v>100</v>
      </c>
      <c r="E39" s="2610" t="s">
        <v>3126</v>
      </c>
      <c r="F39" s="461">
        <f>SUMIF(116:116,E39,117:117)-SUMIF(116:116,C39,117:117)+100</f>
        <v>100</v>
      </c>
      <c r="G39" s="2610" t="s">
        <v>3126</v>
      </c>
      <c r="H39" s="435">
        <f>SUMIF(116:116,G39,117:117)-SUMIF(116:116,C39,117:117)+100</f>
        <v>100</v>
      </c>
      <c r="I39" s="2610" t="s">
        <v>3126</v>
      </c>
      <c r="J39" s="435">
        <f>SUMIF(116:116,I39,117:117)-SUMIF(116:116,C39,117:117)+100</f>
        <v>100</v>
      </c>
      <c r="K39" s="612">
        <v>1</v>
      </c>
      <c r="L39" s="1139"/>
      <c r="M39" s="1130"/>
      <c r="N39" s="1130"/>
      <c r="O39" s="1130"/>
      <c r="P39" s="3184"/>
      <c r="Q39" s="1809" t="str">
        <f t="shared" si="11"/>
        <v>层高</v>
      </c>
      <c r="R39" s="773" t="s">
        <v>17</v>
      </c>
      <c r="S39" s="774">
        <f t="shared" si="12"/>
        <v>100</v>
      </c>
      <c r="T39" s="773" t="s">
        <v>17</v>
      </c>
      <c r="U39" s="774">
        <f t="shared" si="13"/>
        <v>100</v>
      </c>
      <c r="V39" s="773" t="s">
        <v>17</v>
      </c>
      <c r="W39" s="774">
        <f t="shared" si="14"/>
        <v>100</v>
      </c>
      <c r="X39" s="1812"/>
      <c r="Y39" s="3186"/>
      <c r="Z39" s="1813" t="str">
        <f t="shared" si="15"/>
        <v>层高</v>
      </c>
      <c r="AA39" s="1810">
        <f t="shared" si="3"/>
        <v>1</v>
      </c>
      <c r="AB39" s="1810">
        <f t="shared" si="4"/>
        <v>1</v>
      </c>
      <c r="AC39" s="1810">
        <f t="shared" si="5"/>
        <v>1</v>
      </c>
    </row>
    <row r="40" spans="1:29" ht="15">
      <c r="A40" s="472"/>
      <c r="B40" s="422" t="s">
        <v>2619</v>
      </c>
      <c r="C40" s="617" t="s">
        <v>3048</v>
      </c>
      <c r="D40" s="435">
        <v>100</v>
      </c>
      <c r="E40" s="617" t="s">
        <v>3038</v>
      </c>
      <c r="F40" s="461">
        <f>SUMIF(118:118,E40,119:119)-SUMIF(118:118,C40,119:119)+100</f>
        <v>100</v>
      </c>
      <c r="G40" s="617" t="s">
        <v>3038</v>
      </c>
      <c r="H40" s="435">
        <f>SUMIF(118:118,G40,119:119)-SUMIF(118:118,C40,119:119)+100</f>
        <v>100</v>
      </c>
      <c r="I40" s="617" t="s">
        <v>3038</v>
      </c>
      <c r="J40" s="435">
        <f>SUMIF(118:118,I40,119:119)-SUMIF(118:118,C40,119:119)+100</f>
        <v>100</v>
      </c>
      <c r="K40" s="613"/>
      <c r="L40" s="1139"/>
      <c r="M40" s="1130"/>
      <c r="N40" s="1130"/>
      <c r="O40" s="1130"/>
      <c r="P40" s="3184"/>
      <c r="Q40" s="1809" t="str">
        <f t="shared" si="11"/>
        <v>单套建筑面积</v>
      </c>
      <c r="R40" s="773" t="s">
        <v>17</v>
      </c>
      <c r="S40" s="774">
        <f t="shared" si="12"/>
        <v>100</v>
      </c>
      <c r="T40" s="773" t="s">
        <v>17</v>
      </c>
      <c r="U40" s="774">
        <f t="shared" si="13"/>
        <v>100</v>
      </c>
      <c r="V40" s="773" t="s">
        <v>17</v>
      </c>
      <c r="W40" s="774">
        <f t="shared" si="14"/>
        <v>100</v>
      </c>
      <c r="X40" s="1812"/>
      <c r="Y40" s="3186"/>
      <c r="Z40" s="1813" t="str">
        <f t="shared" si="15"/>
        <v>单套建筑面积</v>
      </c>
      <c r="AA40" s="1810">
        <f t="shared" si="3"/>
        <v>1</v>
      </c>
      <c r="AB40" s="1810">
        <f t="shared" si="4"/>
        <v>1</v>
      </c>
      <c r="AC40" s="1810">
        <f t="shared" si="5"/>
        <v>1</v>
      </c>
    </row>
    <row r="41" spans="1:29" s="471" customFormat="1" ht="15">
      <c r="A41" s="468"/>
      <c r="B41" s="1811" t="s">
        <v>2620</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37"/>
      <c r="M41" s="1140"/>
      <c r="N41" s="1140"/>
      <c r="O41" s="1140"/>
      <c r="P41" s="3184"/>
      <c r="Q41" s="775" t="str">
        <f t="shared" si="11"/>
        <v>进深比</v>
      </c>
      <c r="R41" s="776" t="s">
        <v>17</v>
      </c>
      <c r="S41" s="777">
        <f t="shared" si="12"/>
        <v>100</v>
      </c>
      <c r="T41" s="776" t="s">
        <v>17</v>
      </c>
      <c r="U41" s="777">
        <f t="shared" si="13"/>
        <v>100</v>
      </c>
      <c r="V41" s="776" t="s">
        <v>17</v>
      </c>
      <c r="W41" s="777">
        <f t="shared" si="14"/>
        <v>100</v>
      </c>
      <c r="X41" s="778"/>
      <c r="Y41" s="3186"/>
      <c r="Z41" s="779" t="str">
        <f t="shared" si="15"/>
        <v>进深比</v>
      </c>
      <c r="AA41" s="1810">
        <f t="shared" si="3"/>
        <v>1</v>
      </c>
      <c r="AB41" s="1810">
        <f t="shared" si="4"/>
        <v>1</v>
      </c>
      <c r="AC41" s="1810">
        <f t="shared" si="5"/>
        <v>1</v>
      </c>
    </row>
    <row r="42" spans="1:29" ht="15">
      <c r="A42" s="472"/>
      <c r="B42" s="422" t="s">
        <v>2621</v>
      </c>
      <c r="C42" s="2610" t="s">
        <v>3080</v>
      </c>
      <c r="D42" s="435">
        <v>100</v>
      </c>
      <c r="E42" s="2610" t="s">
        <v>3080</v>
      </c>
      <c r="F42" s="461">
        <f>SUMIF(122:122,E42,123:123)-SUMIF(122:122,C42,123:123)+100</f>
        <v>100</v>
      </c>
      <c r="G42" s="2610" t="s">
        <v>3080</v>
      </c>
      <c r="H42" s="435">
        <f>SUMIF(122:122,G42,123:123)-SUMIF(122:122,C42,123:123)+100</f>
        <v>100</v>
      </c>
      <c r="I42" s="2610" t="s">
        <v>3080</v>
      </c>
      <c r="J42" s="435">
        <f>SUMIF(122:122,I42,123:123)-SUMIF(122:122,C42,123:123)+100</f>
        <v>100</v>
      </c>
      <c r="K42" s="612">
        <v>1</v>
      </c>
      <c r="L42" s="1139"/>
      <c r="M42" s="1130"/>
      <c r="N42" s="1130"/>
      <c r="O42" s="1130"/>
      <c r="P42" s="3184"/>
      <c r="Q42" s="1809" t="str">
        <f t="shared" si="11"/>
        <v>内部装修</v>
      </c>
      <c r="R42" s="773" t="s">
        <v>17</v>
      </c>
      <c r="S42" s="774">
        <f t="shared" si="12"/>
        <v>100</v>
      </c>
      <c r="T42" s="773" t="s">
        <v>17</v>
      </c>
      <c r="U42" s="774">
        <f t="shared" si="13"/>
        <v>100</v>
      </c>
      <c r="V42" s="773" t="s">
        <v>17</v>
      </c>
      <c r="W42" s="774">
        <f t="shared" si="14"/>
        <v>100</v>
      </c>
      <c r="X42" s="1812"/>
      <c r="Y42" s="3186"/>
      <c r="Z42" s="1813" t="str">
        <f t="shared" si="15"/>
        <v>内部装修</v>
      </c>
      <c r="AA42" s="1810">
        <f t="shared" si="3"/>
        <v>1</v>
      </c>
      <c r="AB42" s="1810">
        <f t="shared" si="4"/>
        <v>1</v>
      </c>
      <c r="AC42" s="1810">
        <f t="shared" si="5"/>
        <v>1</v>
      </c>
    </row>
    <row r="43" spans="1:29" ht="15">
      <c r="A43" s="472"/>
      <c r="B43" s="422" t="s">
        <v>2530</v>
      </c>
      <c r="C43" s="2610" t="s">
        <v>3033</v>
      </c>
      <c r="D43" s="435">
        <v>100</v>
      </c>
      <c r="E43" s="2610" t="s">
        <v>3033</v>
      </c>
      <c r="F43" s="461">
        <f>SUMIF(124:124,E43,125:125)-SUMIF(124:124,C43,125:125)+100</f>
        <v>100</v>
      </c>
      <c r="G43" s="2610" t="s">
        <v>3033</v>
      </c>
      <c r="H43" s="435">
        <f>SUMIF(124:124,G43,125:125)-SUMIF(124:124,C43,125:125)+100</f>
        <v>100</v>
      </c>
      <c r="I43" s="2610" t="s">
        <v>3033</v>
      </c>
      <c r="J43" s="435">
        <f>SUMIF(124:124,I43,125:125)-SUMIF(124:124,C43,125:125)+100</f>
        <v>100</v>
      </c>
      <c r="K43" s="612">
        <v>1</v>
      </c>
      <c r="L43" s="1139"/>
      <c r="M43" s="1130"/>
      <c r="N43" s="1130"/>
      <c r="O43" s="1130"/>
      <c r="P43" s="3184"/>
      <c r="Q43" s="1809" t="str">
        <f t="shared" si="11"/>
        <v>内部装修维护情况</v>
      </c>
      <c r="R43" s="773" t="s">
        <v>17</v>
      </c>
      <c r="S43" s="774">
        <f t="shared" si="12"/>
        <v>100</v>
      </c>
      <c r="T43" s="773" t="s">
        <v>17</v>
      </c>
      <c r="U43" s="774">
        <f t="shared" si="13"/>
        <v>100</v>
      </c>
      <c r="V43" s="773" t="s">
        <v>17</v>
      </c>
      <c r="W43" s="774">
        <f t="shared" si="14"/>
        <v>100</v>
      </c>
      <c r="X43" s="1812"/>
      <c r="Y43" s="3186"/>
      <c r="Z43" s="1813" t="str">
        <f t="shared" si="15"/>
        <v>内部装修维护情况</v>
      </c>
      <c r="AA43" s="1810">
        <f t="shared" si="3"/>
        <v>1</v>
      </c>
      <c r="AB43" s="1810">
        <f t="shared" si="4"/>
        <v>1</v>
      </c>
      <c r="AC43" s="1810">
        <f t="shared" si="5"/>
        <v>1</v>
      </c>
    </row>
    <row r="44" spans="1:29" s="117" customFormat="1" ht="15">
      <c r="A44" s="473"/>
      <c r="B44" s="1385"/>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4"/>
      <c r="Q44" s="1794">
        <f t="shared" si="11"/>
        <v>0</v>
      </c>
      <c r="R44" s="769" t="s">
        <v>17</v>
      </c>
      <c r="S44" s="770">
        <f t="shared" si="12"/>
        <v>100</v>
      </c>
      <c r="T44" s="769" t="s">
        <v>17</v>
      </c>
      <c r="U44" s="770">
        <f t="shared" si="13"/>
        <v>100</v>
      </c>
      <c r="V44" s="769" t="s">
        <v>17</v>
      </c>
      <c r="W44" s="770">
        <f t="shared" si="14"/>
        <v>100</v>
      </c>
      <c r="X44" s="771"/>
      <c r="Y44" s="3186"/>
      <c r="Z44" s="55">
        <f t="shared" si="15"/>
        <v>0</v>
      </c>
      <c r="AA44" s="772">
        <f t="shared" si="3"/>
        <v>1</v>
      </c>
      <c r="AB44" s="772">
        <f t="shared" si="4"/>
        <v>1</v>
      </c>
      <c r="AC44" s="772">
        <f t="shared" si="5"/>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4"/>
      <c r="Q45" s="1809">
        <f t="shared" si="11"/>
        <v>0</v>
      </c>
      <c r="R45" s="773" t="s">
        <v>17</v>
      </c>
      <c r="S45" s="774">
        <f t="shared" si="12"/>
        <v>100</v>
      </c>
      <c r="T45" s="773" t="s">
        <v>17</v>
      </c>
      <c r="U45" s="774">
        <f t="shared" si="13"/>
        <v>100</v>
      </c>
      <c r="V45" s="773" t="s">
        <v>17</v>
      </c>
      <c r="W45" s="774">
        <f t="shared" si="14"/>
        <v>100</v>
      </c>
      <c r="X45" s="1812"/>
      <c r="Y45" s="3186"/>
      <c r="Z45" s="1813">
        <f t="shared" si="15"/>
        <v>0</v>
      </c>
      <c r="AA45" s="1810">
        <f t="shared" si="3"/>
        <v>1</v>
      </c>
      <c r="AB45" s="1810">
        <f t="shared" si="4"/>
        <v>1</v>
      </c>
      <c r="AC45" s="1810">
        <f t="shared" si="5"/>
        <v>1</v>
      </c>
    </row>
    <row r="46" spans="1:29" ht="15.75"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5"/>
      <c r="Q46" s="1809">
        <f t="shared" si="11"/>
        <v>0</v>
      </c>
      <c r="R46" s="773" t="s">
        <v>17</v>
      </c>
      <c r="S46" s="774">
        <f t="shared" si="12"/>
        <v>100</v>
      </c>
      <c r="T46" s="773" t="s">
        <v>17</v>
      </c>
      <c r="U46" s="774">
        <f t="shared" si="13"/>
        <v>100</v>
      </c>
      <c r="V46" s="773" t="s">
        <v>17</v>
      </c>
      <c r="W46" s="774">
        <f t="shared" si="14"/>
        <v>100</v>
      </c>
      <c r="X46" s="1812"/>
      <c r="Y46" s="3187"/>
      <c r="Z46" s="1813">
        <f t="shared" si="15"/>
        <v>0</v>
      </c>
      <c r="AA46" s="1810">
        <f t="shared" si="3"/>
        <v>1</v>
      </c>
      <c r="AB46" s="1810">
        <f t="shared" si="4"/>
        <v>1</v>
      </c>
      <c r="AC46" s="1810">
        <f t="shared" si="5"/>
        <v>1</v>
      </c>
    </row>
    <row r="47" spans="1:29" ht="15">
      <c r="A47" s="479" t="s">
        <v>2531</v>
      </c>
      <c r="B47" s="480"/>
      <c r="C47" s="1406" t="s">
        <v>1</v>
      </c>
      <c r="D47" s="1407"/>
      <c r="E47" s="1408">
        <v>11667</v>
      </c>
      <c r="F47" s="1409"/>
      <c r="G47" s="1410">
        <v>12000</v>
      </c>
      <c r="H47" s="1411"/>
      <c r="I47" s="1408">
        <v>12048</v>
      </c>
      <c r="J47" s="1411"/>
      <c r="K47" s="782"/>
      <c r="L47" s="1142"/>
      <c r="M47" s="1143"/>
      <c r="N47" s="1130"/>
      <c r="O47" s="1143"/>
      <c r="P47" s="3179" t="str">
        <f>A47</f>
        <v>成交单价（元/平方米）</v>
      </c>
      <c r="Q47" s="3179"/>
      <c r="R47" s="3210">
        <f>E47</f>
        <v>11667</v>
      </c>
      <c r="S47" s="3210"/>
      <c r="T47" s="3210">
        <f>G47</f>
        <v>12000</v>
      </c>
      <c r="U47" s="3210"/>
      <c r="V47" s="3210">
        <f>I47</f>
        <v>12048</v>
      </c>
      <c r="W47" s="3210"/>
      <c r="X47" s="758"/>
      <c r="Y47" s="780"/>
      <c r="Z47" s="758"/>
      <c r="AA47" s="758"/>
      <c r="AB47" s="758"/>
      <c r="AC47" s="758"/>
    </row>
    <row r="48" spans="1:29" ht="15.75" thickBot="1">
      <c r="A48" s="486" t="s">
        <v>2622</v>
      </c>
      <c r="B48" s="487"/>
      <c r="C48" s="1412">
        <f>R49</f>
        <v>10350</v>
      </c>
      <c r="D48" s="1413"/>
      <c r="E48" s="1414">
        <f>R48</f>
        <v>10074</v>
      </c>
      <c r="F48" s="1414"/>
      <c r="G48" s="1412">
        <f>T48</f>
        <v>10467</v>
      </c>
      <c r="H48" s="1413"/>
      <c r="I48" s="1414">
        <f>V48</f>
        <v>10509</v>
      </c>
      <c r="J48" s="1413"/>
      <c r="K48" s="783"/>
      <c r="L48" s="1142"/>
      <c r="M48" s="1143"/>
      <c r="N48" s="1130"/>
      <c r="O48" s="1143"/>
      <c r="P48" s="3179" t="str">
        <f>A48</f>
        <v>比较价值（元/平方米）</v>
      </c>
      <c r="Q48" s="3179"/>
      <c r="R48" s="3180">
        <f>IF(F1="售价",ROUND(PRODUCT(R47,AA7:AA46),0),ROUND(PRODUCT(R47,AA7:AA46),1))</f>
        <v>10074</v>
      </c>
      <c r="S48" s="3180"/>
      <c r="T48" s="3180">
        <f>IF(F1="售价",ROUND(PRODUCT(T47,AB7:AB46),0),ROUND(PRODUCT(T47,AB7:AB46),1))</f>
        <v>10467</v>
      </c>
      <c r="U48" s="3180"/>
      <c r="V48" s="3180">
        <f>IF(F1="售价",ROUND(PRODUCT(V47,AC7:AC46),0),ROUND(PRODUCT(V47,AC7:AC46),1))</f>
        <v>10509</v>
      </c>
      <c r="W48" s="3180"/>
      <c r="X48" s="758"/>
      <c r="Y48" s="758"/>
      <c r="Z48" s="758"/>
      <c r="AA48" s="758"/>
      <c r="AB48" s="758"/>
      <c r="AC48" s="758"/>
    </row>
    <row r="49" spans="1:29" ht="15.75" thickBot="1">
      <c r="A49" s="492" t="s">
        <v>3039</v>
      </c>
      <c r="B49" s="493"/>
      <c r="C49" s="1416">
        <f>R49</f>
        <v>10350</v>
      </c>
      <c r="D49" s="1416"/>
      <c r="E49" s="1416"/>
      <c r="F49" s="1416"/>
      <c r="G49" s="1416"/>
      <c r="H49" s="1416"/>
      <c r="I49" s="1416"/>
      <c r="J49" s="1416"/>
      <c r="K49" s="784"/>
      <c r="L49" s="1142"/>
      <c r="M49" s="1143"/>
      <c r="N49" s="1130"/>
      <c r="O49" s="1143"/>
      <c r="P49" s="3176" t="str">
        <f>A49</f>
        <v>估价对象商业用房的比较价值（楼面单价，元/平方米）</v>
      </c>
      <c r="Q49" s="3177"/>
      <c r="R49" s="3178">
        <f>IF(F1="售价",ROUND(AVERAGE(R48:V48),0),ROUND(AVERAGE(R48:V48),1))</f>
        <v>10350</v>
      </c>
      <c r="S49" s="3178"/>
      <c r="T49" s="3178"/>
      <c r="U49" s="3178"/>
      <c r="V49" s="3178"/>
      <c r="W49" s="317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7" t="s">
        <v>2624</v>
      </c>
      <c r="D52" s="498"/>
      <c r="E52" s="499">
        <f>IF(E47&lt;E48,E48/E47-1,E47/E48-1)</f>
        <v>0.15812983918999413</v>
      </c>
      <c r="F52" s="500" t="str">
        <f>IF(OR(E52&gt;=0.3,E52&lt;=-0.3),"超过30%","")</f>
        <v/>
      </c>
      <c r="G52" s="499">
        <f>IF(G47&lt;G48,G48/G47-1,G47/G48-1)</f>
        <v>0.1464603038119805</v>
      </c>
      <c r="H52" s="500" t="str">
        <f>IF(OR(G52&gt;=0.3,G52&lt;=-0.3),"超过30%","")</f>
        <v/>
      </c>
      <c r="I52" s="499">
        <f>IF(I47&lt;I48,I48/I47-1,I47/I48-1)</f>
        <v>0.14644590351127595</v>
      </c>
      <c r="J52" s="500"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7" t="s">
        <v>2625</v>
      </c>
      <c r="D53" s="501"/>
      <c r="E53" s="499">
        <f>IF(E48&lt;G48,G48/E48-1,E48/G48-1)</f>
        <v>3.9011316259678352E-2</v>
      </c>
      <c r="F53" s="500" t="str">
        <f>IF(OR(E53&gt;=0.2,E53&lt;=-0.2),"超过20%","")</f>
        <v/>
      </c>
      <c r="G53" s="499">
        <f>IF(G48&lt;I48,I48/G48-1,G48/I48-1)</f>
        <v>4.012611063341831E-3</v>
      </c>
      <c r="H53" s="500" t="str">
        <f>IF(OR(G53&gt;=0.2,G53&lt;=-0.2),"超过20%","")</f>
        <v/>
      </c>
      <c r="I53" s="499">
        <f>IF(I48&lt;E48,E48/I48-1,I48/E48-1)</f>
        <v>4.318046456223934E-2</v>
      </c>
      <c r="J53" s="500"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2" customFormat="1" ht="13.5" customHeight="1">
      <c r="A54" s="1144"/>
      <c r="B54" s="1144"/>
      <c r="C54" s="497" t="s">
        <v>2626</v>
      </c>
      <c r="D54" s="501"/>
      <c r="E54" s="499">
        <f>IF(E47&lt;G47,G47/E47-1,E47/G47-1)</f>
        <v>2.8542041655952755E-2</v>
      </c>
      <c r="F54" s="500" t="str">
        <f>IF(OR(E54&gt;=0.3,E54&lt;=-0.3),"超过30%","")</f>
        <v/>
      </c>
      <c r="G54" s="499">
        <f>IF(G47&lt;I47,I47/G47-1,G47/I47-1)</f>
        <v>4.0000000000000036E-3</v>
      </c>
      <c r="H54" s="500" t="str">
        <f>IF(OR(G54&gt;=0.3,G54&lt;=-0.3),"超过30%","")</f>
        <v/>
      </c>
      <c r="I54" s="499">
        <f>IF(I47&lt;E47,E47/I47-1,I47/E47-1)</f>
        <v>3.2656209822576443E-2</v>
      </c>
      <c r="J54" s="500" t="str">
        <f>IF(OR(I54&gt;=0.3,I54&lt;=-0.3),"超过30%","")</f>
        <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2502</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t="s">
        <v>3038</v>
      </c>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2633</v>
      </c>
      <c r="C86" s="2978" t="s">
        <v>3116</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2978" t="s">
        <v>3130</v>
      </c>
      <c r="D88" s="554" t="s">
        <v>3033</v>
      </c>
      <c r="E88" s="554" t="s">
        <v>3084</v>
      </c>
      <c r="F88" s="2632" t="s">
        <v>3085</v>
      </c>
      <c r="G88" s="554" t="s">
        <v>3131</v>
      </c>
      <c r="H88" s="554"/>
      <c r="I88" s="554"/>
      <c r="J88" s="554"/>
      <c r="K88" s="554"/>
      <c r="L88" s="554"/>
      <c r="M88" s="581"/>
      <c r="N88" s="1150"/>
      <c r="O88" s="1150"/>
      <c r="P88" s="2627"/>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7"/>
      <c r="Q89" s="504"/>
    </row>
    <row r="90" spans="1:17" s="471" customFormat="1" ht="15.75" thickTop="1">
      <c r="A90" s="553"/>
      <c r="B90" s="538" t="str">
        <f>B27</f>
        <v>人流量</v>
      </c>
      <c r="C90" s="2978" t="s">
        <v>3130</v>
      </c>
      <c r="D90" s="554" t="s">
        <v>3033</v>
      </c>
      <c r="E90" s="554" t="s">
        <v>3084</v>
      </c>
      <c r="F90" s="2632" t="s">
        <v>3085</v>
      </c>
      <c r="G90" s="554" t="s">
        <v>3131</v>
      </c>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3117</v>
      </c>
      <c r="D92" s="554"/>
      <c r="E92" s="554"/>
      <c r="F92" s="554"/>
      <c r="G92" s="554"/>
      <c r="H92" s="554"/>
      <c r="I92" s="554"/>
      <c r="J92" s="554"/>
      <c r="K92" s="554"/>
      <c r="L92" s="580"/>
      <c r="M92" s="581"/>
      <c r="N92" s="1151"/>
      <c r="O92" s="1151"/>
      <c r="P92" s="2627"/>
      <c r="Q92" s="504"/>
    </row>
    <row r="93" spans="1:17" ht="15.75" thickBot="1">
      <c r="A93" s="534"/>
      <c r="B93" s="543"/>
      <c r="C93" s="536">
        <v>100</v>
      </c>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0</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2517</v>
      </c>
      <c r="B100" s="528" t="s">
        <v>2634</v>
      </c>
      <c r="C100" s="2980" t="s">
        <v>3120</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0"/>
      <c r="O102" s="1150"/>
      <c r="P102" s="2627"/>
      <c r="Q102" s="504"/>
    </row>
    <row r="103" spans="1:17" s="471" customFormat="1">
      <c r="A103" s="593"/>
      <c r="B103" s="594"/>
      <c r="C103" s="595" t="s">
        <v>3038</v>
      </c>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v>100</v>
      </c>
      <c r="D104" s="536"/>
      <c r="E104" s="536"/>
      <c r="F104" s="536"/>
      <c r="G104" s="536"/>
      <c r="H104" s="536"/>
      <c r="I104" s="536"/>
      <c r="J104" s="536"/>
      <c r="K104" s="536"/>
      <c r="L104" s="536"/>
      <c r="M104" s="537"/>
      <c r="N104" s="1152"/>
      <c r="O104" s="1152"/>
      <c r="P104" s="2628"/>
      <c r="Q104" s="559"/>
    </row>
    <row r="105" spans="1:17" ht="15" thickTop="1">
      <c r="A105" s="599"/>
      <c r="B105" s="538" t="s">
        <v>2567</v>
      </c>
      <c r="C105" s="2978" t="s">
        <v>3121</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2569</v>
      </c>
      <c r="C107" s="2978" t="s">
        <v>3122</v>
      </c>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2571</v>
      </c>
      <c r="C112" s="2978" t="s">
        <v>3123</v>
      </c>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2635</v>
      </c>
      <c r="C114" s="2978" t="s">
        <v>3125</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2636</v>
      </c>
      <c r="C116" s="2978" t="s">
        <v>3127</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2637</v>
      </c>
      <c r="C118" s="626" t="s">
        <v>3038</v>
      </c>
      <c r="D118" s="626"/>
      <c r="E118" s="626"/>
      <c r="F118" s="626"/>
      <c r="G118" s="626"/>
      <c r="H118" s="555"/>
      <c r="I118" s="555"/>
      <c r="J118" s="555"/>
      <c r="K118" s="555"/>
      <c r="L118" s="556"/>
      <c r="M118" s="557"/>
      <c r="N118" s="1151"/>
      <c r="O118" s="1151"/>
      <c r="P118" s="2627"/>
      <c r="Q118" s="504"/>
    </row>
    <row r="119" spans="1:17" ht="15.75" thickBot="1">
      <c r="A119" s="534"/>
      <c r="B119" s="543"/>
      <c r="C119" s="560">
        <v>100</v>
      </c>
      <c r="D119" s="536"/>
      <c r="E119" s="536"/>
      <c r="F119" s="536"/>
      <c r="G119" s="536"/>
      <c r="H119" s="536"/>
      <c r="I119" s="536"/>
      <c r="J119" s="536"/>
      <c r="K119" s="536"/>
      <c r="L119" s="536"/>
      <c r="M119" s="537"/>
      <c r="N119" s="1152"/>
      <c r="O119" s="1152"/>
      <c r="P119" s="2627"/>
      <c r="Q119" s="504"/>
    </row>
    <row r="120" spans="1:17" s="471" customFormat="1" ht="15" thickTop="1">
      <c r="A120" s="593"/>
      <c r="B120" s="538" t="s">
        <v>2638</v>
      </c>
      <c r="C120" s="2981" t="s">
        <v>3128</v>
      </c>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2573</v>
      </c>
      <c r="C122" s="2978" t="s">
        <v>3129</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80" zoomScaleNormal="80" zoomScaleSheetLayoutView="90" workbookViewId="0">
      <selection activeCell="I35" sqref="I3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3011</v>
      </c>
      <c r="D1" s="1819" t="s">
        <v>70</v>
      </c>
      <c r="E1" s="1820" t="s">
        <v>1379</v>
      </c>
      <c r="F1" s="1282">
        <f ca="1">J53</f>
        <v>40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6510</v>
      </c>
      <c r="C2" s="1844" t="s">
        <v>1508</v>
      </c>
      <c r="D2" s="1844"/>
      <c r="E2" s="1845"/>
      <c r="F2" s="1846"/>
      <c r="G2" s="1847"/>
      <c r="H2" s="1839"/>
      <c r="I2" s="1839"/>
      <c r="J2" s="1839"/>
      <c r="K2" s="1840"/>
      <c r="L2" s="1839"/>
      <c r="M2" s="1839"/>
    </row>
    <row r="3" spans="1:37" ht="18" customHeight="1" thickBot="1">
      <c r="A3" s="1848" t="s">
        <v>1509</v>
      </c>
      <c r="B3" s="1849">
        <f ca="1">IF(ISERROR(B2*10000/F43),0,ROUND(B2*10000/F43,0))</f>
        <v>10049</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427</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426</v>
      </c>
      <c r="D6" s="164" t="s">
        <v>2986</v>
      </c>
      <c r="E6" s="347" t="s">
        <v>1397</v>
      </c>
      <c r="F6" s="348">
        <f ca="1">INDIRECT("'数据-取费表'!u"&amp;$G$1)</f>
        <v>2</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2954" t="s">
        <v>1398</v>
      </c>
      <c r="F7" s="348">
        <f ca="1">IF(INDIRECT("'数据-取费表'!ah"&amp;$G$1)="",INDIRECT("'数据-取费表'!k"&amp;$G$1),INDIRECT("'数据-取费表'!ah"&amp;$G$1))</f>
        <v>6478.43</v>
      </c>
      <c r="G7" s="1850"/>
      <c r="H7" s="349"/>
      <c r="I7" s="3226"/>
      <c r="J7" s="351"/>
      <c r="K7" s="352"/>
      <c r="L7" s="347" t="s">
        <v>1398</v>
      </c>
      <c r="M7" s="348">
        <f ca="1">F7</f>
        <v>6478.43</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1</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2505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1944</v>
      </c>
      <c r="D14" s="2963" t="s">
        <v>1410</v>
      </c>
      <c r="E14" s="2962"/>
      <c r="F14" s="364"/>
      <c r="G14" s="1850"/>
      <c r="H14" s="1200" t="s">
        <v>1031</v>
      </c>
      <c r="I14" s="347" t="s">
        <v>1411</v>
      </c>
      <c r="J14" s="24">
        <f ca="1">C29</f>
        <v>2694</v>
      </c>
      <c r="K14" s="2953"/>
      <c r="L14" s="978"/>
      <c r="M14" s="979"/>
    </row>
    <row r="15" spans="1:37" s="1857" customFormat="1" ht="18" customHeight="1" thickBot="1">
      <c r="A15" s="1200" t="s">
        <v>1032</v>
      </c>
      <c r="B15" s="347" t="s">
        <v>1412</v>
      </c>
      <c r="C15" s="24">
        <f ca="1">ROUND(C14*F15,0)</f>
        <v>97</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50"/>
      <c r="H16" s="1328" t="s">
        <v>1026</v>
      </c>
      <c r="I16" s="1329" t="s">
        <v>1416</v>
      </c>
      <c r="J16" s="355">
        <f ca="1">ROUND(J17+J22+J23+J24,0)</f>
        <v>77</v>
      </c>
      <c r="K16" s="1336" t="s">
        <v>1417</v>
      </c>
      <c r="L16" s="2966"/>
      <c r="M16" s="1293"/>
    </row>
    <row r="17" spans="1:37" s="1857" customFormat="1" ht="18" customHeight="1">
      <c r="A17" s="1200" t="s">
        <v>1382</v>
      </c>
      <c r="B17" s="347" t="s">
        <v>1418</v>
      </c>
      <c r="C17" s="24">
        <f ca="1">ROUND(F17*(F43+INDIRECT("'数据-取费表'!S"&amp;$G$1))/10000,0)</f>
        <v>97</v>
      </c>
      <c r="D17" s="347" t="s">
        <v>1419</v>
      </c>
      <c r="E17" s="347" t="s">
        <v>1420</v>
      </c>
      <c r="F17" s="26">
        <f>'数据-取费表'!B35</f>
        <v>150</v>
      </c>
      <c r="G17" s="1853"/>
      <c r="H17" s="1200" t="s">
        <v>1031</v>
      </c>
      <c r="I17" s="347" t="s">
        <v>1421</v>
      </c>
      <c r="J17" s="24">
        <f ca="1">ROUND(IF(项目基本情况!B11="自然人",J5*M17,J18+J19+J20),1)</f>
        <v>22.6</v>
      </c>
      <c r="K17" s="2963" t="s">
        <v>1422</v>
      </c>
      <c r="L17" s="2965"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29</v>
      </c>
      <c r="D18" s="347" t="s">
        <v>1413</v>
      </c>
      <c r="E18" s="347" t="s">
        <v>1414</v>
      </c>
      <c r="F18" s="367">
        <f>'数据-取费表'!B36</f>
        <v>1.4999999999999999E-2</v>
      </c>
      <c r="G18" s="1853"/>
      <c r="H18" s="1200" t="s">
        <v>1030</v>
      </c>
      <c r="I18" s="347" t="s">
        <v>1425</v>
      </c>
      <c r="J18" s="24">
        <f ca="1">ROUND(J5*M18/(1+'数据-取费表'!C42),2)</f>
        <v>0</v>
      </c>
      <c r="K18" s="2965"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2167</v>
      </c>
      <c r="D19" s="140" t="s">
        <v>1428</v>
      </c>
      <c r="E19" s="2951"/>
      <c r="F19" s="26"/>
      <c r="G19" s="1850"/>
      <c r="H19" s="1200" t="s">
        <v>1032</v>
      </c>
      <c r="I19" s="347" t="s">
        <v>1429</v>
      </c>
      <c r="J19" s="24">
        <f ca="1">IF(K19="按租金收入计税",ROUND(J5*M19,2),ROUND(C29*M19*0.7,2))</f>
        <v>22.63</v>
      </c>
      <c r="K19" s="1827" t="s">
        <v>1430</v>
      </c>
      <c r="L19" s="347" t="s">
        <v>1414</v>
      </c>
      <c r="M19" s="367">
        <f>IF(K19="按租金收入计税",'数据-取费表'!B51,'数据-取费表'!B50)</f>
        <v>1.2E-2</v>
      </c>
    </row>
    <row r="20" spans="1:37" s="1857" customFormat="1" ht="18" customHeight="1">
      <c r="A20" s="1200" t="s">
        <v>1035</v>
      </c>
      <c r="B20" s="347" t="s">
        <v>1431</v>
      </c>
      <c r="C20" s="24">
        <f ca="1">ROUND(C19*F20,0)</f>
        <v>43</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2951"/>
      <c r="F22" s="26"/>
      <c r="G22" s="1850"/>
      <c r="H22" s="1200" t="s">
        <v>1035</v>
      </c>
      <c r="I22" s="347" t="s">
        <v>1441</v>
      </c>
      <c r="J22" s="24">
        <f ca="1">ROUND(J14*M22,1)</f>
        <v>53.9</v>
      </c>
      <c r="K22" s="2965"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2965"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2951"/>
      <c r="F25" s="26"/>
      <c r="G25" s="1850"/>
      <c r="H25" s="1328" t="s">
        <v>1027</v>
      </c>
      <c r="I25" s="1343" t="s">
        <v>1455</v>
      </c>
      <c r="J25" s="355">
        <f ca="1">J5-J16</f>
        <v>-77</v>
      </c>
      <c r="K25" s="1344" t="s">
        <v>1456</v>
      </c>
      <c r="L25" s="1345"/>
      <c r="M25" s="1346"/>
    </row>
    <row r="26" spans="1:37">
      <c r="A26" s="1200" t="s">
        <v>1030</v>
      </c>
      <c r="B26" s="347" t="s">
        <v>1457</v>
      </c>
      <c r="C26" s="24">
        <f ca="1">ROUND((C19+C20)*F26,0)</f>
        <v>177</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2694</v>
      </c>
      <c r="D29" s="1341"/>
      <c r="E29" s="1339"/>
      <c r="F29" s="1342"/>
      <c r="G29" s="1853"/>
      <c r="H29" s="380" t="s">
        <v>1029</v>
      </c>
      <c r="I29" s="381" t="s">
        <v>1471</v>
      </c>
      <c r="J29" s="382">
        <f ca="1">ROUND(J26/(1+F40)^F41,0)</f>
        <v>0</v>
      </c>
      <c r="K29" s="383" t="s">
        <v>1472</v>
      </c>
      <c r="L29" s="384"/>
      <c r="M29" s="385">
        <f ca="1">INDIRECT("'数据-取费表'!k"&amp;$G$1)</f>
        <v>6478.43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141</v>
      </c>
      <c r="D30" s="1336" t="s">
        <v>1417</v>
      </c>
      <c r="E30" s="2966"/>
      <c r="F30" s="1293"/>
      <c r="G30" s="1850"/>
      <c r="H30" s="744"/>
      <c r="I30" s="745"/>
      <c r="J30" s="746"/>
      <c r="K30" s="747"/>
      <c r="L30" s="748"/>
      <c r="M30" s="749"/>
    </row>
    <row r="31" spans="1:37" ht="18" customHeight="1">
      <c r="A31" s="1200" t="s">
        <v>1031</v>
      </c>
      <c r="B31" s="347" t="s">
        <v>1421</v>
      </c>
      <c r="C31" s="24">
        <f ca="1">ROUND(IF(项目基本情况!B11="自然人",C5*F31,C32+C33+C34),1)</f>
        <v>73.599999999999994</v>
      </c>
      <c r="D31" s="2963" t="s">
        <v>1422</v>
      </c>
      <c r="E31" s="2965" t="s">
        <v>1473</v>
      </c>
      <c r="F31" s="368">
        <f ca="1">IF(项目基本情况!B11="企业","",IF(INDIRECT("'数据-取费表'!c"&amp;$G$1)="住宅",5%,IF(F6*F7*F8/12/(1+'数据-取费表'!C42)&gt;20000,12%,7%)))</f>
        <v>0.12</v>
      </c>
      <c r="G31" s="1850"/>
      <c r="H31" s="744"/>
      <c r="I31" s="745"/>
      <c r="J31" s="746"/>
      <c r="K31" s="747"/>
      <c r="L31" s="748"/>
      <c r="M31" s="749"/>
    </row>
    <row r="32" spans="1:37" ht="18" customHeight="1">
      <c r="A32" s="1200" t="s">
        <v>1030</v>
      </c>
      <c r="B32" s="347" t="s">
        <v>1425</v>
      </c>
      <c r="C32" s="24">
        <f ca="1">IF(项目基本情况!B11="自然人","——",ROUND(C5*F32/(1+'数据-取费表'!C42),2))</f>
        <v>22.37</v>
      </c>
      <c r="D32" s="2965"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51.24</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53.9</v>
      </c>
      <c r="D36" s="2965"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5</v>
      </c>
      <c r="D37" s="2965"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8.5</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286</v>
      </c>
      <c r="D39" s="1344" t="s">
        <v>1456</v>
      </c>
      <c r="E39" s="1345"/>
      <c r="F39" s="1346"/>
      <c r="G39" s="1850"/>
      <c r="H39" s="1858"/>
      <c r="I39" s="1859"/>
      <c r="J39" s="1860"/>
      <c r="K39" s="1864"/>
      <c r="L39" s="1858"/>
      <c r="M39" s="1858"/>
    </row>
    <row r="40" spans="1:18" ht="18" customHeight="1">
      <c r="A40" s="344" t="s">
        <v>1028</v>
      </c>
      <c r="B40" s="345" t="s">
        <v>1477</v>
      </c>
      <c r="C40" s="346">
        <f ca="1">ROUND(C39*(1-((1+F42)/(1+F40))^F41)/(F40-F42),0)</f>
        <v>6510</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40</v>
      </c>
      <c r="G41" s="1850"/>
      <c r="H41" s="731"/>
      <c r="I41" s="1859"/>
      <c r="J41" s="1860"/>
      <c r="K41" s="750"/>
      <c r="L41" s="731"/>
      <c r="M41" s="731"/>
    </row>
    <row r="42" spans="1:18" ht="18" customHeight="1">
      <c r="A42" s="353"/>
      <c r="B42" s="354"/>
      <c r="C42" s="355"/>
      <c r="D42" s="373"/>
      <c r="E42" s="347" t="s">
        <v>1469</v>
      </c>
      <c r="F42" s="357">
        <f ca="1">INDIRECT("'数据-取费表'!v"&amp;$G$1)</f>
        <v>0.03</v>
      </c>
      <c r="G42" s="1850"/>
      <c r="H42" s="731"/>
      <c r="I42" s="1859"/>
      <c r="J42" s="1860"/>
      <c r="K42" s="750"/>
      <c r="L42" s="731"/>
      <c r="M42" s="731"/>
    </row>
    <row r="43" spans="1:18" ht="18" customHeight="1" thickBot="1">
      <c r="A43" s="380" t="s">
        <v>1029</v>
      </c>
      <c r="B43" s="381" t="s">
        <v>1479</v>
      </c>
      <c r="C43" s="382">
        <f ca="1">ROUND(C40*10000/F43,0)</f>
        <v>10049</v>
      </c>
      <c r="D43" s="383" t="s">
        <v>1480</v>
      </c>
      <c r="E43" s="384" t="s">
        <v>1481</v>
      </c>
      <c r="F43" s="385">
        <f ca="1">INDIRECT("'数据-取费表'!k"&amp;$G$1)</f>
        <v>6478.43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-10798</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40</v>
      </c>
      <c r="M47" s="1837" t="str">
        <f>IF(ISNUMBER(FIND("住宅",C1)),"住宅","非住宅")</f>
        <v>非住宅</v>
      </c>
      <c r="O47" s="1883" t="s">
        <v>1036</v>
      </c>
      <c r="P47" s="1884" t="s">
        <v>1520</v>
      </c>
      <c r="Q47" s="1885">
        <f ca="1">C40+J29</f>
        <v>6510</v>
      </c>
      <c r="R47" s="1885" t="s">
        <v>1521</v>
      </c>
    </row>
    <row r="48" spans="1:18" s="1841" customFormat="1" ht="28.5" thickBot="1">
      <c r="A48" s="1359" t="s">
        <v>1131</v>
      </c>
      <c r="B48" s="345" t="s">
        <v>1393</v>
      </c>
      <c r="C48" s="2950">
        <f ca="1">C49+C53+C55</f>
        <v>0</v>
      </c>
      <c r="D48" s="1361"/>
      <c r="E48" s="1362"/>
      <c r="F48" s="1180"/>
      <c r="G48" s="791"/>
      <c r="H48" s="792"/>
      <c r="I48" s="1886" t="s">
        <v>1522</v>
      </c>
      <c r="J48" s="1887" t="s">
        <v>3031</v>
      </c>
      <c r="K48" s="1888" t="s">
        <v>1523</v>
      </c>
      <c r="L48" s="1889">
        <f ca="1">INDIRECT("'数据-取费表'!f"&amp;$G$1)</f>
        <v>40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2694</v>
      </c>
      <c r="R49" s="1885" t="s">
        <v>1521</v>
      </c>
    </row>
    <row r="50" spans="1:18" s="1841" customFormat="1" ht="13.5" thickBot="1">
      <c r="A50" s="1194"/>
      <c r="B50" s="1197"/>
      <c r="C50" s="1367"/>
      <c r="D50" s="1171"/>
      <c r="E50" s="1276" t="s">
        <v>1398</v>
      </c>
      <c r="F50" s="1277">
        <f ca="1">F7</f>
        <v>6478.43</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1254</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40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40</v>
      </c>
      <c r="K53" s="3223" t="s">
        <v>1540</v>
      </c>
      <c r="L53" s="3224"/>
      <c r="O53" s="1883" t="s">
        <v>1042</v>
      </c>
      <c r="P53" s="1884" t="s">
        <v>1541</v>
      </c>
      <c r="Q53" s="1885">
        <f ca="1">Q47+Q48</f>
        <v>6510</v>
      </c>
      <c r="R53" s="1885" t="s">
        <v>1043</v>
      </c>
    </row>
    <row r="54" spans="1:18" s="1841" customFormat="1" ht="13.5" thickBot="1">
      <c r="A54" s="1405"/>
      <c r="B54" s="1824" t="s">
        <v>1380</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2" t="s">
        <v>1071</v>
      </c>
      <c r="B55" s="1826" t="s">
        <v>1405</v>
      </c>
      <c r="C55" s="1333"/>
      <c r="D55" s="1823"/>
      <c r="E55" s="2955"/>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2505</v>
      </c>
      <c r="D56" s="1913"/>
      <c r="E56" s="1914"/>
      <c r="F56" s="1906"/>
      <c r="I56" s="1915" t="s">
        <v>1546</v>
      </c>
      <c r="J56" s="1916" t="s">
        <v>3019</v>
      </c>
      <c r="K56" s="1886" t="s">
        <v>1547</v>
      </c>
      <c r="L56" s="1889" t="str">
        <f ca="1">IF(L48&lt;J51,"——",L48-J53)</f>
        <v>——</v>
      </c>
      <c r="O56" s="1883" t="s">
        <v>1036</v>
      </c>
      <c r="P56" s="1884" t="s">
        <v>1520</v>
      </c>
      <c r="Q56" s="1885">
        <f ca="1">C40+J29</f>
        <v>6510</v>
      </c>
      <c r="R56" s="1885" t="s">
        <v>1521</v>
      </c>
    </row>
    <row r="57" spans="1:18" s="1841" customFormat="1" ht="24.75" thickBot="1">
      <c r="A57" s="1917"/>
      <c r="B57" s="1168" t="s">
        <v>1470</v>
      </c>
      <c r="C57" s="282">
        <f ca="1">C29</f>
        <v>2694</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6" t="s">
        <v>1416</v>
      </c>
      <c r="C58" s="361">
        <f ca="1">ROUND(C59+C64+C65+C66,0)</f>
        <v>285</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226.3</v>
      </c>
      <c r="D59" s="1181" t="s">
        <v>1422</v>
      </c>
      <c r="E59" s="1182" t="s">
        <v>1423</v>
      </c>
      <c r="F59" s="368">
        <f ca="1">IF(项目基本情况!B11="企业","",IF(INDIRECT("'数据-取费表'!c"&amp;$G$1)="住宅",5%,IF(F49*F50*F51/12/(1+'数据-取费表'!C42)&gt;20000,12%,7%)))</f>
        <v>7.0000000000000007E-2</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226.3</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1433</v>
      </c>
      <c r="C62" s="25">
        <f ca="1">IF(项目基本情况!B11="自然人","——",ROUND(F62*F63/10000,2))</f>
        <v>0</v>
      </c>
      <c r="D62" s="1183" t="s">
        <v>1489</v>
      </c>
      <c r="E62" s="1168" t="s">
        <v>1435</v>
      </c>
      <c r="F62" s="371">
        <f t="shared" si="0"/>
        <v>5</v>
      </c>
      <c r="I62" s="1928" t="s">
        <v>1562</v>
      </c>
      <c r="J62" s="1929" t="s">
        <v>1563</v>
      </c>
      <c r="K62" s="1929" t="s">
        <v>1564</v>
      </c>
      <c r="L62" s="1929" t="s">
        <v>1565</v>
      </c>
      <c r="M62" s="1930" t="s">
        <v>1566</v>
      </c>
      <c r="O62" s="1883" t="s">
        <v>1042</v>
      </c>
      <c r="P62" s="1884" t="s">
        <v>1567</v>
      </c>
      <c r="Q62" s="1885">
        <f ca="1">Q56+Q57</f>
        <v>6510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53.9</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5</v>
      </c>
      <c r="D65" s="1182" t="s">
        <v>1446</v>
      </c>
      <c r="E65" s="1168" t="s">
        <v>1447</v>
      </c>
      <c r="F65" s="376">
        <f t="shared" ca="1" si="0"/>
        <v>2E-3</v>
      </c>
      <c r="I65" s="1928" t="s">
        <v>1571</v>
      </c>
      <c r="J65" s="1929">
        <v>40</v>
      </c>
      <c r="K65" s="1929">
        <v>30</v>
      </c>
      <c r="L65" s="1929">
        <v>50</v>
      </c>
      <c r="M65" s="1931">
        <v>0.02</v>
      </c>
      <c r="O65" s="1883" t="s">
        <v>1036</v>
      </c>
      <c r="P65" s="1884" t="s">
        <v>1572</v>
      </c>
      <c r="Q65" s="1885">
        <f ca="1">C40+J29</f>
        <v>6510</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-285</v>
      </c>
      <c r="D67" s="1181" t="s">
        <v>1456</v>
      </c>
      <c r="E67" s="1186"/>
      <c r="F67" s="1187"/>
      <c r="O67" s="1893" t="s">
        <v>1038</v>
      </c>
      <c r="P67" s="1884" t="s">
        <v>1554</v>
      </c>
      <c r="Q67" s="1932">
        <f ca="1">L51</f>
        <v>1254</v>
      </c>
      <c r="R67" s="1885" t="s">
        <v>1574</v>
      </c>
    </row>
    <row r="68" spans="1:18" s="1841" customFormat="1" ht="16.5" thickBot="1">
      <c r="A68" s="1165" t="s">
        <v>1028</v>
      </c>
      <c r="B68" s="1166" t="s">
        <v>1477</v>
      </c>
      <c r="C68" s="346">
        <f ca="1">ROUND(C67*(1-((1+F70)/(1+F68))^F69)/(F68-F70),0)</f>
        <v>-4288</v>
      </c>
      <c r="D68" s="1183" t="s">
        <v>1461</v>
      </c>
      <c r="E68" s="1168" t="s">
        <v>1462</v>
      </c>
      <c r="F68" s="357">
        <f ca="1">F40</f>
        <v>0.06</v>
      </c>
      <c r="O68" s="1893" t="s">
        <v>1039</v>
      </c>
      <c r="P68" s="1933" t="s">
        <v>1575</v>
      </c>
      <c r="Q68" s="1885">
        <f ca="1">ROUND(Q69-Q70*Q71,0)</f>
        <v>73</v>
      </c>
      <c r="R68" s="1885" t="s">
        <v>1047</v>
      </c>
    </row>
    <row r="69" spans="1:18" s="1841" customFormat="1" ht="13.5" thickBot="1">
      <c r="A69" s="1169"/>
      <c r="B69" s="1170"/>
      <c r="C69" s="351"/>
      <c r="D69" s="1188" t="s">
        <v>1465</v>
      </c>
      <c r="E69" s="1168" t="s">
        <v>1466</v>
      </c>
      <c r="F69" s="379">
        <f ca="1">F41</f>
        <v>40</v>
      </c>
      <c r="O69" s="1893" t="s">
        <v>1044</v>
      </c>
      <c r="P69" s="1933" t="s">
        <v>1576</v>
      </c>
      <c r="Q69" s="1885">
        <f ca="1">C39</f>
        <v>286</v>
      </c>
      <c r="R69" s="1885" t="s">
        <v>1521</v>
      </c>
    </row>
    <row r="70" spans="1:18" s="1841" customFormat="1" ht="13.5" thickBot="1">
      <c r="A70" s="1172"/>
      <c r="B70" s="1173"/>
      <c r="C70" s="355"/>
      <c r="D70" s="1184"/>
      <c r="E70" s="1168" t="s">
        <v>1469</v>
      </c>
      <c r="F70" s="1274"/>
      <c r="O70" s="1893" t="s">
        <v>1045</v>
      </c>
      <c r="P70" s="1933" t="s">
        <v>1577</v>
      </c>
      <c r="Q70" s="1885">
        <f ca="1">C13</f>
        <v>2505</v>
      </c>
      <c r="R70" s="1885" t="s">
        <v>1521</v>
      </c>
    </row>
    <row r="71" spans="1:18" s="1841" customFormat="1" ht="13.5" thickBot="1">
      <c r="A71" s="1189" t="s">
        <v>1029</v>
      </c>
      <c r="B71" s="1190" t="s">
        <v>1479</v>
      </c>
      <c r="C71" s="382">
        <f ca="1">ROUND(C68*10000/F71,0)</f>
        <v>-6619</v>
      </c>
      <c r="D71" s="1191" t="s">
        <v>1480</v>
      </c>
      <c r="E71" s="1192" t="s">
        <v>1481</v>
      </c>
      <c r="F71" s="385">
        <f ca="1">F43</f>
        <v>6478.43</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213</v>
      </c>
      <c r="D75" s="1841"/>
      <c r="E75" s="1841"/>
      <c r="F75" s="1841"/>
      <c r="K75" s="1867"/>
      <c r="L75" s="1841"/>
      <c r="O75" s="1883" t="s">
        <v>1042</v>
      </c>
      <c r="P75" s="1884" t="s">
        <v>1541</v>
      </c>
      <c r="Q75" s="1885">
        <f ca="1">Q65+Q66</f>
        <v>6510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0.255</v>
      </c>
    </row>
    <row r="80" spans="1:18">
      <c r="B80" s="386" t="s">
        <v>1503</v>
      </c>
      <c r="C80" s="318">
        <f ca="1">ROUND(C75/C39,3)</f>
        <v>0.745</v>
      </c>
    </row>
    <row r="81" spans="2:3">
      <c r="B81" s="314" t="s">
        <v>1504</v>
      </c>
      <c r="C81" s="282"/>
    </row>
    <row r="82" spans="2:3">
      <c r="B82" s="317" t="s">
        <v>1505</v>
      </c>
      <c r="C82" s="319">
        <f ca="1">1-C83</f>
        <v>0.61499999999999999</v>
      </c>
    </row>
    <row r="83" spans="2:3">
      <c r="B83" s="317" t="s">
        <v>1506</v>
      </c>
      <c r="C83" s="318">
        <f ca="1">ROUND(C13/C40,3)</f>
        <v>0.38500000000000001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受贵公司委托，我公司对四川省遂宁市圣莲岛（仁里镇猫儿洲）棚户区改造项目房地产抵押价值进行了预评估。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估价对象为四川省遂宁市圣莲岛（仁里镇猫儿洲）棚户区改造项目房地产，为所有。根据《国有土地使用证》[]，估价对象（分摊）出让国有建设用地使用权面积为0平方米，建筑面积为8982.83平方米。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2019年6月25日（评估专业人员实地查勘之日）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1601</v>
      </c>
    </row>
    <row r="24" spans="1:1" ht="18">
      <c r="A24" s="1954" t="str">
        <f>"本次评估采用的主估价方法为"&amp;结果表!K4&amp;"和"&amp;结果表!L4&amp;"。"</f>
        <v>本次评估采用的主估价方法为比较法和收益法。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IF(C2="——",ROUND(C50*D3/10000,0),ROUND(C50*D3/10000,0)-D2)</f>
        <v>#DIV/0!</v>
      </c>
      <c r="C2" s="2583"/>
      <c r="D2" s="1364"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IF(C2="——",C50,ROUND(B2*10000/D3,0))</f>
        <v>#DIV/0!</v>
      </c>
      <c r="C3" s="400" t="s">
        <v>2597</v>
      </c>
      <c r="D3" s="399">
        <f>IF(D1="",'数据-汇总表'!E3,SUMIF('数据-汇总表'!$C19:$C33,D1,'数据-汇总表'!$E19:$E33))</f>
        <v>8982.83</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258" t="s">
        <v>2604</v>
      </c>
      <c r="Q4" s="3259"/>
      <c r="R4" s="3262" t="s">
        <v>2600</v>
      </c>
      <c r="S4" s="3263"/>
      <c r="T4" s="3262" t="s">
        <v>2601</v>
      </c>
      <c r="U4" s="3263"/>
      <c r="V4" s="3264" t="s">
        <v>2602</v>
      </c>
      <c r="W4" s="3264"/>
      <c r="X4" s="2667"/>
      <c r="Y4" s="3262" t="s">
        <v>2604</v>
      </c>
      <c r="Z4" s="3263"/>
      <c r="AA4" s="3266" t="s">
        <v>2600</v>
      </c>
      <c r="AB4" s="3266" t="s">
        <v>2601</v>
      </c>
      <c r="AC4" s="3255" t="s">
        <v>2602</v>
      </c>
    </row>
    <row r="5" spans="1:29" ht="15">
      <c r="A5" s="404"/>
      <c r="B5" s="405"/>
      <c r="C5" s="3218" t="s">
        <v>2496</v>
      </c>
      <c r="D5" s="3214"/>
      <c r="E5" s="3267" t="s">
        <v>2497</v>
      </c>
      <c r="F5" s="3222"/>
      <c r="G5" s="3218" t="s">
        <v>2498</v>
      </c>
      <c r="H5" s="3214"/>
      <c r="I5" s="3218" t="s">
        <v>2499</v>
      </c>
      <c r="J5" s="3214"/>
      <c r="K5" s="610"/>
      <c r="L5" s="1129"/>
      <c r="M5" s="1130"/>
      <c r="N5" s="1130"/>
      <c r="O5" s="1130"/>
      <c r="P5" s="3260"/>
      <c r="Q5" s="3201"/>
      <c r="R5" s="3206"/>
      <c r="S5" s="3207"/>
      <c r="T5" s="3206"/>
      <c r="U5" s="3207"/>
      <c r="V5" s="3210"/>
      <c r="W5" s="3210"/>
      <c r="X5" s="1812"/>
      <c r="Y5" s="3206"/>
      <c r="Z5" s="3207"/>
      <c r="AA5" s="3192"/>
      <c r="AB5" s="3192"/>
      <c r="AC5" s="3256"/>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61"/>
      <c r="Q6" s="3203"/>
      <c r="R6" s="3206"/>
      <c r="S6" s="3207"/>
      <c r="T6" s="3208"/>
      <c r="U6" s="3209"/>
      <c r="V6" s="3210"/>
      <c r="W6" s="3210"/>
      <c r="X6" s="1812"/>
      <c r="Y6" s="3208"/>
      <c r="Z6" s="3209"/>
      <c r="AA6" s="3193"/>
      <c r="AB6" s="3193"/>
      <c r="AC6" s="3257"/>
    </row>
    <row r="7" spans="1:29" s="117" customFormat="1" ht="15.75" thickBot="1">
      <c r="A7" s="408" t="s">
        <v>2502</v>
      </c>
      <c r="B7" s="409"/>
      <c r="C7" s="410">
        <f>'数据-取费表'!B2</f>
        <v>43641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5" t="s">
        <v>2506</v>
      </c>
      <c r="Q8" s="3216"/>
      <c r="R8" s="769" t="s">
        <v>17</v>
      </c>
      <c r="S8" s="770">
        <f t="shared" si="0"/>
        <v>0</v>
      </c>
      <c r="T8" s="769" t="s">
        <v>17</v>
      </c>
      <c r="U8" s="770">
        <f t="shared" si="1"/>
        <v>0</v>
      </c>
      <c r="V8" s="769" t="s">
        <v>17</v>
      </c>
      <c r="W8" s="770">
        <f t="shared" si="2"/>
        <v>0</v>
      </c>
      <c r="X8" s="771"/>
      <c r="Y8" s="3215" t="s">
        <v>2506</v>
      </c>
      <c r="Z8" s="3216"/>
      <c r="AA8" s="772" t="e">
        <f t="shared" ref="AA8:AA47" si="3">D8/F8</f>
        <v>#DIV/0!</v>
      </c>
      <c r="AB8" s="772"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0"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0"/>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0"/>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90"/>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90"/>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9"/>
      <c r="M14" s="1130"/>
      <c r="N14" s="1130"/>
      <c r="O14" s="1130"/>
      <c r="P14" s="3190"/>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68">
        <f t="shared" si="5"/>
        <v>1</v>
      </c>
    </row>
    <row r="15" spans="1:29" ht="15">
      <c r="A15" s="440" t="s">
        <v>2513</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88" t="s">
        <v>2514</v>
      </c>
      <c r="Q15" s="1809" t="str">
        <f t="shared" si="6"/>
        <v>办公集聚程度</v>
      </c>
      <c r="R15" s="773" t="s">
        <v>17</v>
      </c>
      <c r="S15" s="774">
        <f t="shared" si="0"/>
        <v>100</v>
      </c>
      <c r="T15" s="773" t="s">
        <v>17</v>
      </c>
      <c r="U15" s="774">
        <f t="shared" si="1"/>
        <v>100</v>
      </c>
      <c r="V15" s="773" t="s">
        <v>17</v>
      </c>
      <c r="W15" s="774">
        <f t="shared" si="2"/>
        <v>100</v>
      </c>
      <c r="X15" s="1812"/>
      <c r="Y15" s="3181" t="s">
        <v>2514</v>
      </c>
      <c r="Z15" s="1813" t="str">
        <f t="shared" si="7"/>
        <v>办公集聚程度</v>
      </c>
      <c r="AA15" s="1810">
        <f t="shared" si="3"/>
        <v>1</v>
      </c>
      <c r="AB15" s="1810">
        <f t="shared" si="4"/>
        <v>1</v>
      </c>
      <c r="AC15" s="2671">
        <f t="shared" si="5"/>
        <v>1</v>
      </c>
    </row>
    <row r="16" spans="1:29" ht="15">
      <c r="A16" s="428"/>
      <c r="B16" s="629"/>
      <c r="C16" s="2608"/>
      <c r="D16" s="448"/>
      <c r="E16" s="447"/>
      <c r="F16" s="448"/>
      <c r="G16" s="2608"/>
      <c r="H16" s="450"/>
      <c r="I16" s="447"/>
      <c r="J16" s="448"/>
      <c r="K16" s="615"/>
      <c r="L16" s="1139"/>
      <c r="M16" s="1130"/>
      <c r="N16" s="1130"/>
      <c r="O16" s="1130"/>
      <c r="P16" s="3189"/>
      <c r="Q16" s="1809"/>
      <c r="R16" s="773"/>
      <c r="S16" s="774"/>
      <c r="T16" s="773"/>
      <c r="U16" s="774"/>
      <c r="V16" s="773"/>
      <c r="W16" s="774"/>
      <c r="X16" s="1812"/>
      <c r="Y16" s="3182"/>
      <c r="Z16" s="1813"/>
      <c r="AA16" s="1810">
        <v>1</v>
      </c>
      <c r="AB16" s="1810">
        <v>1</v>
      </c>
      <c r="AC16" s="2671">
        <v>1</v>
      </c>
    </row>
    <row r="17" spans="1:29" ht="85.5">
      <c r="A17" s="428"/>
      <c r="B17" s="630" t="s">
        <v>2053</v>
      </c>
      <c r="C17" s="2672" t="str">
        <f>估价对象房地状况!C6</f>
        <v>估价对象周边道路状况较差、公共交通通达情况较差、停车便捷程度一般，综合评价交通便捷度较差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89"/>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2671">
        <f t="shared" si="5"/>
        <v>1</v>
      </c>
    </row>
    <row r="18" spans="1:29" ht="15">
      <c r="A18" s="428"/>
      <c r="B18" s="631"/>
      <c r="C18" s="2673"/>
      <c r="D18" s="450"/>
      <c r="E18" s="2606"/>
      <c r="F18" s="450"/>
      <c r="G18" s="2607"/>
      <c r="H18" s="448"/>
      <c r="I18" s="2607"/>
      <c r="J18" s="448"/>
      <c r="K18" s="615"/>
      <c r="L18" s="1139"/>
      <c r="M18" s="1130"/>
      <c r="N18" s="1130"/>
      <c r="O18" s="1130"/>
      <c r="P18" s="3189"/>
      <c r="Q18" s="1809"/>
      <c r="R18" s="773"/>
      <c r="S18" s="774"/>
      <c r="T18" s="773"/>
      <c r="U18" s="774"/>
      <c r="V18" s="773"/>
      <c r="W18" s="774"/>
      <c r="X18" s="1812"/>
      <c r="Y18" s="3182"/>
      <c r="Z18" s="1813"/>
      <c r="AA18" s="1810">
        <v>1</v>
      </c>
      <c r="AB18" s="1810">
        <v>1</v>
      </c>
      <c r="AC18" s="2671">
        <v>1</v>
      </c>
    </row>
    <row r="19" spans="1:29" ht="42.75">
      <c r="A19" s="428"/>
      <c r="B19" s="630" t="s">
        <v>2641</v>
      </c>
      <c r="C19" s="2672"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89"/>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2671">
        <f t="shared" si="5"/>
        <v>1</v>
      </c>
    </row>
    <row r="20" spans="1:29" ht="15">
      <c r="A20" s="428"/>
      <c r="B20" s="631"/>
      <c r="C20" s="2608"/>
      <c r="D20" s="448"/>
      <c r="E20" s="2601"/>
      <c r="F20" s="448"/>
      <c r="G20" s="2602"/>
      <c r="H20" s="448"/>
      <c r="I20" s="2602"/>
      <c r="J20" s="448"/>
      <c r="K20" s="615"/>
      <c r="L20" s="1139"/>
      <c r="M20" s="1130"/>
      <c r="N20" s="1130"/>
      <c r="O20" s="1130"/>
      <c r="P20" s="3189"/>
      <c r="Q20" s="1809"/>
      <c r="R20" s="773"/>
      <c r="S20" s="774"/>
      <c r="T20" s="773"/>
      <c r="U20" s="774"/>
      <c r="V20" s="773"/>
      <c r="W20" s="774"/>
      <c r="X20" s="1812"/>
      <c r="Y20" s="3182"/>
      <c r="Z20" s="1813"/>
      <c r="AA20" s="1810">
        <v>1</v>
      </c>
      <c r="AB20" s="1810">
        <v>1</v>
      </c>
      <c r="AC20" s="2671">
        <v>1</v>
      </c>
    </row>
    <row r="21" spans="1:29" ht="28.5">
      <c r="A21" s="428"/>
      <c r="B21" s="632"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89"/>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2671">
        <f t="shared" ref="AC21" si="10">D21/J21</f>
        <v>1</v>
      </c>
    </row>
    <row r="22" spans="1:29" ht="15">
      <c r="A22" s="428"/>
      <c r="B22" s="632"/>
      <c r="C22" s="2673"/>
      <c r="D22" s="448"/>
      <c r="E22" s="447"/>
      <c r="F22" s="448"/>
      <c r="G22" s="2608"/>
      <c r="H22" s="448"/>
      <c r="I22" s="2608"/>
      <c r="J22" s="448"/>
      <c r="K22" s="1382"/>
      <c r="L22" s="1139"/>
      <c r="M22" s="1130"/>
      <c r="N22" s="1130"/>
      <c r="O22" s="1130"/>
      <c r="P22" s="3189"/>
      <c r="Q22" s="1809"/>
      <c r="R22" s="773"/>
      <c r="S22" s="774"/>
      <c r="T22" s="773"/>
      <c r="U22" s="774"/>
      <c r="V22" s="773"/>
      <c r="W22" s="774"/>
      <c r="X22" s="1812"/>
      <c r="Y22" s="3182"/>
      <c r="Z22" s="1813"/>
      <c r="AA22" s="1810">
        <v>1</v>
      </c>
      <c r="AB22" s="1810">
        <v>1</v>
      </c>
      <c r="AC22" s="2671">
        <v>1</v>
      </c>
    </row>
    <row r="23" spans="1:29" ht="57">
      <c r="A23" s="428"/>
      <c r="B23" s="630" t="s">
        <v>2643</v>
      </c>
      <c r="C23" s="2672"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89"/>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2671">
        <f t="shared" si="5"/>
        <v>1</v>
      </c>
    </row>
    <row r="24" spans="1:29" ht="15">
      <c r="A24" s="428"/>
      <c r="B24" s="632"/>
      <c r="C24" s="2608"/>
      <c r="D24" s="448"/>
      <c r="E24" s="2601"/>
      <c r="F24" s="448"/>
      <c r="G24" s="2602"/>
      <c r="H24" s="448"/>
      <c r="I24" s="2602"/>
      <c r="J24" s="448"/>
      <c r="K24" s="615"/>
      <c r="L24" s="1139"/>
      <c r="M24" s="1130"/>
      <c r="N24" s="1130"/>
      <c r="O24" s="1130"/>
      <c r="P24" s="3189"/>
      <c r="Q24" s="1809"/>
      <c r="R24" s="773"/>
      <c r="S24" s="774"/>
      <c r="T24" s="773"/>
      <c r="U24" s="774"/>
      <c r="V24" s="773"/>
      <c r="W24" s="774"/>
      <c r="X24" s="1812"/>
      <c r="Y24" s="3182"/>
      <c r="Z24" s="1813"/>
      <c r="AA24" s="1810">
        <v>1</v>
      </c>
      <c r="AB24" s="1810">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189"/>
      <c r="Q25" s="1809" t="str">
        <f>B25</f>
        <v>毗邻道路的类型与等级</v>
      </c>
      <c r="R25" s="773" t="s">
        <v>17</v>
      </c>
      <c r="S25" s="774">
        <f>F25</f>
        <v>100</v>
      </c>
      <c r="T25" s="773" t="s">
        <v>17</v>
      </c>
      <c r="U25" s="774">
        <f>H25</f>
        <v>100</v>
      </c>
      <c r="V25" s="773" t="s">
        <v>17</v>
      </c>
      <c r="W25" s="774">
        <f>J25</f>
        <v>100</v>
      </c>
      <c r="X25" s="1812"/>
      <c r="Y25" s="3182"/>
      <c r="Z25" s="1813" t="str">
        <f>Q25</f>
        <v>毗邻道路的类型与等级</v>
      </c>
      <c r="AA25" s="1810">
        <f t="shared" si="3"/>
        <v>1</v>
      </c>
      <c r="AB25" s="1810">
        <f t="shared" si="4"/>
        <v>1</v>
      </c>
      <c r="AC25" s="2671">
        <f t="shared" si="5"/>
        <v>1</v>
      </c>
    </row>
    <row r="26" spans="1:29" ht="15">
      <c r="A26" s="404"/>
      <c r="B26" s="631"/>
      <c r="C26" s="633"/>
      <c r="D26" s="435"/>
      <c r="E26" s="616"/>
      <c r="F26" s="435"/>
      <c r="G26" s="633"/>
      <c r="H26" s="435"/>
      <c r="I26" s="616"/>
      <c r="J26" s="435"/>
      <c r="K26" s="615"/>
      <c r="L26" s="1139"/>
      <c r="M26" s="1130"/>
      <c r="N26" s="1130"/>
      <c r="O26" s="1130"/>
      <c r="P26" s="3189"/>
      <c r="Q26" s="1809"/>
      <c r="R26" s="773"/>
      <c r="S26" s="774"/>
      <c r="T26" s="773"/>
      <c r="U26" s="774"/>
      <c r="V26" s="773"/>
      <c r="W26" s="774"/>
      <c r="X26" s="1812"/>
      <c r="Y26" s="3182"/>
      <c r="Z26" s="1813"/>
      <c r="AA26" s="1810">
        <v>1</v>
      </c>
      <c r="AB26" s="1810">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189"/>
      <c r="Q27" s="1809" t="str">
        <f t="shared" ref="Q27:Q47" si="11">B27</f>
        <v>楼层</v>
      </c>
      <c r="R27" s="773" t="s">
        <v>17</v>
      </c>
      <c r="S27" s="774">
        <f>F27</f>
        <v>100</v>
      </c>
      <c r="T27" s="773" t="s">
        <v>17</v>
      </c>
      <c r="U27" s="774">
        <f>H27</f>
        <v>100</v>
      </c>
      <c r="V27" s="773" t="s">
        <v>17</v>
      </c>
      <c r="W27" s="774">
        <f>J27</f>
        <v>100</v>
      </c>
      <c r="X27" s="1812"/>
      <c r="Y27" s="3182"/>
      <c r="Z27" s="1813" t="str">
        <f>Q27</f>
        <v>楼层</v>
      </c>
      <c r="AA27" s="1810">
        <f t="shared" si="3"/>
        <v>1</v>
      </c>
      <c r="AB27" s="1810">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189"/>
      <c r="Q28" s="1794" t="str">
        <f t="shared" si="11"/>
        <v>朝向</v>
      </c>
      <c r="R28" s="769" t="s">
        <v>17</v>
      </c>
      <c r="S28" s="770">
        <f>F28</f>
        <v>100</v>
      </c>
      <c r="T28" s="769" t="s">
        <v>17</v>
      </c>
      <c r="U28" s="770">
        <f>H28</f>
        <v>100</v>
      </c>
      <c r="V28" s="769" t="s">
        <v>17</v>
      </c>
      <c r="W28" s="770">
        <f>J28</f>
        <v>100</v>
      </c>
      <c r="X28" s="771"/>
      <c r="Y28" s="3182"/>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189"/>
      <c r="Q29" s="1809">
        <f t="shared" si="11"/>
        <v>111</v>
      </c>
      <c r="R29" s="773" t="s">
        <v>17</v>
      </c>
      <c r="S29" s="774">
        <f t="shared" ref="S29:S47" si="12">F29</f>
        <v>100</v>
      </c>
      <c r="T29" s="773" t="s">
        <v>17</v>
      </c>
      <c r="U29" s="774">
        <f t="shared" ref="U29:U47" si="13">H29</f>
        <v>100</v>
      </c>
      <c r="V29" s="773" t="s">
        <v>17</v>
      </c>
      <c r="W29" s="774">
        <f t="shared" ref="W29:W47" si="14">J29</f>
        <v>100</v>
      </c>
      <c r="X29" s="1812"/>
      <c r="Y29" s="3182"/>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189"/>
      <c r="Q30" s="1809">
        <f t="shared" si="11"/>
        <v>111</v>
      </c>
      <c r="R30" s="773" t="s">
        <v>17</v>
      </c>
      <c r="S30" s="774">
        <f t="shared" si="12"/>
        <v>100</v>
      </c>
      <c r="T30" s="773" t="s">
        <v>17</v>
      </c>
      <c r="U30" s="774">
        <f t="shared" si="13"/>
        <v>100</v>
      </c>
      <c r="V30" s="773" t="s">
        <v>17</v>
      </c>
      <c r="W30" s="774">
        <f t="shared" si="14"/>
        <v>100</v>
      </c>
      <c r="X30" s="1812"/>
      <c r="Y30" s="3182"/>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189"/>
      <c r="Q31" s="1809">
        <f t="shared" si="11"/>
        <v>111</v>
      </c>
      <c r="R31" s="773" t="s">
        <v>17</v>
      </c>
      <c r="S31" s="774">
        <f t="shared" si="12"/>
        <v>100</v>
      </c>
      <c r="T31" s="773" t="s">
        <v>17</v>
      </c>
      <c r="U31" s="774">
        <f t="shared" si="13"/>
        <v>100</v>
      </c>
      <c r="V31" s="773" t="s">
        <v>17</v>
      </c>
      <c r="W31" s="774">
        <f t="shared" si="14"/>
        <v>100</v>
      </c>
      <c r="X31" s="1812"/>
      <c r="Y31" s="3182"/>
      <c r="Z31" s="1813">
        <f t="shared" si="15"/>
        <v>111</v>
      </c>
      <c r="AA31" s="1810">
        <f t="shared" si="3"/>
        <v>1</v>
      </c>
      <c r="AB31" s="1810">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189"/>
      <c r="Q32" s="1809">
        <f t="shared" si="11"/>
        <v>111</v>
      </c>
      <c r="R32" s="773" t="s">
        <v>17</v>
      </c>
      <c r="S32" s="774">
        <f t="shared" si="12"/>
        <v>100</v>
      </c>
      <c r="T32" s="773" t="s">
        <v>17</v>
      </c>
      <c r="U32" s="774">
        <f t="shared" si="13"/>
        <v>100</v>
      </c>
      <c r="V32" s="773" t="s">
        <v>17</v>
      </c>
      <c r="W32" s="774">
        <f t="shared" si="14"/>
        <v>100</v>
      </c>
      <c r="X32" s="1812"/>
      <c r="Y32" s="3182"/>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183" t="s">
        <v>2519</v>
      </c>
      <c r="Q33" s="1809" t="str">
        <f t="shared" si="11"/>
        <v>建筑类型</v>
      </c>
      <c r="R33" s="773" t="s">
        <v>17</v>
      </c>
      <c r="S33" s="774">
        <f t="shared" si="12"/>
        <v>100</v>
      </c>
      <c r="T33" s="773" t="s">
        <v>17</v>
      </c>
      <c r="U33" s="774">
        <f t="shared" si="13"/>
        <v>100</v>
      </c>
      <c r="V33" s="773" t="s">
        <v>17</v>
      </c>
      <c r="W33" s="774">
        <f t="shared" si="14"/>
        <v>100</v>
      </c>
      <c r="X33" s="1812"/>
      <c r="Y33" s="3186"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84"/>
      <c r="Q34" s="775" t="str">
        <f t="shared" si="11"/>
        <v>项目建筑规模</v>
      </c>
      <c r="R34" s="776" t="s">
        <v>17</v>
      </c>
      <c r="S34" s="777" t="e">
        <f t="shared" si="12"/>
        <v>#N/A</v>
      </c>
      <c r="T34" s="776" t="s">
        <v>17</v>
      </c>
      <c r="U34" s="777" t="e">
        <f t="shared" si="13"/>
        <v>#N/A</v>
      </c>
      <c r="V34" s="776" t="s">
        <v>17</v>
      </c>
      <c r="W34" s="777" t="e">
        <f t="shared" si="14"/>
        <v>#N/A</v>
      </c>
      <c r="X34" s="778"/>
      <c r="Y34" s="3186"/>
      <c r="Z34" s="779"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84"/>
      <c r="Q35" s="1809" t="str">
        <f t="shared" si="11"/>
        <v>建筑结构</v>
      </c>
      <c r="R35" s="773" t="s">
        <v>17</v>
      </c>
      <c r="S35" s="774">
        <f t="shared" si="12"/>
        <v>100</v>
      </c>
      <c r="T35" s="773" t="s">
        <v>17</v>
      </c>
      <c r="U35" s="774">
        <f t="shared" si="13"/>
        <v>100</v>
      </c>
      <c r="V35" s="773" t="s">
        <v>17</v>
      </c>
      <c r="W35" s="774">
        <f t="shared" si="14"/>
        <v>100</v>
      </c>
      <c r="X35" s="1812"/>
      <c r="Y35" s="3186"/>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84"/>
      <c r="Q36" s="1809" t="str">
        <f t="shared" si="11"/>
        <v>公共部分装修</v>
      </c>
      <c r="R36" s="773" t="s">
        <v>17</v>
      </c>
      <c r="S36" s="774">
        <f t="shared" si="12"/>
        <v>100</v>
      </c>
      <c r="T36" s="773" t="s">
        <v>17</v>
      </c>
      <c r="U36" s="774">
        <f t="shared" si="13"/>
        <v>100</v>
      </c>
      <c r="V36" s="773" t="s">
        <v>17</v>
      </c>
      <c r="W36" s="774">
        <f t="shared" si="14"/>
        <v>100</v>
      </c>
      <c r="X36" s="1812"/>
      <c r="Y36" s="3186"/>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84"/>
      <c r="Q37" s="1809" t="str">
        <f t="shared" si="11"/>
        <v>成新度</v>
      </c>
      <c r="R37" s="773" t="s">
        <v>17</v>
      </c>
      <c r="S37" s="774" t="e">
        <f t="shared" si="12"/>
        <v>#N/A</v>
      </c>
      <c r="T37" s="773" t="s">
        <v>17</v>
      </c>
      <c r="U37" s="774" t="e">
        <f t="shared" si="13"/>
        <v>#N/A</v>
      </c>
      <c r="V37" s="773" t="s">
        <v>17</v>
      </c>
      <c r="W37" s="774" t="e">
        <f t="shared" si="14"/>
        <v>#N/A</v>
      </c>
      <c r="X37" s="1812"/>
      <c r="Y37" s="3186"/>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84"/>
      <c r="Q38" s="1794" t="str">
        <f t="shared" si="11"/>
        <v>写字楼等级</v>
      </c>
      <c r="R38" s="769" t="s">
        <v>17</v>
      </c>
      <c r="S38" s="770">
        <f t="shared" si="12"/>
        <v>100</v>
      </c>
      <c r="T38" s="769" t="s">
        <v>17</v>
      </c>
      <c r="U38" s="770">
        <f t="shared" si="13"/>
        <v>100</v>
      </c>
      <c r="V38" s="769" t="s">
        <v>17</v>
      </c>
      <c r="W38" s="770">
        <f t="shared" si="14"/>
        <v>100</v>
      </c>
      <c r="X38" s="771"/>
      <c r="Y38" s="3186"/>
      <c r="Z38" s="55" t="str">
        <f t="shared" si="15"/>
        <v>写字楼等级</v>
      </c>
      <c r="AA38" s="772">
        <f t="shared" si="3"/>
        <v>1</v>
      </c>
      <c r="AB38" s="772">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84" t="s">
        <v>2519</v>
      </c>
      <c r="Q39" s="1809" t="str">
        <f t="shared" si="11"/>
        <v>物业管理</v>
      </c>
      <c r="R39" s="773" t="s">
        <v>17</v>
      </c>
      <c r="S39" s="774">
        <f t="shared" si="12"/>
        <v>100</v>
      </c>
      <c r="T39" s="773" t="s">
        <v>17</v>
      </c>
      <c r="U39" s="774">
        <f t="shared" si="13"/>
        <v>100</v>
      </c>
      <c r="V39" s="773" t="s">
        <v>17</v>
      </c>
      <c r="W39" s="774">
        <f t="shared" si="14"/>
        <v>100</v>
      </c>
      <c r="X39" s="1812"/>
      <c r="Y39" s="3186"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84"/>
      <c r="Q40" s="1809" t="str">
        <f t="shared" si="11"/>
        <v>市政基础设施</v>
      </c>
      <c r="R40" s="773" t="s">
        <v>17</v>
      </c>
      <c r="S40" s="774">
        <f t="shared" si="12"/>
        <v>100</v>
      </c>
      <c r="T40" s="773" t="s">
        <v>17</v>
      </c>
      <c r="U40" s="774">
        <f t="shared" si="13"/>
        <v>100</v>
      </c>
      <c r="V40" s="773" t="s">
        <v>17</v>
      </c>
      <c r="W40" s="774">
        <f t="shared" si="14"/>
        <v>100</v>
      </c>
      <c r="X40" s="1812"/>
      <c r="Y40" s="3186"/>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84"/>
      <c r="Q41" s="1809" t="str">
        <f t="shared" si="11"/>
        <v>层高</v>
      </c>
      <c r="R41" s="773" t="s">
        <v>17</v>
      </c>
      <c r="S41" s="774">
        <f t="shared" si="12"/>
        <v>100</v>
      </c>
      <c r="T41" s="773" t="s">
        <v>17</v>
      </c>
      <c r="U41" s="774">
        <f t="shared" si="13"/>
        <v>100</v>
      </c>
      <c r="V41" s="773" t="s">
        <v>17</v>
      </c>
      <c r="W41" s="774">
        <f t="shared" si="14"/>
        <v>100</v>
      </c>
      <c r="X41" s="1812"/>
      <c r="Y41" s="3186"/>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4"/>
      <c r="Q42" s="775" t="str">
        <f t="shared" si="11"/>
        <v>单套建筑面积</v>
      </c>
      <c r="R42" s="776" t="s">
        <v>17</v>
      </c>
      <c r="S42" s="777">
        <f t="shared" si="12"/>
        <v>100</v>
      </c>
      <c r="T42" s="776" t="s">
        <v>17</v>
      </c>
      <c r="U42" s="777">
        <f t="shared" si="13"/>
        <v>100</v>
      </c>
      <c r="V42" s="776" t="s">
        <v>17</v>
      </c>
      <c r="W42" s="777">
        <f t="shared" si="14"/>
        <v>100</v>
      </c>
      <c r="X42" s="778"/>
      <c r="Y42" s="3186"/>
      <c r="Z42" s="779"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84"/>
      <c r="Q43" s="1809" t="str">
        <f t="shared" si="11"/>
        <v>内部装修</v>
      </c>
      <c r="R43" s="773" t="s">
        <v>17</v>
      </c>
      <c r="S43" s="774">
        <f t="shared" si="12"/>
        <v>100</v>
      </c>
      <c r="T43" s="773" t="s">
        <v>17</v>
      </c>
      <c r="U43" s="774">
        <f t="shared" si="13"/>
        <v>100</v>
      </c>
      <c r="V43" s="773" t="s">
        <v>17</v>
      </c>
      <c r="W43" s="774">
        <f t="shared" si="14"/>
        <v>100</v>
      </c>
      <c r="X43" s="1812"/>
      <c r="Y43" s="3186"/>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184"/>
      <c r="Q44" s="1809" t="str">
        <f t="shared" si="11"/>
        <v>内部装修维护情况</v>
      </c>
      <c r="R44" s="773" t="s">
        <v>17</v>
      </c>
      <c r="S44" s="774">
        <f t="shared" si="12"/>
        <v>100</v>
      </c>
      <c r="T44" s="773" t="s">
        <v>17</v>
      </c>
      <c r="U44" s="774">
        <f t="shared" si="13"/>
        <v>100</v>
      </c>
      <c r="V44" s="773" t="s">
        <v>17</v>
      </c>
      <c r="W44" s="774">
        <f t="shared" si="14"/>
        <v>100</v>
      </c>
      <c r="X44" s="1812"/>
      <c r="Y44" s="3186"/>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4"/>
      <c r="Q45" s="1794">
        <f t="shared" si="11"/>
        <v>111</v>
      </c>
      <c r="R45" s="769" t="s">
        <v>17</v>
      </c>
      <c r="S45" s="770">
        <f t="shared" si="12"/>
        <v>100</v>
      </c>
      <c r="T45" s="769" t="s">
        <v>17</v>
      </c>
      <c r="U45" s="770">
        <f t="shared" si="13"/>
        <v>100</v>
      </c>
      <c r="V45" s="769" t="s">
        <v>17</v>
      </c>
      <c r="W45" s="770">
        <f t="shared" si="14"/>
        <v>100</v>
      </c>
      <c r="X45" s="771"/>
      <c r="Y45" s="3186"/>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4"/>
      <c r="Q46" s="1809">
        <f t="shared" si="11"/>
        <v>111</v>
      </c>
      <c r="R46" s="773" t="s">
        <v>17</v>
      </c>
      <c r="S46" s="774">
        <f t="shared" si="12"/>
        <v>100</v>
      </c>
      <c r="T46" s="773" t="s">
        <v>17</v>
      </c>
      <c r="U46" s="774">
        <f t="shared" si="13"/>
        <v>100</v>
      </c>
      <c r="V46" s="773" t="s">
        <v>17</v>
      </c>
      <c r="W46" s="774">
        <f t="shared" si="14"/>
        <v>100</v>
      </c>
      <c r="X46" s="1812"/>
      <c r="Y46" s="3186"/>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5"/>
      <c r="Q47" s="1809">
        <f t="shared" si="11"/>
        <v>111</v>
      </c>
      <c r="R47" s="773" t="s">
        <v>17</v>
      </c>
      <c r="S47" s="774">
        <f t="shared" si="12"/>
        <v>100</v>
      </c>
      <c r="T47" s="773" t="s">
        <v>17</v>
      </c>
      <c r="U47" s="774">
        <f t="shared" si="13"/>
        <v>100</v>
      </c>
      <c r="V47" s="773" t="s">
        <v>17</v>
      </c>
      <c r="W47" s="774">
        <f t="shared" si="14"/>
        <v>100</v>
      </c>
      <c r="X47" s="1812"/>
      <c r="Y47" s="3187"/>
      <c r="Z47" s="1813">
        <f t="shared" si="15"/>
        <v>111</v>
      </c>
      <c r="AA47" s="1810">
        <f t="shared" si="3"/>
        <v>1</v>
      </c>
      <c r="AB47" s="1810">
        <f t="shared" si="4"/>
        <v>1</v>
      </c>
      <c r="AC47" s="2671">
        <f t="shared" si="5"/>
        <v>1</v>
      </c>
    </row>
    <row r="48" spans="1:29" ht="15">
      <c r="A48" s="479" t="s">
        <v>2531</v>
      </c>
      <c r="B48" s="480"/>
      <c r="C48" s="1406" t="s">
        <v>1</v>
      </c>
      <c r="D48" s="1407"/>
      <c r="E48" s="1408"/>
      <c r="F48" s="1409"/>
      <c r="G48" s="1410"/>
      <c r="H48" s="1411"/>
      <c r="I48" s="1408"/>
      <c r="J48" s="485"/>
      <c r="K48" s="782"/>
      <c r="L48" s="1142"/>
      <c r="M48" s="1130"/>
      <c r="N48" s="1130"/>
      <c r="O48" s="1130"/>
      <c r="P48" s="3190" t="str">
        <f>A48</f>
        <v>成交单价（元/平方米）</v>
      </c>
      <c r="Q48" s="3179"/>
      <c r="R48" s="3180">
        <f>E48</f>
        <v>0</v>
      </c>
      <c r="S48" s="3180"/>
      <c r="T48" s="3180">
        <f>G48</f>
        <v>0</v>
      </c>
      <c r="U48" s="3180"/>
      <c r="V48" s="3180">
        <f>I48</f>
        <v>0</v>
      </c>
      <c r="W48" s="3180"/>
      <c r="X48" s="446"/>
      <c r="Y48" s="780"/>
      <c r="Z48" s="446"/>
      <c r="AA48" s="446"/>
      <c r="AB48" s="446"/>
      <c r="AC48" s="629"/>
    </row>
    <row r="49" spans="1:29" ht="15.75" thickBot="1">
      <c r="A49" s="486" t="s">
        <v>2622</v>
      </c>
      <c r="B49" s="487"/>
      <c r="C49" s="1412" t="e">
        <f>R50</f>
        <v>#DIV/0!</v>
      </c>
      <c r="D49" s="1413"/>
      <c r="E49" s="1414" t="e">
        <f>R49</f>
        <v>#DIV/0!</v>
      </c>
      <c r="F49" s="1414"/>
      <c r="G49" s="1412" t="e">
        <f>T49</f>
        <v>#DIV/0!</v>
      </c>
      <c r="H49" s="1413"/>
      <c r="I49" s="1414" t="e">
        <f>V49</f>
        <v>#DIV/0!</v>
      </c>
      <c r="J49" s="489"/>
      <c r="K49" s="783"/>
      <c r="L49" s="1142"/>
      <c r="M49" s="1130"/>
      <c r="N49" s="1130"/>
      <c r="O49" s="1130"/>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29"/>
    </row>
    <row r="50" spans="1:29" ht="15.75" thickBot="1">
      <c r="A50" s="492" t="s">
        <v>2623</v>
      </c>
      <c r="B50" s="493"/>
      <c r="C50" s="1416" t="e">
        <f>R50</f>
        <v>#DIV/0!</v>
      </c>
      <c r="D50" s="1416"/>
      <c r="E50" s="1416"/>
      <c r="F50" s="1416"/>
      <c r="G50" s="1416"/>
      <c r="H50" s="1416"/>
      <c r="I50" s="1416"/>
      <c r="J50" s="494"/>
      <c r="K50" s="784"/>
      <c r="L50" s="1142"/>
      <c r="M50" s="1130"/>
      <c r="N50" s="1130"/>
      <c r="O50" s="1130"/>
      <c r="P50" s="3252" t="str">
        <f>A50</f>
        <v>估价对象XX用房的比较价值（楼面单价，元/平方米）</v>
      </c>
      <c r="Q50" s="3253"/>
      <c r="R50" s="3254" t="e">
        <f>IF(F1="售价",ROUND(AVERAGE(R49:V49),0),ROUND(AVERAGE(R49:V49),1))</f>
        <v>#DIV/0!</v>
      </c>
      <c r="S50" s="3254"/>
      <c r="T50" s="3254"/>
      <c r="U50" s="3254"/>
      <c r="V50" s="3254"/>
      <c r="W50" s="3254"/>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2627</v>
      </c>
      <c r="B58" s="758"/>
      <c r="C58" s="763"/>
      <c r="D58" s="763"/>
      <c r="E58" s="763"/>
      <c r="F58" s="764"/>
      <c r="G58" s="764"/>
      <c r="H58" s="763"/>
      <c r="I58" s="763"/>
      <c r="J58" s="763"/>
      <c r="K58" s="765"/>
      <c r="L58" s="1160"/>
      <c r="M58" s="1158"/>
      <c r="N58" s="1158"/>
      <c r="O58" s="1158"/>
      <c r="P58" s="2678"/>
      <c r="Q58" s="504"/>
    </row>
    <row r="59" spans="1:29" s="508" customFormat="1" ht="15">
      <c r="A59" s="505" t="s">
        <v>2502</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2541</v>
      </c>
      <c r="B64" s="528" t="s">
        <v>2508</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2652</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2517</v>
      </c>
      <c r="B101" s="528" t="s">
        <v>2565</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2567</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2569</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2570</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2571</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5" t="s">
        <v>2654</v>
      </c>
      <c r="C119" s="583"/>
      <c r="D119" s="583"/>
      <c r="E119" s="583"/>
      <c r="F119" s="583"/>
      <c r="G119" s="583"/>
      <c r="H119" s="583"/>
      <c r="I119" s="583"/>
      <c r="J119" s="583"/>
      <c r="K119" s="583"/>
      <c r="L119" s="2686"/>
      <c r="M119" s="2687"/>
      <c r="N119" s="1152"/>
      <c r="O119" s="1152"/>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2573</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IF(C2="——",ROUND(C43*D3/10000,0),ROUND(C43*D3/10000,0)-D2)</f>
        <v>#DIV/0!</v>
      </c>
      <c r="C2" s="2583"/>
      <c r="D2" s="1123"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2283</v>
      </c>
      <c r="B3" s="609" t="e">
        <f ca="1">IF(C2="——",C43,ROUND(B2*10000/D3,0))</f>
        <v>#DIV/0!</v>
      </c>
      <c r="C3" s="400" t="s">
        <v>2597</v>
      </c>
      <c r="D3" s="399">
        <f>IF(D1="",'数据-汇总表'!E3,SUMIF('数据-汇总表'!$C19:$C33,D1,'数据-汇总表'!$E19:$E33))</f>
        <v>8982.83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0" si="3">D8/F8</f>
        <v>#DIV/0!</v>
      </c>
      <c r="AB8" s="772" t="e">
        <f t="shared" ref="AB8:AB40" si="4">D8/H8</f>
        <v>#DIV/0!</v>
      </c>
      <c r="AC8" s="772"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1" t="s">
        <v>2514</v>
      </c>
      <c r="Q15" s="1809" t="str">
        <f t="shared" si="6"/>
        <v>产业集聚程度</v>
      </c>
      <c r="R15" s="773" t="s">
        <v>17</v>
      </c>
      <c r="S15" s="774">
        <f t="shared" si="0"/>
        <v>100</v>
      </c>
      <c r="T15" s="773" t="s">
        <v>17</v>
      </c>
      <c r="U15" s="774">
        <f t="shared" si="1"/>
        <v>100</v>
      </c>
      <c r="V15" s="773" t="s">
        <v>17</v>
      </c>
      <c r="W15" s="774">
        <f t="shared" si="2"/>
        <v>100</v>
      </c>
      <c r="X15" s="1812"/>
      <c r="Y15" s="3181"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2"/>
      <c r="Q16" s="1809"/>
      <c r="R16" s="773"/>
      <c r="S16" s="774"/>
      <c r="T16" s="773"/>
      <c r="U16" s="774"/>
      <c r="V16" s="773"/>
      <c r="W16" s="774"/>
      <c r="X16" s="1812"/>
      <c r="Y16" s="3182"/>
      <c r="Z16" s="1813"/>
      <c r="AA16" s="1810">
        <v>1</v>
      </c>
      <c r="AB16" s="1810">
        <v>1</v>
      </c>
      <c r="AC16" s="1810">
        <v>1</v>
      </c>
    </row>
    <row r="17" spans="1:29" ht="15">
      <c r="A17" s="428"/>
      <c r="B17" s="451" t="s">
        <v>2053</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2"/>
      <c r="Q19" s="1809" t="str">
        <f>B19</f>
        <v>公共配套设施</v>
      </c>
      <c r="R19" s="773" t="s">
        <v>17</v>
      </c>
      <c r="S19" s="774">
        <f>F19</f>
        <v>100</v>
      </c>
      <c r="T19" s="773" t="s">
        <v>17</v>
      </c>
      <c r="U19" s="774">
        <f>H19</f>
        <v>100</v>
      </c>
      <c r="V19" s="773" t="s">
        <v>17</v>
      </c>
      <c r="W19" s="774">
        <f>J19</f>
        <v>100</v>
      </c>
      <c r="X19" s="1812"/>
      <c r="Y19" s="3182"/>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182"/>
      <c r="Q20" s="1809"/>
      <c r="R20" s="773"/>
      <c r="S20" s="774"/>
      <c r="T20" s="773"/>
      <c r="U20" s="774"/>
      <c r="V20" s="773"/>
      <c r="W20" s="774"/>
      <c r="X20" s="1812"/>
      <c r="Y20" s="3182"/>
      <c r="Z20" s="1813"/>
      <c r="AA20" s="1810">
        <v>1</v>
      </c>
      <c r="AB20" s="1810">
        <v>1</v>
      </c>
      <c r="AC20" s="1810">
        <v>1</v>
      </c>
    </row>
    <row r="21" spans="1:29" ht="15">
      <c r="A21" s="428"/>
      <c r="B21" s="1383"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2"/>
      <c r="Q21" s="1809" t="str">
        <f>B21</f>
        <v>基础设施水平</v>
      </c>
      <c r="R21" s="773" t="s">
        <v>17</v>
      </c>
      <c r="S21" s="774">
        <f>F21</f>
        <v>100</v>
      </c>
      <c r="T21" s="773" t="s">
        <v>17</v>
      </c>
      <c r="U21" s="774">
        <f>H21</f>
        <v>100</v>
      </c>
      <c r="V21" s="773" t="s">
        <v>17</v>
      </c>
      <c r="W21" s="774">
        <f>J21</f>
        <v>100</v>
      </c>
      <c r="X21" s="1812"/>
      <c r="Y21" s="3182"/>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182"/>
      <c r="Q22" s="1809"/>
      <c r="R22" s="773"/>
      <c r="S22" s="774"/>
      <c r="T22" s="773"/>
      <c r="U22" s="774"/>
      <c r="V22" s="773"/>
      <c r="W22" s="774"/>
      <c r="X22" s="1812"/>
      <c r="Y22" s="3182"/>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2"/>
      <c r="Q23" s="1809" t="str">
        <f>B23</f>
        <v>环境质量</v>
      </c>
      <c r="R23" s="773" t="s">
        <v>17</v>
      </c>
      <c r="S23" s="774">
        <f>F23</f>
        <v>100</v>
      </c>
      <c r="T23" s="773" t="s">
        <v>17</v>
      </c>
      <c r="U23" s="774">
        <f>H23</f>
        <v>100</v>
      </c>
      <c r="V23" s="773" t="s">
        <v>17</v>
      </c>
      <c r="W23" s="774">
        <f>J23</f>
        <v>100</v>
      </c>
      <c r="X23" s="1812"/>
      <c r="Y23" s="3182"/>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182"/>
      <c r="Q24" s="1809"/>
      <c r="R24" s="773"/>
      <c r="S24" s="774"/>
      <c r="T24" s="773"/>
      <c r="U24" s="774"/>
      <c r="V24" s="773"/>
      <c r="W24" s="774"/>
      <c r="X24" s="1812"/>
      <c r="Y24" s="318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2"/>
      <c r="Q25" s="1809">
        <f>B25</f>
        <v>111</v>
      </c>
      <c r="R25" s="773" t="s">
        <v>17</v>
      </c>
      <c r="S25" s="774">
        <f>F25</f>
        <v>100</v>
      </c>
      <c r="T25" s="773" t="s">
        <v>17</v>
      </c>
      <c r="U25" s="774">
        <f>H25</f>
        <v>100</v>
      </c>
      <c r="V25" s="773" t="s">
        <v>17</v>
      </c>
      <c r="W25" s="774">
        <f>J25</f>
        <v>100</v>
      </c>
      <c r="X25" s="1812"/>
      <c r="Y25" s="318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2"/>
      <c r="Q26" s="1809">
        <f t="shared" ref="Q26:Q40" si="11">B26</f>
        <v>111</v>
      </c>
      <c r="R26" s="773" t="s">
        <v>17</v>
      </c>
      <c r="S26" s="774">
        <f>F26</f>
        <v>100</v>
      </c>
      <c r="T26" s="773" t="s">
        <v>17</v>
      </c>
      <c r="U26" s="774">
        <f>H26</f>
        <v>100</v>
      </c>
      <c r="V26" s="773" t="s">
        <v>17</v>
      </c>
      <c r="W26" s="774">
        <f>J26</f>
        <v>100</v>
      </c>
      <c r="X26" s="1812"/>
      <c r="Y26" s="318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2"/>
      <c r="Q27" s="1794">
        <f t="shared" si="11"/>
        <v>111</v>
      </c>
      <c r="R27" s="769" t="s">
        <v>17</v>
      </c>
      <c r="S27" s="770">
        <f>F27</f>
        <v>100</v>
      </c>
      <c r="T27" s="769" t="s">
        <v>17</v>
      </c>
      <c r="U27" s="770">
        <f>H27</f>
        <v>100</v>
      </c>
      <c r="V27" s="769" t="s">
        <v>17</v>
      </c>
      <c r="W27" s="770">
        <f>J27</f>
        <v>100</v>
      </c>
      <c r="X27" s="771"/>
      <c r="Y27" s="3182"/>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2"/>
      <c r="Q28" s="1809">
        <f t="shared" si="11"/>
        <v>111</v>
      </c>
      <c r="R28" s="773" t="s">
        <v>17</v>
      </c>
      <c r="S28" s="774">
        <f t="shared" ref="S28:S40" si="12">F28</f>
        <v>100</v>
      </c>
      <c r="T28" s="773" t="s">
        <v>17</v>
      </c>
      <c r="U28" s="774">
        <f t="shared" ref="U28:U40" si="13">H28</f>
        <v>100</v>
      </c>
      <c r="V28" s="773" t="s">
        <v>17</v>
      </c>
      <c r="W28" s="774">
        <f t="shared" ref="W28:W40" si="14">J28</f>
        <v>100</v>
      </c>
      <c r="X28" s="1812"/>
      <c r="Y28" s="3182"/>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68" t="s">
        <v>2519</v>
      </c>
      <c r="Q29" s="1809" t="str">
        <f t="shared" si="11"/>
        <v>建筑类型</v>
      </c>
      <c r="R29" s="773" t="s">
        <v>17</v>
      </c>
      <c r="S29" s="774">
        <f t="shared" si="12"/>
        <v>100</v>
      </c>
      <c r="T29" s="773" t="s">
        <v>17</v>
      </c>
      <c r="U29" s="774">
        <f t="shared" si="13"/>
        <v>100</v>
      </c>
      <c r="V29" s="773" t="s">
        <v>17</v>
      </c>
      <c r="W29" s="774">
        <f t="shared" si="14"/>
        <v>100</v>
      </c>
      <c r="X29" s="1812"/>
      <c r="Y29" s="3186"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6"/>
      <c r="Q30" s="775" t="str">
        <f t="shared" si="11"/>
        <v>项目建筑规模</v>
      </c>
      <c r="R30" s="776" t="s">
        <v>17</v>
      </c>
      <c r="S30" s="777" t="e">
        <f t="shared" si="12"/>
        <v>#N/A</v>
      </c>
      <c r="T30" s="776" t="s">
        <v>17</v>
      </c>
      <c r="U30" s="777" t="e">
        <f t="shared" si="13"/>
        <v>#N/A</v>
      </c>
      <c r="V30" s="776" t="s">
        <v>17</v>
      </c>
      <c r="W30" s="777" t="e">
        <f t="shared" si="14"/>
        <v>#N/A</v>
      </c>
      <c r="X30" s="778"/>
      <c r="Y30" s="3186"/>
      <c r="Z30" s="779"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6"/>
      <c r="Q31" s="1809" t="str">
        <f t="shared" si="11"/>
        <v>建筑结构</v>
      </c>
      <c r="R31" s="773" t="s">
        <v>17</v>
      </c>
      <c r="S31" s="774">
        <f t="shared" si="12"/>
        <v>100</v>
      </c>
      <c r="T31" s="773" t="s">
        <v>17</v>
      </c>
      <c r="U31" s="774">
        <f t="shared" si="13"/>
        <v>100</v>
      </c>
      <c r="V31" s="773" t="s">
        <v>17</v>
      </c>
      <c r="W31" s="774">
        <f t="shared" si="14"/>
        <v>100</v>
      </c>
      <c r="X31" s="1812"/>
      <c r="Y31" s="3186"/>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6"/>
      <c r="Q32" s="1809" t="str">
        <f t="shared" si="11"/>
        <v>公共部分装修</v>
      </c>
      <c r="R32" s="773" t="s">
        <v>17</v>
      </c>
      <c r="S32" s="774">
        <f t="shared" si="12"/>
        <v>100</v>
      </c>
      <c r="T32" s="773" t="s">
        <v>17</v>
      </c>
      <c r="U32" s="774">
        <f t="shared" si="13"/>
        <v>100</v>
      </c>
      <c r="V32" s="773" t="s">
        <v>17</v>
      </c>
      <c r="W32" s="774">
        <f t="shared" si="14"/>
        <v>100</v>
      </c>
      <c r="X32" s="1812"/>
      <c r="Y32" s="3186"/>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6"/>
      <c r="Q33" s="1809" t="str">
        <f t="shared" si="11"/>
        <v>成新度</v>
      </c>
      <c r="R33" s="773" t="s">
        <v>17</v>
      </c>
      <c r="S33" s="774" t="e">
        <f t="shared" si="12"/>
        <v>#N/A</v>
      </c>
      <c r="T33" s="773" t="s">
        <v>17</v>
      </c>
      <c r="U33" s="774" t="e">
        <f t="shared" si="13"/>
        <v>#N/A</v>
      </c>
      <c r="V33" s="773" t="s">
        <v>17</v>
      </c>
      <c r="W33" s="774" t="e">
        <f t="shared" si="14"/>
        <v>#N/A</v>
      </c>
      <c r="X33" s="1812"/>
      <c r="Y33" s="3186"/>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6"/>
      <c r="Q34" s="1794" t="str">
        <f t="shared" si="11"/>
        <v>物业管理</v>
      </c>
      <c r="R34" s="769" t="s">
        <v>17</v>
      </c>
      <c r="S34" s="770">
        <f t="shared" si="12"/>
        <v>100</v>
      </c>
      <c r="T34" s="769" t="s">
        <v>17</v>
      </c>
      <c r="U34" s="770">
        <f t="shared" si="13"/>
        <v>100</v>
      </c>
      <c r="V34" s="769" t="s">
        <v>17</v>
      </c>
      <c r="W34" s="770">
        <f t="shared" si="14"/>
        <v>100</v>
      </c>
      <c r="X34" s="771"/>
      <c r="Y34" s="3186"/>
      <c r="Z34" s="55" t="str">
        <f t="shared" si="15"/>
        <v>物业管理</v>
      </c>
      <c r="AA34" s="772">
        <f t="shared" si="3"/>
        <v>1</v>
      </c>
      <c r="AB34" s="772">
        <f t="shared" si="4"/>
        <v>1</v>
      </c>
      <c r="AC34" s="772">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6" t="s">
        <v>2519</v>
      </c>
      <c r="Q35" s="1809" t="str">
        <f t="shared" si="11"/>
        <v>市政基础设施</v>
      </c>
      <c r="R35" s="773" t="s">
        <v>17</v>
      </c>
      <c r="S35" s="774">
        <f t="shared" si="12"/>
        <v>100</v>
      </c>
      <c r="T35" s="773" t="s">
        <v>17</v>
      </c>
      <c r="U35" s="774">
        <f t="shared" si="13"/>
        <v>100</v>
      </c>
      <c r="V35" s="773" t="s">
        <v>17</v>
      </c>
      <c r="W35" s="774">
        <f t="shared" si="14"/>
        <v>100</v>
      </c>
      <c r="X35" s="1812"/>
      <c r="Y35" s="3186"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6"/>
      <c r="Q36" s="1809" t="str">
        <f t="shared" si="11"/>
        <v>内部装修</v>
      </c>
      <c r="R36" s="773" t="s">
        <v>17</v>
      </c>
      <c r="S36" s="774">
        <f t="shared" si="12"/>
        <v>100</v>
      </c>
      <c r="T36" s="773" t="s">
        <v>17</v>
      </c>
      <c r="U36" s="774">
        <f t="shared" si="13"/>
        <v>100</v>
      </c>
      <c r="V36" s="773" t="s">
        <v>17</v>
      </c>
      <c r="W36" s="774">
        <f t="shared" si="14"/>
        <v>100</v>
      </c>
      <c r="X36" s="1812"/>
      <c r="Y36" s="3186"/>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6"/>
      <c r="Q37" s="1809" t="str">
        <f t="shared" si="11"/>
        <v>内部装修状况</v>
      </c>
      <c r="R37" s="773" t="s">
        <v>17</v>
      </c>
      <c r="S37" s="774">
        <f t="shared" si="12"/>
        <v>100</v>
      </c>
      <c r="T37" s="773" t="s">
        <v>17</v>
      </c>
      <c r="U37" s="774">
        <f t="shared" si="13"/>
        <v>100</v>
      </c>
      <c r="V37" s="773" t="s">
        <v>17</v>
      </c>
      <c r="W37" s="774">
        <f t="shared" si="14"/>
        <v>100</v>
      </c>
      <c r="X37" s="1812"/>
      <c r="Y37" s="318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6"/>
      <c r="Q38" s="775">
        <f t="shared" si="11"/>
        <v>111</v>
      </c>
      <c r="R38" s="776" t="s">
        <v>17</v>
      </c>
      <c r="S38" s="777">
        <f t="shared" si="12"/>
        <v>100</v>
      </c>
      <c r="T38" s="776" t="s">
        <v>17</v>
      </c>
      <c r="U38" s="777">
        <f t="shared" si="13"/>
        <v>100</v>
      </c>
      <c r="V38" s="776" t="s">
        <v>17</v>
      </c>
      <c r="W38" s="777">
        <f t="shared" si="14"/>
        <v>100</v>
      </c>
      <c r="X38" s="778"/>
      <c r="Y38" s="3186"/>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6"/>
      <c r="Q39" s="1809">
        <f t="shared" si="11"/>
        <v>111</v>
      </c>
      <c r="R39" s="773" t="s">
        <v>17</v>
      </c>
      <c r="S39" s="774">
        <f t="shared" si="12"/>
        <v>100</v>
      </c>
      <c r="T39" s="773" t="s">
        <v>17</v>
      </c>
      <c r="U39" s="774">
        <f t="shared" si="13"/>
        <v>100</v>
      </c>
      <c r="V39" s="773" t="s">
        <v>17</v>
      </c>
      <c r="W39" s="774">
        <f t="shared" si="14"/>
        <v>100</v>
      </c>
      <c r="X39" s="1812"/>
      <c r="Y39" s="3186"/>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7"/>
      <c r="Q40" s="1809">
        <f t="shared" si="11"/>
        <v>111</v>
      </c>
      <c r="R40" s="773" t="s">
        <v>17</v>
      </c>
      <c r="S40" s="774">
        <f t="shared" si="12"/>
        <v>100</v>
      </c>
      <c r="T40" s="773" t="s">
        <v>17</v>
      </c>
      <c r="U40" s="774">
        <f t="shared" si="13"/>
        <v>100</v>
      </c>
      <c r="V40" s="773" t="s">
        <v>17</v>
      </c>
      <c r="W40" s="774">
        <f t="shared" si="14"/>
        <v>100</v>
      </c>
      <c r="X40" s="1812"/>
      <c r="Y40" s="3187"/>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2"/>
      <c r="L41" s="1142"/>
      <c r="M41" s="1143"/>
      <c r="N41" s="1130"/>
      <c r="O41" s="1143"/>
      <c r="P41" s="3179" t="str">
        <f>A41</f>
        <v>成交单价（元/平方米）</v>
      </c>
      <c r="Q41" s="3179"/>
      <c r="R41" s="3180">
        <f>E41</f>
        <v>0</v>
      </c>
      <c r="S41" s="3180"/>
      <c r="T41" s="3180">
        <f>G41</f>
        <v>0</v>
      </c>
      <c r="U41" s="3180"/>
      <c r="V41" s="3180">
        <f>I41</f>
        <v>0</v>
      </c>
      <c r="W41" s="3180"/>
      <c r="X41" s="758"/>
      <c r="Y41" s="780"/>
      <c r="Z41" s="758"/>
      <c r="AA41" s="758"/>
      <c r="AB41" s="758"/>
      <c r="AC41" s="758"/>
    </row>
    <row r="42" spans="1:29" ht="15.75" thickBot="1">
      <c r="A42" s="486" t="s">
        <v>2622</v>
      </c>
      <c r="B42" s="487"/>
      <c r="C42" s="1412" t="e">
        <f>R43</f>
        <v>#DIV/0!</v>
      </c>
      <c r="D42" s="1413"/>
      <c r="E42" s="1414" t="e">
        <f>R42</f>
        <v>#DIV/0!</v>
      </c>
      <c r="F42" s="1414"/>
      <c r="G42" s="1412" t="e">
        <f>T42</f>
        <v>#DIV/0!</v>
      </c>
      <c r="H42" s="1413"/>
      <c r="I42" s="1414" t="e">
        <f>V42</f>
        <v>#DIV/0!</v>
      </c>
      <c r="J42" s="1413"/>
      <c r="K42" s="783"/>
      <c r="L42" s="1142"/>
      <c r="M42" s="1143"/>
      <c r="N42" s="1130"/>
      <c r="O42" s="1143"/>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8"/>
      <c r="Y42" s="758"/>
      <c r="Z42" s="758"/>
      <c r="AA42" s="758"/>
      <c r="AB42" s="758"/>
      <c r="AC42" s="758"/>
    </row>
    <row r="43" spans="1:29" ht="15.75" thickBot="1">
      <c r="A43" s="492" t="s">
        <v>2623</v>
      </c>
      <c r="B43" s="493"/>
      <c r="C43" s="1416" t="e">
        <f>R43</f>
        <v>#DIV/0!</v>
      </c>
      <c r="D43" s="1416"/>
      <c r="E43" s="1416"/>
      <c r="F43" s="1416"/>
      <c r="G43" s="1416"/>
      <c r="H43" s="1416"/>
      <c r="I43" s="1416"/>
      <c r="J43" s="1416"/>
      <c r="K43" s="784"/>
      <c r="L43" s="1142"/>
      <c r="M43" s="1143"/>
      <c r="N43" s="1143"/>
      <c r="O43" s="1143"/>
      <c r="P43" s="3176" t="str">
        <f>A43</f>
        <v>估价对象XX用房的比较价值（楼面单价，元/平方米）</v>
      </c>
      <c r="Q43" s="3177"/>
      <c r="R43" s="3178" t="e">
        <f>IF(F1="售价",ROUND(AVERAGE(R42:V42),0),ROUND(AVERAGE(R42:V42),1))</f>
        <v>#DIV/0!</v>
      </c>
      <c r="S43" s="3178"/>
      <c r="T43" s="3178"/>
      <c r="U43" s="3178"/>
      <c r="V43" s="3178"/>
      <c r="W43" s="317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2627</v>
      </c>
      <c r="B51" s="758"/>
      <c r="C51" s="763"/>
      <c r="D51" s="763"/>
      <c r="E51" s="763"/>
      <c r="F51" s="764"/>
      <c r="G51" s="764"/>
      <c r="H51" s="763"/>
      <c r="I51" s="763"/>
      <c r="J51" s="763"/>
      <c r="K51" s="1159"/>
      <c r="L51" s="1160"/>
      <c r="M51" s="1158"/>
      <c r="N51" s="1158"/>
      <c r="O51" s="1158"/>
      <c r="P51" s="503"/>
      <c r="Q51" s="504"/>
    </row>
    <row r="52" spans="1:17" s="508" customFormat="1" ht="15">
      <c r="A52" s="505" t="s">
        <v>2502</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1"/>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2281</v>
      </c>
      <c r="B2" s="1417" t="e">
        <f ca="1">IF(C2="——",IF(B37="元/平方米",ROUND(C39*D3/10000,0),ROUND(F3*C39/10000,0)),IF(B37="元/平方米",ROUND(C39*D3/10000,0),ROUND(F3*C39/10000,0))-D2)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2283</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5" t="s">
        <v>2503</v>
      </c>
      <c r="Q7" s="3217"/>
      <c r="R7" s="769" t="s">
        <v>17</v>
      </c>
      <c r="S7" s="770">
        <f t="shared" ref="S7:S14" si="0">F7</f>
        <v>0</v>
      </c>
      <c r="T7" s="769" t="s">
        <v>17</v>
      </c>
      <c r="U7" s="770">
        <f t="shared" ref="U7:U14" si="1">H7</f>
        <v>0</v>
      </c>
      <c r="V7" s="769" t="s">
        <v>17</v>
      </c>
      <c r="W7" s="770">
        <f t="shared" ref="W7:W14" si="2">J7</f>
        <v>0</v>
      </c>
      <c r="X7" s="771"/>
      <c r="Y7" s="3215" t="s">
        <v>2503</v>
      </c>
      <c r="Z7" s="3216"/>
      <c r="AA7" s="772" t="e">
        <f>D7/F7</f>
        <v>#DIV/0!</v>
      </c>
      <c r="AB7" s="772" t="e">
        <f>D7/H7</f>
        <v>#DIV/0!</v>
      </c>
      <c r="AC7" s="772"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36" si="3">D8/F8</f>
        <v>#DIV/0!</v>
      </c>
      <c r="AB8" s="772" t="e">
        <f t="shared" ref="AB8:AB36" si="4">D8/H8</f>
        <v>#DIV/0!</v>
      </c>
      <c r="AC8" s="772" t="e">
        <f t="shared" ref="AC8:AC36" si="5">D8/J8</f>
        <v>#DIV/0!</v>
      </c>
    </row>
    <row r="9" spans="1:29" s="117" customFormat="1">
      <c r="A9" s="68" t="s">
        <v>2507</v>
      </c>
      <c r="B9" s="639"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9" t="s">
        <v>2509</v>
      </c>
      <c r="Q9" s="1794" t="str">
        <f t="shared" ref="Q9:Q14" si="6">B9</f>
        <v>用途</v>
      </c>
      <c r="R9" s="769" t="s">
        <v>17</v>
      </c>
      <c r="S9" s="770">
        <f t="shared" si="0"/>
        <v>100</v>
      </c>
      <c r="T9" s="769" t="s">
        <v>17</v>
      </c>
      <c r="U9" s="770">
        <f t="shared" si="1"/>
        <v>100</v>
      </c>
      <c r="V9" s="769" t="s">
        <v>17</v>
      </c>
      <c r="W9" s="770">
        <f t="shared" si="2"/>
        <v>100</v>
      </c>
      <c r="X9" s="771"/>
      <c r="Y9" s="3031" t="s">
        <v>2510</v>
      </c>
      <c r="Z9" s="55" t="str">
        <f t="shared" ref="Z9:Z14" si="7">Q9</f>
        <v>用途</v>
      </c>
      <c r="AA9" s="772">
        <f t="shared" si="3"/>
        <v>1</v>
      </c>
      <c r="AB9" s="772">
        <f t="shared" si="4"/>
        <v>1</v>
      </c>
      <c r="AC9" s="772">
        <f t="shared" si="5"/>
        <v>1</v>
      </c>
    </row>
    <row r="10" spans="1:29" s="427" customFormat="1" ht="27">
      <c r="A10" s="640"/>
      <c r="B10" s="641"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9"/>
      <c r="Q11" s="1794">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99.75">
      <c r="A14" s="401" t="s">
        <v>2513</v>
      </c>
      <c r="B14" s="628" t="s">
        <v>2662</v>
      </c>
      <c r="C14" s="2690" t="str">
        <f>IF(B1="工业",估价对象房地状况!G4,估价对象房地状况!C6)</f>
        <v>估价对象周边道路状况较差、公共交通通达情况较差、停车便捷程度一般，综合评价交通便捷度较差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1" t="s">
        <v>2514</v>
      </c>
      <c r="Q14" s="1809" t="str">
        <f t="shared" si="6"/>
        <v>交通便捷度</v>
      </c>
      <c r="R14" s="773" t="s">
        <v>17</v>
      </c>
      <c r="S14" s="774">
        <f t="shared" si="0"/>
        <v>100</v>
      </c>
      <c r="T14" s="773" t="s">
        <v>17</v>
      </c>
      <c r="U14" s="774">
        <f t="shared" si="1"/>
        <v>100</v>
      </c>
      <c r="V14" s="773" t="s">
        <v>17</v>
      </c>
      <c r="W14" s="774">
        <f t="shared" si="2"/>
        <v>100</v>
      </c>
      <c r="X14" s="1812"/>
      <c r="Y14" s="3181" t="s">
        <v>2514</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39"/>
      <c r="M15" s="1130"/>
      <c r="N15" s="1130"/>
      <c r="O15" s="1130"/>
      <c r="P15" s="3182"/>
      <c r="Q15" s="1809"/>
      <c r="R15" s="773"/>
      <c r="S15" s="774"/>
      <c r="T15" s="773"/>
      <c r="U15" s="774"/>
      <c r="V15" s="773"/>
      <c r="W15" s="774"/>
      <c r="X15" s="1812"/>
      <c r="Y15" s="3182"/>
      <c r="Z15" s="1813"/>
      <c r="AA15" s="1810">
        <v>1</v>
      </c>
      <c r="AB15" s="1810">
        <v>1</v>
      </c>
      <c r="AC15" s="1810">
        <v>1</v>
      </c>
    </row>
    <row r="16" spans="1:29" ht="42.75">
      <c r="A16" s="404"/>
      <c r="B16" s="630" t="s">
        <v>2641</v>
      </c>
      <c r="C16" s="2604"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04"/>
      <c r="B17" s="631"/>
      <c r="C17" s="2605"/>
      <c r="D17" s="448"/>
      <c r="E17" s="447"/>
      <c r="F17" s="449"/>
      <c r="G17" s="447"/>
      <c r="H17" s="448"/>
      <c r="I17" s="447"/>
      <c r="J17" s="448"/>
      <c r="K17" s="615"/>
      <c r="L17" s="1139"/>
      <c r="M17" s="1130"/>
      <c r="N17" s="1130"/>
      <c r="O17" s="1130"/>
      <c r="P17" s="3182"/>
      <c r="Q17" s="1809"/>
      <c r="R17" s="773"/>
      <c r="S17" s="774"/>
      <c r="T17" s="773"/>
      <c r="U17" s="774"/>
      <c r="V17" s="773"/>
      <c r="W17" s="774"/>
      <c r="X17" s="1812"/>
      <c r="Y17" s="3182"/>
      <c r="Z17" s="1813"/>
      <c r="AA17" s="1810">
        <v>1</v>
      </c>
      <c r="AB17" s="1810">
        <v>1</v>
      </c>
      <c r="AC17" s="1810">
        <v>1</v>
      </c>
    </row>
    <row r="18" spans="1:29" ht="42.75">
      <c r="A18" s="404"/>
      <c r="B18" s="632" t="s">
        <v>2642</v>
      </c>
      <c r="C18" s="2604"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04"/>
      <c r="B19" s="632"/>
      <c r="C19" s="2605"/>
      <c r="D19" s="450"/>
      <c r="E19" s="2605"/>
      <c r="F19" s="453"/>
      <c r="G19" s="2605"/>
      <c r="H19" s="448"/>
      <c r="I19" s="447"/>
      <c r="J19" s="448"/>
      <c r="K19" s="1382"/>
      <c r="L19" s="1139"/>
      <c r="M19" s="1130"/>
      <c r="N19" s="1130"/>
      <c r="O19" s="1130"/>
      <c r="P19" s="3182"/>
      <c r="Q19" s="1809"/>
      <c r="R19" s="773"/>
      <c r="S19" s="774"/>
      <c r="T19" s="773"/>
      <c r="U19" s="774"/>
      <c r="V19" s="773"/>
      <c r="W19" s="774"/>
      <c r="X19" s="1812"/>
      <c r="Y19" s="3182"/>
      <c r="Z19" s="1813"/>
      <c r="AA19" s="1810">
        <v>1</v>
      </c>
      <c r="AB19" s="1810">
        <v>1</v>
      </c>
      <c r="AC19" s="1810">
        <v>1</v>
      </c>
    </row>
    <row r="20" spans="1:29" ht="71.25">
      <c r="A20" s="404"/>
      <c r="B20" s="630" t="s">
        <v>2663</v>
      </c>
      <c r="C20" s="2604"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39"/>
      <c r="M21" s="1130"/>
      <c r="N21" s="1130"/>
      <c r="O21" s="1130"/>
      <c r="P21" s="3182"/>
      <c r="Q21" s="1809"/>
      <c r="R21" s="773"/>
      <c r="S21" s="774"/>
      <c r="T21" s="773"/>
      <c r="U21" s="774"/>
      <c r="V21" s="773"/>
      <c r="W21" s="774"/>
      <c r="X21" s="1812"/>
      <c r="Y21" s="3182"/>
      <c r="Z21" s="1813"/>
      <c r="AA21" s="1810">
        <v>1</v>
      </c>
      <c r="AB21" s="1810">
        <v>1</v>
      </c>
      <c r="AC21" s="1810">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2"/>
      <c r="Q24" s="1809">
        <f t="shared" ref="Q24:Q36"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651" t="s">
        <v>2517</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8" t="s">
        <v>2519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6" t="s">
        <v>2519</v>
      </c>
      <c r="Z26" s="1813" t="str">
        <f t="shared" ref="Z26:Z36" si="15">Q26</f>
        <v>配套类型</v>
      </c>
      <c r="AA26" s="1810">
        <f t="shared" si="3"/>
        <v>1</v>
      </c>
      <c r="AB26" s="1810">
        <f t="shared" si="4"/>
        <v>1</v>
      </c>
      <c r="AC26" s="1810">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186"/>
      <c r="Q27" s="775" t="str">
        <f t="shared" si="11"/>
        <v>项目停车位配比</v>
      </c>
      <c r="R27" s="776" t="s">
        <v>17</v>
      </c>
      <c r="S27" s="777">
        <f t="shared" si="12"/>
        <v>100</v>
      </c>
      <c r="T27" s="776" t="s">
        <v>17</v>
      </c>
      <c r="U27" s="777">
        <f t="shared" si="13"/>
        <v>100</v>
      </c>
      <c r="V27" s="776" t="s">
        <v>17</v>
      </c>
      <c r="W27" s="777">
        <f t="shared" si="14"/>
        <v>100</v>
      </c>
      <c r="X27" s="778"/>
      <c r="Y27" s="3186"/>
      <c r="Z27" s="779" t="str">
        <f t="shared" si="15"/>
        <v>项目停车位配比</v>
      </c>
      <c r="AA27" s="1810">
        <f t="shared" si="3"/>
        <v>1</v>
      </c>
      <c r="AB27" s="1810">
        <f t="shared" si="4"/>
        <v>1</v>
      </c>
      <c r="AC27" s="1810">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6"/>
      <c r="Q28" s="1809" t="str">
        <f t="shared" si="11"/>
        <v>公共部分装修</v>
      </c>
      <c r="R28" s="773" t="s">
        <v>17</v>
      </c>
      <c r="S28" s="774">
        <f t="shared" si="12"/>
        <v>100</v>
      </c>
      <c r="T28" s="773" t="s">
        <v>17</v>
      </c>
      <c r="U28" s="774">
        <f t="shared" si="13"/>
        <v>100</v>
      </c>
      <c r="V28" s="773" t="s">
        <v>17</v>
      </c>
      <c r="W28" s="774">
        <f t="shared" si="14"/>
        <v>100</v>
      </c>
      <c r="X28" s="1812"/>
      <c r="Y28" s="3186"/>
      <c r="Z28" s="1813" t="str">
        <f t="shared" si="15"/>
        <v>公共部分装修</v>
      </c>
      <c r="AA28" s="1810">
        <f t="shared" si="3"/>
        <v>1</v>
      </c>
      <c r="AB28" s="1810">
        <f t="shared" si="4"/>
        <v>1</v>
      </c>
      <c r="AC28" s="1810">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6"/>
      <c r="Q29" s="1809" t="str">
        <f t="shared" si="11"/>
        <v>成新率</v>
      </c>
      <c r="R29" s="773" t="s">
        <v>17</v>
      </c>
      <c r="S29" s="774" t="e">
        <f t="shared" si="12"/>
        <v>#N/A</v>
      </c>
      <c r="T29" s="773" t="s">
        <v>17</v>
      </c>
      <c r="U29" s="774" t="e">
        <f t="shared" si="13"/>
        <v>#N/A</v>
      </c>
      <c r="V29" s="773" t="s">
        <v>17</v>
      </c>
      <c r="W29" s="774" t="e">
        <f t="shared" si="14"/>
        <v>#N/A</v>
      </c>
      <c r="X29" s="1812"/>
      <c r="Y29" s="3186"/>
      <c r="Z29" s="1813" t="str">
        <f t="shared" si="15"/>
        <v>成新率</v>
      </c>
      <c r="AA29" s="1810" t="e">
        <f t="shared" si="3"/>
        <v>#N/A</v>
      </c>
      <c r="AB29" s="1810" t="e">
        <f t="shared" si="4"/>
        <v>#N/A</v>
      </c>
      <c r="AC29" s="1810"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9"/>
      <c r="M30" s="1130"/>
      <c r="N30" s="1130"/>
      <c r="O30" s="1130"/>
      <c r="P30" s="3186"/>
      <c r="Q30" s="1809" t="str">
        <f t="shared" si="11"/>
        <v>物业等级</v>
      </c>
      <c r="R30" s="773" t="s">
        <v>17</v>
      </c>
      <c r="S30" s="774">
        <f t="shared" si="12"/>
        <v>100</v>
      </c>
      <c r="T30" s="773" t="s">
        <v>17</v>
      </c>
      <c r="U30" s="774">
        <f t="shared" si="13"/>
        <v>100</v>
      </c>
      <c r="V30" s="773" t="s">
        <v>17</v>
      </c>
      <c r="W30" s="774">
        <f t="shared" si="14"/>
        <v>100</v>
      </c>
      <c r="X30" s="1812"/>
      <c r="Y30" s="3186"/>
      <c r="Z30" s="1813" t="str">
        <f t="shared" si="15"/>
        <v>物业等级</v>
      </c>
      <c r="AA30" s="1810">
        <f t="shared" si="3"/>
        <v>1</v>
      </c>
      <c r="AB30" s="1810">
        <f t="shared" si="4"/>
        <v>1</v>
      </c>
      <c r="AC30" s="1810">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6"/>
      <c r="Q31" s="1794" t="str">
        <f t="shared" si="11"/>
        <v>停车位面积</v>
      </c>
      <c r="R31" s="769" t="s">
        <v>17</v>
      </c>
      <c r="S31" s="770" t="e">
        <f t="shared" si="12"/>
        <v>#N/A</v>
      </c>
      <c r="T31" s="769" t="s">
        <v>17</v>
      </c>
      <c r="U31" s="770" t="e">
        <f t="shared" si="13"/>
        <v>#N/A</v>
      </c>
      <c r="V31" s="769" t="s">
        <v>17</v>
      </c>
      <c r="W31" s="770" t="e">
        <f t="shared" si="14"/>
        <v>#N/A</v>
      </c>
      <c r="X31" s="771"/>
      <c r="Y31" s="3186"/>
      <c r="Z31" s="55" t="str">
        <f t="shared" si="15"/>
        <v>停车位面积</v>
      </c>
      <c r="AA31" s="772" t="e">
        <f t="shared" si="3"/>
        <v>#N/A</v>
      </c>
      <c r="AB31" s="772" t="e">
        <f t="shared" si="4"/>
        <v>#N/A</v>
      </c>
      <c r="AC31" s="772"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6" t="s">
        <v>2519</v>
      </c>
      <c r="Q32" s="1809" t="str">
        <f t="shared" si="11"/>
        <v>车位类型</v>
      </c>
      <c r="R32" s="773" t="s">
        <v>17</v>
      </c>
      <c r="S32" s="774">
        <f t="shared" si="12"/>
        <v>100</v>
      </c>
      <c r="T32" s="773" t="s">
        <v>17</v>
      </c>
      <c r="U32" s="774">
        <f t="shared" si="13"/>
        <v>100</v>
      </c>
      <c r="V32" s="773" t="s">
        <v>17</v>
      </c>
      <c r="W32" s="774">
        <f t="shared" si="14"/>
        <v>100</v>
      </c>
      <c r="X32" s="1812"/>
      <c r="Y32" s="3186" t="s">
        <v>2519</v>
      </c>
      <c r="Z32" s="1813" t="str">
        <f t="shared" si="15"/>
        <v>车位类型</v>
      </c>
      <c r="AA32" s="1810">
        <f t="shared" si="3"/>
        <v>1</v>
      </c>
      <c r="AB32" s="1810">
        <f t="shared" si="4"/>
        <v>1</v>
      </c>
      <c r="AC32" s="1810">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6"/>
      <c r="Q33" s="1809" t="str">
        <f t="shared" si="11"/>
        <v>是否直接入户</v>
      </c>
      <c r="R33" s="773" t="s">
        <v>17</v>
      </c>
      <c r="S33" s="774">
        <f t="shared" si="12"/>
        <v>100</v>
      </c>
      <c r="T33" s="773" t="s">
        <v>17</v>
      </c>
      <c r="U33" s="774">
        <f t="shared" si="13"/>
        <v>100</v>
      </c>
      <c r="V33" s="773" t="s">
        <v>17</v>
      </c>
      <c r="W33" s="774">
        <f t="shared" si="14"/>
        <v>100</v>
      </c>
      <c r="X33" s="1812"/>
      <c r="Y33" s="3186"/>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6"/>
      <c r="Q35" s="775">
        <f t="shared" si="11"/>
        <v>111</v>
      </c>
      <c r="R35" s="776" t="s">
        <v>17</v>
      </c>
      <c r="S35" s="777">
        <f t="shared" si="12"/>
        <v>100</v>
      </c>
      <c r="T35" s="776" t="s">
        <v>17</v>
      </c>
      <c r="U35" s="777">
        <f t="shared" si="13"/>
        <v>100</v>
      </c>
      <c r="V35" s="776" t="s">
        <v>17</v>
      </c>
      <c r="W35" s="777">
        <f t="shared" si="14"/>
        <v>100</v>
      </c>
      <c r="X35" s="778"/>
      <c r="Y35" s="3186"/>
      <c r="Z35" s="779">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6"/>
      <c r="Q36" s="1809">
        <f t="shared" si="11"/>
        <v>111</v>
      </c>
      <c r="R36" s="773" t="s">
        <v>17</v>
      </c>
      <c r="S36" s="774">
        <f t="shared" si="12"/>
        <v>100</v>
      </c>
      <c r="T36" s="773" t="s">
        <v>17</v>
      </c>
      <c r="U36" s="774">
        <f t="shared" si="13"/>
        <v>100</v>
      </c>
      <c r="V36" s="773" t="s">
        <v>17</v>
      </c>
      <c r="W36" s="774">
        <f t="shared" si="14"/>
        <v>100</v>
      </c>
      <c r="X36" s="1812"/>
      <c r="Y36" s="3186"/>
      <c r="Z36" s="1813">
        <f t="shared" si="15"/>
        <v>111</v>
      </c>
      <c r="AA36" s="1810">
        <f t="shared" si="3"/>
        <v>1</v>
      </c>
      <c r="AB36" s="1810">
        <f t="shared" si="4"/>
        <v>1</v>
      </c>
      <c r="AC36" s="1810">
        <f t="shared" si="5"/>
        <v>1</v>
      </c>
    </row>
    <row r="37" spans="1:29" ht="15">
      <c r="A37" s="479" t="s">
        <v>2673</v>
      </c>
      <c r="B37" s="2692" t="s">
        <v>2674</v>
      </c>
      <c r="C37" s="1406" t="s">
        <v>1</v>
      </c>
      <c r="D37" s="1407"/>
      <c r="E37" s="1408"/>
      <c r="F37" s="1409"/>
      <c r="G37" s="1410"/>
      <c r="H37" s="1411"/>
      <c r="I37" s="1408"/>
      <c r="J37" s="1411"/>
      <c r="K37" s="618"/>
      <c r="L37" s="1142"/>
      <c r="M37" s="1143"/>
      <c r="N37" s="1130"/>
      <c r="O37" s="1143"/>
      <c r="P37" s="3179" t="str">
        <f>A37</f>
        <v>成交单价</v>
      </c>
      <c r="Q37" s="3179"/>
      <c r="R37" s="3180">
        <f>E37</f>
        <v>0</v>
      </c>
      <c r="S37" s="3180"/>
      <c r="T37" s="3180">
        <f>G37</f>
        <v>0</v>
      </c>
      <c r="U37" s="3180"/>
      <c r="V37" s="3180">
        <f>I37</f>
        <v>0</v>
      </c>
      <c r="W37" s="3180"/>
      <c r="X37" s="758"/>
      <c r="Y37" s="780"/>
      <c r="Z37" s="758"/>
      <c r="AA37" s="758"/>
      <c r="AB37" s="758"/>
      <c r="AC37" s="758"/>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19"/>
      <c r="L38" s="1142"/>
      <c r="M38" s="1143"/>
      <c r="N38" s="1143"/>
      <c r="O38" s="1143"/>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8"/>
      <c r="Y38" s="758"/>
      <c r="Z38" s="758"/>
      <c r="AA38" s="758"/>
      <c r="AB38" s="758"/>
      <c r="AC38" s="758"/>
    </row>
    <row r="39" spans="1:29" ht="15.75" thickBot="1">
      <c r="A39" s="492" t="s">
        <v>2676</v>
      </c>
      <c r="B39" s="493"/>
      <c r="C39" s="1416" t="e">
        <f>R39</f>
        <v>#DIV/0!</v>
      </c>
      <c r="D39" s="1416"/>
      <c r="E39" s="1416"/>
      <c r="F39" s="1416"/>
      <c r="G39" s="1416"/>
      <c r="H39" s="1416"/>
      <c r="I39" s="1416"/>
      <c r="J39" s="1416"/>
      <c r="K39" s="620"/>
      <c r="L39" s="1142"/>
      <c r="M39" s="1143"/>
      <c r="N39" s="1143"/>
      <c r="O39" s="1143"/>
      <c r="P39" s="3176" t="str">
        <f>A39</f>
        <v>估价对象XX用房的比较价值（楼面单价，元/平方米）</v>
      </c>
      <c r="Q39" s="3177"/>
      <c r="R39" s="3178" t="e">
        <f>IF(F1="售价",ROUND(AVERAGE(R38:V38),0),ROUND(AVERAGE(R38:V38),1))</f>
        <v>#DIV/0!</v>
      </c>
      <c r="S39" s="3178"/>
      <c r="T39" s="3178"/>
      <c r="U39" s="3178"/>
      <c r="V39" s="3178"/>
      <c r="W39" s="317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59" t="s">
        <v>2628</v>
      </c>
      <c r="D67" s="659" t="s">
        <v>2629</v>
      </c>
      <c r="E67" s="659" t="s">
        <v>2630</v>
      </c>
      <c r="F67" s="659" t="s">
        <v>2631</v>
      </c>
      <c r="G67" s="659"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IF(C2="——",ROUND(C37*D3/10000,0),ROUND(C37*D3/10000,0)-D2)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215" t="s">
        <v>2503</v>
      </c>
      <c r="Q7" s="3217"/>
      <c r="R7" s="769" t="s">
        <v>17</v>
      </c>
      <c r="S7" s="770">
        <f t="shared" ref="S7:S14" si="0">F7</f>
        <v>0</v>
      </c>
      <c r="T7" s="769" t="s">
        <v>17</v>
      </c>
      <c r="U7" s="770">
        <f t="shared" ref="U7:U14" si="1">H7</f>
        <v>0</v>
      </c>
      <c r="V7" s="769" t="s">
        <v>17</v>
      </c>
      <c r="W7" s="770">
        <f t="shared" ref="W7:W14" si="2">J7</f>
        <v>0</v>
      </c>
      <c r="X7" s="771"/>
      <c r="Y7" s="3215" t="s">
        <v>2503</v>
      </c>
      <c r="Z7" s="3216"/>
      <c r="AA7" s="772" t="e">
        <f>D7/F7</f>
        <v>#DIV/0!</v>
      </c>
      <c r="AB7" s="772" t="e">
        <f>D7/H7</f>
        <v>#DIV/0!</v>
      </c>
      <c r="AC7" s="772"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34" si="3">D8/F8</f>
        <v>#DIV/0!</v>
      </c>
      <c r="AB8" s="772" t="e">
        <f t="shared" ref="AB8:AB34" si="4">D8/H8</f>
        <v>#DIV/0!</v>
      </c>
      <c r="AC8" s="772"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9" t="s">
        <v>2509</v>
      </c>
      <c r="Q9" s="1794" t="str">
        <f t="shared" ref="Q9:Q14" si="6">B9</f>
        <v>用途</v>
      </c>
      <c r="R9" s="769" t="s">
        <v>17</v>
      </c>
      <c r="S9" s="770">
        <f t="shared" si="0"/>
        <v>100</v>
      </c>
      <c r="T9" s="769" t="s">
        <v>17</v>
      </c>
      <c r="U9" s="770">
        <f t="shared" si="1"/>
        <v>100</v>
      </c>
      <c r="V9" s="769" t="s">
        <v>17</v>
      </c>
      <c r="W9" s="770">
        <f t="shared" si="2"/>
        <v>100</v>
      </c>
      <c r="X9" s="771"/>
      <c r="Y9" s="3031" t="s">
        <v>2510</v>
      </c>
      <c r="Z9" s="55" t="str">
        <f t="shared" ref="Z9:Z14" si="7">Q9</f>
        <v>用途</v>
      </c>
      <c r="AA9" s="772">
        <f t="shared" si="3"/>
        <v>1</v>
      </c>
      <c r="AB9" s="772">
        <f t="shared" si="4"/>
        <v>1</v>
      </c>
      <c r="AC9" s="772">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9"/>
      <c r="Q11" s="1794">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99.75">
      <c r="A14" s="440" t="s">
        <v>2513</v>
      </c>
      <c r="B14" s="69" t="s">
        <v>2662</v>
      </c>
      <c r="C14" s="2690" t="str">
        <f>IF(B1="工业",估价对象房地状况!G4,估价对象房地状况!C6)</f>
        <v>估价对象周边道路状况较差、公共交通通达情况较差、停车便捷程度一般，综合评价交通便捷度较差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1" t="s">
        <v>2514</v>
      </c>
      <c r="Q14" s="1809" t="str">
        <f t="shared" si="6"/>
        <v>交通便捷度</v>
      </c>
      <c r="R14" s="773" t="s">
        <v>17</v>
      </c>
      <c r="S14" s="774">
        <f t="shared" si="0"/>
        <v>100</v>
      </c>
      <c r="T14" s="773" t="s">
        <v>17</v>
      </c>
      <c r="U14" s="774">
        <f t="shared" si="1"/>
        <v>100</v>
      </c>
      <c r="V14" s="773" t="s">
        <v>17</v>
      </c>
      <c r="W14" s="774">
        <f t="shared" si="2"/>
        <v>100</v>
      </c>
      <c r="X14" s="1812"/>
      <c r="Y14" s="3181"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2"/>
      <c r="Q15" s="1809"/>
      <c r="R15" s="773"/>
      <c r="S15" s="774"/>
      <c r="T15" s="773"/>
      <c r="U15" s="774"/>
      <c r="V15" s="773"/>
      <c r="W15" s="774"/>
      <c r="X15" s="1812"/>
      <c r="Y15" s="3182"/>
      <c r="Z15" s="1813"/>
      <c r="AA15" s="1810">
        <v>1</v>
      </c>
      <c r="AB15" s="1810">
        <v>1</v>
      </c>
      <c r="AC15" s="1810">
        <v>1</v>
      </c>
    </row>
    <row r="16" spans="1:29" ht="42.75">
      <c r="A16" s="428"/>
      <c r="B16" s="451" t="s">
        <v>2641</v>
      </c>
      <c r="C16" s="2604"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2"/>
      <c r="Q16" s="1809" t="str">
        <f>B16</f>
        <v>公共配套设施</v>
      </c>
      <c r="R16" s="773" t="s">
        <v>17</v>
      </c>
      <c r="S16" s="774">
        <f>F16</f>
        <v>100</v>
      </c>
      <c r="T16" s="773" t="s">
        <v>17</v>
      </c>
      <c r="U16" s="774">
        <f>H16</f>
        <v>100</v>
      </c>
      <c r="V16" s="773" t="s">
        <v>17</v>
      </c>
      <c r="W16" s="774">
        <f>J16</f>
        <v>100</v>
      </c>
      <c r="X16" s="1812"/>
      <c r="Y16" s="3182"/>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182"/>
      <c r="Q17" s="1809"/>
      <c r="R17" s="773"/>
      <c r="S17" s="774"/>
      <c r="T17" s="773"/>
      <c r="U17" s="774"/>
      <c r="V17" s="773"/>
      <c r="W17" s="774"/>
      <c r="X17" s="1812"/>
      <c r="Y17" s="3182"/>
      <c r="Z17" s="1813"/>
      <c r="AA17" s="1810">
        <v>1</v>
      </c>
      <c r="AB17" s="1810">
        <v>1</v>
      </c>
      <c r="AC17" s="1810">
        <v>1</v>
      </c>
    </row>
    <row r="18" spans="1:29" ht="42.75">
      <c r="A18" s="428"/>
      <c r="B18" s="1383"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2"/>
      <c r="Q18" s="1809" t="str">
        <f>B18</f>
        <v>基础设施水平</v>
      </c>
      <c r="R18" s="773" t="s">
        <v>17</v>
      </c>
      <c r="S18" s="774">
        <f>F18</f>
        <v>100</v>
      </c>
      <c r="T18" s="773" t="s">
        <v>17</v>
      </c>
      <c r="U18" s="774">
        <f>H18</f>
        <v>100</v>
      </c>
      <c r="V18" s="773" t="s">
        <v>17</v>
      </c>
      <c r="W18" s="774">
        <f>J18</f>
        <v>100</v>
      </c>
      <c r="X18" s="1812"/>
      <c r="Y18" s="3182"/>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182"/>
      <c r="Q19" s="1809"/>
      <c r="R19" s="773"/>
      <c r="S19" s="774"/>
      <c r="T19" s="773"/>
      <c r="U19" s="774"/>
      <c r="V19" s="773"/>
      <c r="W19" s="774"/>
      <c r="X19" s="1812"/>
      <c r="Y19" s="3182"/>
      <c r="Z19" s="1813"/>
      <c r="AA19" s="1810">
        <v>1</v>
      </c>
      <c r="AB19" s="1810">
        <v>1</v>
      </c>
      <c r="AC19" s="1810">
        <v>1</v>
      </c>
    </row>
    <row r="20" spans="1:29" ht="71.25">
      <c r="A20" s="428"/>
      <c r="B20" s="451" t="s">
        <v>2663</v>
      </c>
      <c r="C20" s="2604"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2"/>
      <c r="Q20" s="1809" t="str">
        <f>B20</f>
        <v>自然及人文环境</v>
      </c>
      <c r="R20" s="773" t="s">
        <v>17</v>
      </c>
      <c r="S20" s="774">
        <f>F20</f>
        <v>100</v>
      </c>
      <c r="T20" s="773" t="s">
        <v>17</v>
      </c>
      <c r="U20" s="774">
        <f>H20</f>
        <v>100</v>
      </c>
      <c r="V20" s="773" t="s">
        <v>17</v>
      </c>
      <c r="W20" s="774">
        <f>J20</f>
        <v>100</v>
      </c>
      <c r="X20" s="1812"/>
      <c r="Y20" s="318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2"/>
      <c r="Q21" s="1809"/>
      <c r="R21" s="773"/>
      <c r="S21" s="774"/>
      <c r="T21" s="773"/>
      <c r="U21" s="774"/>
      <c r="V21" s="773"/>
      <c r="W21" s="774"/>
      <c r="X21" s="1812"/>
      <c r="Y21" s="3182"/>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2"/>
      <c r="Q22" s="1809" t="str">
        <f>B22</f>
        <v>楼层</v>
      </c>
      <c r="R22" s="773" t="s">
        <v>17</v>
      </c>
      <c r="S22" s="774">
        <f>F22</f>
        <v>100</v>
      </c>
      <c r="T22" s="773" t="s">
        <v>17</v>
      </c>
      <c r="U22" s="774">
        <f>H22</f>
        <v>100</v>
      </c>
      <c r="V22" s="773" t="s">
        <v>17</v>
      </c>
      <c r="W22" s="774">
        <f>J22</f>
        <v>100</v>
      </c>
      <c r="X22" s="1812"/>
      <c r="Y22" s="3182"/>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2"/>
      <c r="Q23" s="1809">
        <f>B23</f>
        <v>111</v>
      </c>
      <c r="R23" s="773" t="s">
        <v>17</v>
      </c>
      <c r="S23" s="774">
        <f>F23</f>
        <v>100</v>
      </c>
      <c r="T23" s="773" t="s">
        <v>17</v>
      </c>
      <c r="U23" s="774">
        <f>H23</f>
        <v>100</v>
      </c>
      <c r="V23" s="773" t="s">
        <v>17</v>
      </c>
      <c r="W23" s="774">
        <f>J23</f>
        <v>100</v>
      </c>
      <c r="X23" s="1812"/>
      <c r="Y23" s="3182"/>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2"/>
      <c r="Q24" s="1809">
        <f t="shared" ref="Q24:Q34" si="11">B24</f>
        <v>111</v>
      </c>
      <c r="R24" s="773" t="s">
        <v>17</v>
      </c>
      <c r="S24" s="774">
        <f>F24</f>
        <v>100</v>
      </c>
      <c r="T24" s="773" t="s">
        <v>17</v>
      </c>
      <c r="U24" s="774">
        <f>H24</f>
        <v>100</v>
      </c>
      <c r="V24" s="773" t="s">
        <v>17</v>
      </c>
      <c r="W24" s="774">
        <f>J24</f>
        <v>100</v>
      </c>
      <c r="X24" s="1812"/>
      <c r="Y24" s="3182"/>
      <c r="Z24" s="1813">
        <f>Q24</f>
        <v>111</v>
      </c>
      <c r="AA24" s="1810">
        <f t="shared" si="3"/>
        <v>1</v>
      </c>
      <c r="AB24" s="1810">
        <f t="shared" si="4"/>
        <v>1</v>
      </c>
      <c r="AC24" s="1810">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1"/>
      <c r="M25" s="1132"/>
      <c r="N25" s="1132"/>
      <c r="O25" s="1133"/>
      <c r="P25" s="3182"/>
      <c r="Q25" s="1794">
        <f t="shared" si="11"/>
        <v>111</v>
      </c>
      <c r="R25" s="769" t="s">
        <v>17</v>
      </c>
      <c r="S25" s="770">
        <f>F25</f>
        <v>100</v>
      </c>
      <c r="T25" s="769" t="s">
        <v>17</v>
      </c>
      <c r="U25" s="770">
        <f>H25</f>
        <v>100</v>
      </c>
      <c r="V25" s="769" t="s">
        <v>17</v>
      </c>
      <c r="W25" s="770">
        <f>J25</f>
        <v>100</v>
      </c>
      <c r="X25" s="771"/>
      <c r="Y25" s="3182"/>
      <c r="Z25" s="55">
        <f>Q25</f>
        <v>111</v>
      </c>
      <c r="AA25" s="1810">
        <f>D25/F25</f>
        <v>1</v>
      </c>
      <c r="AB25" s="1810">
        <f>D25/H25</f>
        <v>1</v>
      </c>
      <c r="AC25" s="1810">
        <f>D25/J25</f>
        <v>1</v>
      </c>
    </row>
    <row r="26" spans="1:29" ht="28.5">
      <c r="A26" s="466" t="s">
        <v>2517</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9"/>
      <c r="M26" s="1130"/>
      <c r="N26" s="1130"/>
      <c r="O26" s="1138"/>
      <c r="P26" s="3268" t="s">
        <v>2519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6"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6"/>
      <c r="Q27" s="775" t="str">
        <f t="shared" si="11"/>
        <v>成新率</v>
      </c>
      <c r="R27" s="776" t="s">
        <v>17</v>
      </c>
      <c r="S27" s="777" t="e">
        <f t="shared" si="12"/>
        <v>#N/A</v>
      </c>
      <c r="T27" s="776" t="s">
        <v>17</v>
      </c>
      <c r="U27" s="777" t="e">
        <f t="shared" si="13"/>
        <v>#N/A</v>
      </c>
      <c r="V27" s="776" t="s">
        <v>17</v>
      </c>
      <c r="W27" s="777" t="e">
        <f t="shared" si="14"/>
        <v>#N/A</v>
      </c>
      <c r="X27" s="778"/>
      <c r="Y27" s="3186"/>
      <c r="Z27" s="779"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6"/>
      <c r="Q28" s="1809" t="str">
        <f t="shared" si="11"/>
        <v>物业等级</v>
      </c>
      <c r="R28" s="773" t="s">
        <v>17</v>
      </c>
      <c r="S28" s="774">
        <f t="shared" si="12"/>
        <v>100</v>
      </c>
      <c r="T28" s="773" t="s">
        <v>17</v>
      </c>
      <c r="U28" s="774">
        <f t="shared" si="13"/>
        <v>100</v>
      </c>
      <c r="V28" s="773" t="s">
        <v>17</v>
      </c>
      <c r="W28" s="774">
        <f t="shared" si="14"/>
        <v>100</v>
      </c>
      <c r="X28" s="1812"/>
      <c r="Y28" s="3186"/>
      <c r="Z28" s="1813" t="str">
        <f t="shared" si="15"/>
        <v>物业等级</v>
      </c>
      <c r="AA28" s="1810">
        <f t="shared" si="3"/>
        <v>1</v>
      </c>
      <c r="AB28" s="1810">
        <f t="shared" si="4"/>
        <v>1</v>
      </c>
      <c r="AC28" s="1810">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186"/>
      <c r="Q29" s="1809" t="str">
        <f t="shared" si="11"/>
        <v>有无电梯</v>
      </c>
      <c r="R29" s="773" t="s">
        <v>17</v>
      </c>
      <c r="S29" s="774">
        <f t="shared" si="12"/>
        <v>100</v>
      </c>
      <c r="T29" s="773" t="s">
        <v>17</v>
      </c>
      <c r="U29" s="774">
        <f t="shared" si="13"/>
        <v>100</v>
      </c>
      <c r="V29" s="773" t="s">
        <v>17</v>
      </c>
      <c r="W29" s="774">
        <f t="shared" si="14"/>
        <v>100</v>
      </c>
      <c r="X29" s="1812"/>
      <c r="Y29" s="3186"/>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6"/>
      <c r="Q30" s="1809" t="str">
        <f t="shared" si="11"/>
        <v>建筑面积</v>
      </c>
      <c r="R30" s="773" t="s">
        <v>17</v>
      </c>
      <c r="S30" s="774" t="e">
        <f t="shared" si="12"/>
        <v>#N/A</v>
      </c>
      <c r="T30" s="773" t="s">
        <v>17</v>
      </c>
      <c r="U30" s="774" t="e">
        <f t="shared" si="13"/>
        <v>#N/A</v>
      </c>
      <c r="V30" s="773" t="s">
        <v>17</v>
      </c>
      <c r="W30" s="774" t="e">
        <f t="shared" si="14"/>
        <v>#N/A</v>
      </c>
      <c r="X30" s="1812"/>
      <c r="Y30" s="3186"/>
      <c r="Z30" s="1813" t="str">
        <f t="shared" si="15"/>
        <v>建筑面积</v>
      </c>
      <c r="AA30" s="1810" t="e">
        <f t="shared" si="3"/>
        <v>#N/A</v>
      </c>
      <c r="AB30" s="1810" t="e">
        <f t="shared" si="4"/>
        <v>#N/A</v>
      </c>
      <c r="AC30" s="1810"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186"/>
      <c r="Q31" s="1794" t="str">
        <f t="shared" si="11"/>
        <v>是否封闭</v>
      </c>
      <c r="R31" s="769" t="s">
        <v>17</v>
      </c>
      <c r="S31" s="770">
        <f t="shared" si="12"/>
        <v>100</v>
      </c>
      <c r="T31" s="769" t="s">
        <v>17</v>
      </c>
      <c r="U31" s="770">
        <f t="shared" si="13"/>
        <v>100</v>
      </c>
      <c r="V31" s="769" t="s">
        <v>17</v>
      </c>
      <c r="W31" s="770">
        <f t="shared" si="14"/>
        <v>100</v>
      </c>
      <c r="X31" s="771"/>
      <c r="Y31" s="3186"/>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6" t="s">
        <v>2519</v>
      </c>
      <c r="Q32" s="1809">
        <f t="shared" si="11"/>
        <v>111</v>
      </c>
      <c r="R32" s="773" t="s">
        <v>17</v>
      </c>
      <c r="S32" s="774">
        <f t="shared" si="12"/>
        <v>100</v>
      </c>
      <c r="T32" s="773" t="s">
        <v>17</v>
      </c>
      <c r="U32" s="774">
        <f t="shared" si="13"/>
        <v>100</v>
      </c>
      <c r="V32" s="773" t="s">
        <v>17</v>
      </c>
      <c r="W32" s="774">
        <f t="shared" si="14"/>
        <v>100</v>
      </c>
      <c r="X32" s="1812"/>
      <c r="Y32" s="3186"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6"/>
      <c r="Q33" s="1809">
        <f t="shared" si="11"/>
        <v>111</v>
      </c>
      <c r="R33" s="773" t="s">
        <v>17</v>
      </c>
      <c r="S33" s="774">
        <f t="shared" si="12"/>
        <v>100</v>
      </c>
      <c r="T33" s="773" t="s">
        <v>17</v>
      </c>
      <c r="U33" s="774">
        <f t="shared" si="13"/>
        <v>100</v>
      </c>
      <c r="V33" s="773" t="s">
        <v>17</v>
      </c>
      <c r="W33" s="774">
        <f t="shared" si="14"/>
        <v>100</v>
      </c>
      <c r="X33" s="1812"/>
      <c r="Y33" s="3186"/>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86"/>
      <c r="Q34" s="1809">
        <f t="shared" si="11"/>
        <v>111</v>
      </c>
      <c r="R34" s="773" t="s">
        <v>17</v>
      </c>
      <c r="S34" s="774">
        <f t="shared" si="12"/>
        <v>100</v>
      </c>
      <c r="T34" s="773" t="s">
        <v>17</v>
      </c>
      <c r="U34" s="774">
        <f t="shared" si="13"/>
        <v>100</v>
      </c>
      <c r="V34" s="773" t="s">
        <v>17</v>
      </c>
      <c r="W34" s="774">
        <f t="shared" si="14"/>
        <v>100</v>
      </c>
      <c r="X34" s="1812"/>
      <c r="Y34" s="3186"/>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2"/>
      <c r="L35" s="1142"/>
      <c r="M35" s="1143"/>
      <c r="N35" s="1130"/>
      <c r="O35" s="1143"/>
      <c r="P35" s="3179" t="str">
        <f>A35</f>
        <v>成交单价（元/平方米）</v>
      </c>
      <c r="Q35" s="3179"/>
      <c r="R35" s="3180">
        <f>E35</f>
        <v>0</v>
      </c>
      <c r="S35" s="3180"/>
      <c r="T35" s="3180">
        <f>G35</f>
        <v>0</v>
      </c>
      <c r="U35" s="3180"/>
      <c r="V35" s="3180">
        <f>I35</f>
        <v>0</v>
      </c>
      <c r="W35" s="3180"/>
      <c r="X35" s="758"/>
      <c r="Y35" s="780"/>
      <c r="Z35" s="758"/>
      <c r="AA35" s="758"/>
      <c r="AB35" s="758"/>
      <c r="AC35" s="758"/>
    </row>
    <row r="36" spans="1:29" ht="15.75" thickBot="1">
      <c r="A36" s="486" t="s">
        <v>2622</v>
      </c>
      <c r="B36" s="487"/>
      <c r="C36" s="1412" t="e">
        <f>R37</f>
        <v>#DIV/0!</v>
      </c>
      <c r="D36" s="1413"/>
      <c r="E36" s="1414" t="e">
        <f>R36</f>
        <v>#DIV/0!</v>
      </c>
      <c r="F36" s="1414"/>
      <c r="G36" s="1412" t="e">
        <f>T36</f>
        <v>#DIV/0!</v>
      </c>
      <c r="H36" s="1413"/>
      <c r="I36" s="1414" t="e">
        <f>V36</f>
        <v>#DIV/0!</v>
      </c>
      <c r="J36" s="1413"/>
      <c r="K36" s="783"/>
      <c r="L36" s="1142"/>
      <c r="M36" s="1143"/>
      <c r="N36" s="1130"/>
      <c r="O36" s="1143"/>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8"/>
      <c r="Y36" s="758"/>
      <c r="Z36" s="758"/>
      <c r="AA36" s="758"/>
      <c r="AB36" s="758"/>
      <c r="AC36" s="758"/>
    </row>
    <row r="37" spans="1:29" ht="15.75" thickBot="1">
      <c r="A37" s="492" t="s">
        <v>2623</v>
      </c>
      <c r="B37" s="493"/>
      <c r="C37" s="1416" t="e">
        <f>R37</f>
        <v>#DIV/0!</v>
      </c>
      <c r="D37" s="1416"/>
      <c r="E37" s="1416"/>
      <c r="F37" s="1416"/>
      <c r="G37" s="1416"/>
      <c r="H37" s="1416"/>
      <c r="I37" s="1416"/>
      <c r="J37" s="1416"/>
      <c r="K37" s="784"/>
      <c r="L37" s="1142"/>
      <c r="M37" s="1143"/>
      <c r="N37" s="1143"/>
      <c r="O37" s="1143"/>
      <c r="P37" s="3176" t="str">
        <f>A37</f>
        <v>估价对象XX用房的比较价值（楼面单价，元/平方米）</v>
      </c>
      <c r="Q37" s="3177"/>
      <c r="R37" s="3178" t="e">
        <f>IF(F1="售价",ROUND(AVERAGE(R36:V36),0),ROUND(AVERAGE(R36:V36),1))</f>
        <v>#DIV/0!</v>
      </c>
      <c r="S37" s="3178"/>
      <c r="T37" s="3178"/>
      <c r="U37" s="3178"/>
      <c r="V37" s="3178"/>
      <c r="W37" s="317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2627</v>
      </c>
      <c r="B45" s="758"/>
      <c r="C45" s="763"/>
      <c r="D45" s="763"/>
      <c r="E45" s="763"/>
      <c r="F45" s="764"/>
      <c r="G45" s="764"/>
      <c r="H45" s="763"/>
      <c r="I45" s="763"/>
      <c r="J45" s="763"/>
      <c r="K45" s="765"/>
      <c r="L45" s="766"/>
      <c r="M45" s="763"/>
      <c r="N45" s="763"/>
      <c r="O45" s="763"/>
      <c r="P45" s="503"/>
      <c r="Q45" s="504"/>
    </row>
    <row r="46" spans="1:29" s="508" customFormat="1" ht="15">
      <c r="A46" s="505" t="s">
        <v>2502</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30"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30" ht="15.75" thickBot="1">
      <c r="A6" s="406"/>
      <c r="B6" s="407"/>
      <c r="C6" s="3211" t="s">
        <v>2500</v>
      </c>
      <c r="D6" s="3212"/>
      <c r="E6" s="3219" t="s">
        <v>2500</v>
      </c>
      <c r="F6" s="3220"/>
      <c r="G6" s="3211" t="s">
        <v>2500</v>
      </c>
      <c r="H6" s="3212"/>
      <c r="I6" s="3211" t="s">
        <v>2500</v>
      </c>
      <c r="J6" s="3212"/>
      <c r="K6" s="610" t="s">
        <v>2501</v>
      </c>
      <c r="L6" s="1129"/>
      <c r="M6" s="1130"/>
      <c r="N6" s="1130"/>
      <c r="O6" s="1130"/>
      <c r="P6" s="3202"/>
      <c r="Q6" s="3203"/>
      <c r="R6" s="3206"/>
      <c r="S6" s="3207"/>
      <c r="T6" s="3208"/>
      <c r="U6" s="3209"/>
      <c r="V6" s="3210"/>
      <c r="W6" s="3210"/>
      <c r="X6" s="1812"/>
      <c r="Y6" s="3208"/>
      <c r="Z6" s="3209"/>
      <c r="AA6" s="3193"/>
      <c r="AB6" s="3193"/>
      <c r="AC6" s="3193"/>
    </row>
    <row r="7" spans="1:30" s="117" customFormat="1" ht="15.75" thickBot="1">
      <c r="A7" s="408" t="s">
        <v>2502</v>
      </c>
      <c r="B7" s="409"/>
      <c r="C7" s="410">
        <f>'数据-取费表'!B2</f>
        <v>43641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5" si="3">D8/F8</f>
        <v>#DIV/0!</v>
      </c>
      <c r="AB8" s="772" t="e">
        <f t="shared" ref="AB8:AB45" si="4">D8/H8</f>
        <v>#DIV/0!</v>
      </c>
      <c r="AC8" s="772" t="e">
        <f t="shared" ref="AC8:AC45" si="5">D8/J8</f>
        <v>#DIV/0!</v>
      </c>
    </row>
    <row r="9" spans="1:30" s="117" customFormat="1">
      <c r="A9" s="415" t="s">
        <v>2507</v>
      </c>
      <c r="B9" s="71" t="s">
        <v>2508</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30" s="427" customFormat="1" ht="27">
      <c r="A10" s="421"/>
      <c r="B10" s="422" t="s">
        <v>2511</v>
      </c>
      <c r="C10" s="432"/>
      <c r="D10" s="136">
        <v>100</v>
      </c>
      <c r="E10" s="465"/>
      <c r="F10" s="136">
        <f>ROUND(100/'数据-取费表'!G16,0)</f>
        <v>100</v>
      </c>
      <c r="G10" s="463"/>
      <c r="H10" s="136">
        <f>ROUND(100/'数据-取费表'!G16,0)</f>
        <v>100</v>
      </c>
      <c r="I10" s="463"/>
      <c r="J10" s="136">
        <f>ROUND(100/'数据-取费表'!G16,0)</f>
        <v>100</v>
      </c>
      <c r="K10" s="671"/>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179"/>
      <c r="Q12" s="1794"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114">
      <c r="A15" s="440" t="s">
        <v>2513</v>
      </c>
      <c r="B15" s="69" t="s">
        <v>2047</v>
      </c>
      <c r="C15" s="2600" t="str">
        <f>估价对象房地状况!C15</f>
        <v>估价对象位于圣莲岛，周边居住用地比例一般、居住小区规模和社区发展完善程度一般，综合评价居住社区成熟度一般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181" t="s">
        <v>2514</v>
      </c>
      <c r="Q15" s="1809" t="str">
        <f t="shared" si="6"/>
        <v>居住社区成熟度</v>
      </c>
      <c r="R15" s="773" t="s">
        <v>17</v>
      </c>
      <c r="S15" s="774">
        <f t="shared" si="0"/>
        <v>100</v>
      </c>
      <c r="T15" s="773" t="s">
        <v>17</v>
      </c>
      <c r="U15" s="774">
        <f t="shared" si="1"/>
        <v>100</v>
      </c>
      <c r="V15" s="773" t="s">
        <v>17</v>
      </c>
      <c r="W15" s="774">
        <f t="shared" si="2"/>
        <v>100</v>
      </c>
      <c r="X15" s="1812"/>
      <c r="Y15" s="3181" t="s">
        <v>2514</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1"/>
      <c r="L16" s="1139"/>
      <c r="M16" s="1130"/>
      <c r="N16" s="1130"/>
      <c r="O16" s="1138"/>
      <c r="P16" s="3182"/>
      <c r="Q16" s="1809"/>
      <c r="R16" s="773"/>
      <c r="S16" s="774"/>
      <c r="T16" s="773"/>
      <c r="U16" s="774"/>
      <c r="V16" s="773"/>
      <c r="W16" s="774"/>
      <c r="X16" s="1812"/>
      <c r="Y16" s="3182"/>
      <c r="Z16" s="1813"/>
      <c r="AA16" s="1810">
        <v>1</v>
      </c>
      <c r="AB16" s="1810">
        <v>1</v>
      </c>
      <c r="AC16" s="1810">
        <v>1</v>
      </c>
    </row>
    <row r="17" spans="1:29" ht="85.5">
      <c r="A17" s="428"/>
      <c r="B17" s="451" t="s">
        <v>2606</v>
      </c>
      <c r="C17" s="2661" t="str">
        <f>估价对象房地状况!C16</f>
        <v>估价对象位于圣莲岛，周边商业氛围成熟度一般，人流量大一般，商业繁华度一般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182"/>
      <c r="Q17" s="1809" t="str">
        <f>B17</f>
        <v>商业繁华度</v>
      </c>
      <c r="R17" s="773" t="s">
        <v>17</v>
      </c>
      <c r="S17" s="774">
        <f>F17</f>
        <v>100</v>
      </c>
      <c r="T17" s="773" t="s">
        <v>17</v>
      </c>
      <c r="U17" s="774">
        <f>H17</f>
        <v>100</v>
      </c>
      <c r="V17" s="773" t="s">
        <v>17</v>
      </c>
      <c r="W17" s="774">
        <f>J17</f>
        <v>100</v>
      </c>
      <c r="X17" s="1812"/>
      <c r="Y17" s="3182"/>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1"/>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182"/>
      <c r="Q19" s="1809" t="str">
        <f>B19</f>
        <v>办公集聚程度</v>
      </c>
      <c r="R19" s="773" t="s">
        <v>17</v>
      </c>
      <c r="S19" s="774">
        <f>F19</f>
        <v>100</v>
      </c>
      <c r="T19" s="773" t="s">
        <v>17</v>
      </c>
      <c r="U19" s="774">
        <f>H19</f>
        <v>100</v>
      </c>
      <c r="V19" s="773" t="s">
        <v>17</v>
      </c>
      <c r="W19" s="774">
        <f>J19</f>
        <v>100</v>
      </c>
      <c r="X19" s="1812"/>
      <c r="Y19" s="3182"/>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1"/>
      <c r="L20" s="1139"/>
      <c r="M20" s="1130"/>
      <c r="N20" s="1130"/>
      <c r="O20" s="1138"/>
      <c r="P20" s="3182"/>
      <c r="Q20" s="1809"/>
      <c r="R20" s="773"/>
      <c r="S20" s="774"/>
      <c r="T20" s="773"/>
      <c r="U20" s="774"/>
      <c r="V20" s="773"/>
      <c r="W20" s="774"/>
      <c r="X20" s="1812"/>
      <c r="Y20" s="3182"/>
      <c r="Z20" s="1813"/>
      <c r="AA20" s="1810">
        <v>1</v>
      </c>
      <c r="AB20" s="1810">
        <v>1</v>
      </c>
      <c r="AC20" s="1810">
        <v>1</v>
      </c>
    </row>
    <row r="21" spans="1:29" ht="99.75">
      <c r="A21" s="428"/>
      <c r="B21" s="451" t="s">
        <v>2662</v>
      </c>
      <c r="C21" s="2604" t="str">
        <f>估价对象房地状况!C18</f>
        <v>估价对象周边道路状况较差、公共交通通达情况较差、停车便捷程度一般，综合评价交通便捷度较差</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182"/>
      <c r="Q21" s="1809" t="str">
        <f>B21</f>
        <v>交通便捷度</v>
      </c>
      <c r="R21" s="773" t="s">
        <v>17</v>
      </c>
      <c r="S21" s="774">
        <f>F21</f>
        <v>100</v>
      </c>
      <c r="T21" s="773" t="s">
        <v>17</v>
      </c>
      <c r="U21" s="774">
        <f>H21</f>
        <v>100</v>
      </c>
      <c r="V21" s="773" t="s">
        <v>17</v>
      </c>
      <c r="W21" s="774">
        <f>J21</f>
        <v>100</v>
      </c>
      <c r="X21" s="1812"/>
      <c r="Y21" s="3182"/>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1"/>
      <c r="L22" s="1139"/>
      <c r="M22" s="1130"/>
      <c r="N22" s="1130"/>
      <c r="O22" s="1138"/>
      <c r="P22" s="3182"/>
      <c r="Q22" s="1809"/>
      <c r="R22" s="773"/>
      <c r="S22" s="774"/>
      <c r="T22" s="773"/>
      <c r="U22" s="774"/>
      <c r="V22" s="773"/>
      <c r="W22" s="774"/>
      <c r="X22" s="1812"/>
      <c r="Y22" s="3182"/>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182"/>
      <c r="Q23" s="1809" t="str">
        <f t="shared" ref="Q23:Q37" si="8">B23</f>
        <v>区域土地利用方向</v>
      </c>
      <c r="R23" s="773" t="s">
        <v>17</v>
      </c>
      <c r="S23" s="774">
        <f>F23</f>
        <v>100</v>
      </c>
      <c r="T23" s="773" t="s">
        <v>17</v>
      </c>
      <c r="U23" s="774">
        <f>H23</f>
        <v>100</v>
      </c>
      <c r="V23" s="773" t="s">
        <v>17</v>
      </c>
      <c r="W23" s="774">
        <f>J23</f>
        <v>100</v>
      </c>
      <c r="X23" s="1812"/>
      <c r="Y23" s="3182"/>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182"/>
      <c r="Q24" s="1809"/>
      <c r="R24" s="773"/>
      <c r="S24" s="774"/>
      <c r="T24" s="773"/>
      <c r="U24" s="774"/>
      <c r="V24" s="773"/>
      <c r="W24" s="774"/>
      <c r="X24" s="1812"/>
      <c r="Y24" s="3182"/>
      <c r="Z24" s="1813"/>
      <c r="AA24" s="1810"/>
      <c r="AB24" s="1810"/>
      <c r="AC24" s="1810"/>
    </row>
    <row r="25" spans="1:29" ht="71.25">
      <c r="A25" s="404"/>
      <c r="B25" s="1383" t="s">
        <v>2702</v>
      </c>
      <c r="C25" s="2661" t="str">
        <f>估价对象房地状况!C20</f>
        <v>区域自然环境：较好；人文环境：一般；综合评价环境状况一般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182"/>
      <c r="Q25" s="1809" t="str">
        <f t="shared" si="8"/>
        <v>自然及人文环境状况</v>
      </c>
      <c r="R25" s="773" t="s">
        <v>17</v>
      </c>
      <c r="S25" s="774">
        <f>F25</f>
        <v>100</v>
      </c>
      <c r="T25" s="773" t="s">
        <v>17</v>
      </c>
      <c r="U25" s="774">
        <f>H25</f>
        <v>100</v>
      </c>
      <c r="V25" s="773" t="s">
        <v>17</v>
      </c>
      <c r="W25" s="774">
        <f>J25</f>
        <v>100</v>
      </c>
      <c r="X25" s="1812"/>
      <c r="Y25" s="3182"/>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1"/>
      <c r="L26" s="1139"/>
      <c r="M26" s="1130"/>
      <c r="N26" s="1130"/>
      <c r="O26" s="1138"/>
      <c r="P26" s="3182"/>
      <c r="Q26" s="1809"/>
      <c r="R26" s="773"/>
      <c r="S26" s="774"/>
      <c r="T26" s="773"/>
      <c r="U26" s="774"/>
      <c r="V26" s="773"/>
      <c r="W26" s="774"/>
      <c r="X26" s="1812"/>
      <c r="Y26" s="3182"/>
      <c r="Z26" s="1813"/>
      <c r="AA26" s="1810">
        <v>1</v>
      </c>
      <c r="AB26" s="1810">
        <v>1</v>
      </c>
      <c r="AC26" s="1810">
        <v>1</v>
      </c>
    </row>
    <row r="27" spans="1:29" s="117" customFormat="1" ht="42.75">
      <c r="A27" s="648"/>
      <c r="B27" s="1383" t="s">
        <v>2607</v>
      </c>
      <c r="C27" s="2604" t="str">
        <f>估价对象房地状况!C21</f>
        <v>估价对象所在区域公共配套设施齐备情况较差</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182"/>
      <c r="Q27" s="1794" t="str">
        <f t="shared" si="8"/>
        <v>公共配套设施</v>
      </c>
      <c r="R27" s="769" t="s">
        <v>17</v>
      </c>
      <c r="S27" s="770">
        <f>F27</f>
        <v>100</v>
      </c>
      <c r="T27" s="769" t="s">
        <v>17</v>
      </c>
      <c r="U27" s="770">
        <f>H27</f>
        <v>100</v>
      </c>
      <c r="V27" s="769" t="s">
        <v>17</v>
      </c>
      <c r="W27" s="770">
        <f>J27</f>
        <v>100</v>
      </c>
      <c r="X27" s="771"/>
      <c r="Y27" s="3182"/>
      <c r="Z27" s="55" t="str">
        <f>Q27</f>
        <v>公共配套设施</v>
      </c>
      <c r="AA27" s="1810">
        <f>D27/F27</f>
        <v>1</v>
      </c>
      <c r="AB27" s="1810">
        <f>D27/H27</f>
        <v>1</v>
      </c>
      <c r="AC27" s="1810">
        <f>D27/J27</f>
        <v>1</v>
      </c>
    </row>
    <row r="28" spans="1:29" s="117" customFormat="1" ht="15">
      <c r="A28" s="648"/>
      <c r="B28" s="456"/>
      <c r="C28" s="2697"/>
      <c r="D28" s="448"/>
      <c r="E28" s="2608"/>
      <c r="F28" s="448"/>
      <c r="G28" s="2608"/>
      <c r="H28" s="448"/>
      <c r="I28" s="447"/>
      <c r="J28" s="448"/>
      <c r="K28" s="671"/>
      <c r="L28" s="1131"/>
      <c r="M28" s="1132"/>
      <c r="N28" s="1132"/>
      <c r="O28" s="1133"/>
      <c r="P28" s="3182"/>
      <c r="Q28" s="1794"/>
      <c r="R28" s="769"/>
      <c r="S28" s="770"/>
      <c r="T28" s="769"/>
      <c r="U28" s="770"/>
      <c r="V28" s="769"/>
      <c r="W28" s="770"/>
      <c r="X28" s="771"/>
      <c r="Y28" s="3182"/>
      <c r="Z28" s="55"/>
      <c r="AA28" s="1810">
        <v>1</v>
      </c>
      <c r="AB28" s="1810">
        <v>1</v>
      </c>
      <c r="AC28" s="1810">
        <v>1</v>
      </c>
    </row>
    <row r="29" spans="1:29" s="117" customFormat="1" ht="42.75">
      <c r="A29" s="648"/>
      <c r="B29" s="1383" t="s">
        <v>2608</v>
      </c>
      <c r="C29" s="2604"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182"/>
      <c r="Q29" s="1794" t="str">
        <f t="shared" ref="Q29" si="9">B29</f>
        <v>基础设施水平</v>
      </c>
      <c r="R29" s="769" t="s">
        <v>17</v>
      </c>
      <c r="S29" s="770">
        <f>F29</f>
        <v>100</v>
      </c>
      <c r="T29" s="769" t="s">
        <v>17</v>
      </c>
      <c r="U29" s="770">
        <f>H29</f>
        <v>100</v>
      </c>
      <c r="V29" s="769" t="s">
        <v>17</v>
      </c>
      <c r="W29" s="770">
        <f>J29</f>
        <v>100</v>
      </c>
      <c r="X29" s="771"/>
      <c r="Y29" s="3182"/>
      <c r="Z29" s="55" t="str">
        <f>Q29</f>
        <v>基础设施水平</v>
      </c>
      <c r="AA29" s="1810">
        <f>D29/F29</f>
        <v>1</v>
      </c>
      <c r="AB29" s="1810">
        <f>D29/H29</f>
        <v>1</v>
      </c>
      <c r="AC29" s="1810">
        <f>D29/J29</f>
        <v>1</v>
      </c>
    </row>
    <row r="30" spans="1:29" s="117" customFormat="1" ht="15">
      <c r="A30" s="648"/>
      <c r="B30" s="456"/>
      <c r="C30" s="2697"/>
      <c r="D30" s="448"/>
      <c r="E30" s="2698"/>
      <c r="F30" s="448"/>
      <c r="G30" s="2698"/>
      <c r="H30" s="448"/>
      <c r="I30" s="2698"/>
      <c r="J30" s="448"/>
      <c r="K30" s="671"/>
      <c r="L30" s="1131"/>
      <c r="M30" s="1132"/>
      <c r="N30" s="1132"/>
      <c r="O30" s="1133"/>
      <c r="P30" s="3182"/>
      <c r="Q30" s="1794"/>
      <c r="R30" s="769"/>
      <c r="S30" s="770"/>
      <c r="T30" s="769"/>
      <c r="U30" s="770"/>
      <c r="V30" s="769"/>
      <c r="W30" s="770"/>
      <c r="X30" s="771"/>
      <c r="Y30" s="3182"/>
      <c r="Z30" s="55"/>
      <c r="AA30" s="1810">
        <v>1</v>
      </c>
      <c r="AB30" s="1810">
        <v>1</v>
      </c>
      <c r="AC30" s="1810">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18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2"/>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182"/>
      <c r="Q32" s="1809" t="str">
        <f t="shared" si="8"/>
        <v>毗邻道路的类型与等级</v>
      </c>
      <c r="R32" s="773" t="s">
        <v>17</v>
      </c>
      <c r="S32" s="774">
        <f t="shared" si="10"/>
        <v>100</v>
      </c>
      <c r="T32" s="773" t="s">
        <v>17</v>
      </c>
      <c r="U32" s="774">
        <f t="shared" si="11"/>
        <v>100</v>
      </c>
      <c r="V32" s="773" t="s">
        <v>17</v>
      </c>
      <c r="W32" s="774">
        <f t="shared" si="12"/>
        <v>100</v>
      </c>
      <c r="X32" s="1812"/>
      <c r="Y32" s="3182"/>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182"/>
      <c r="Q33" s="1809"/>
      <c r="R33" s="773"/>
      <c r="S33" s="774"/>
      <c r="T33" s="773"/>
      <c r="U33" s="774"/>
      <c r="V33" s="773"/>
      <c r="W33" s="774"/>
      <c r="X33" s="1812"/>
      <c r="Y33" s="3182"/>
      <c r="Z33" s="1813"/>
      <c r="AA33" s="1810">
        <v>1</v>
      </c>
      <c r="AB33" s="1810">
        <v>1</v>
      </c>
      <c r="AC33" s="1810">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182"/>
      <c r="Q34" s="1809" t="str">
        <f t="shared" si="8"/>
        <v>土地级别</v>
      </c>
      <c r="R34" s="773" t="s">
        <v>17</v>
      </c>
      <c r="S34" s="774">
        <f t="shared" si="10"/>
        <v>100</v>
      </c>
      <c r="T34" s="773" t="s">
        <v>17</v>
      </c>
      <c r="U34" s="774">
        <f t="shared" si="11"/>
        <v>100</v>
      </c>
      <c r="V34" s="773" t="s">
        <v>17</v>
      </c>
      <c r="W34" s="774">
        <f t="shared" si="12"/>
        <v>100</v>
      </c>
      <c r="X34" s="1812"/>
      <c r="Y34" s="3182"/>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182"/>
      <c r="Q35" s="1809">
        <f t="shared" si="8"/>
        <v>111</v>
      </c>
      <c r="R35" s="773" t="s">
        <v>17</v>
      </c>
      <c r="S35" s="774">
        <f t="shared" si="10"/>
        <v>100</v>
      </c>
      <c r="T35" s="773" t="s">
        <v>17</v>
      </c>
      <c r="U35" s="774">
        <f t="shared" si="11"/>
        <v>100</v>
      </c>
      <c r="V35" s="773" t="s">
        <v>17</v>
      </c>
      <c r="W35" s="774">
        <f t="shared" si="12"/>
        <v>100</v>
      </c>
      <c r="X35" s="1812"/>
      <c r="Y35" s="3182"/>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68" t="s">
        <v>2519</v>
      </c>
      <c r="Q36" s="1809">
        <f t="shared" si="8"/>
        <v>111</v>
      </c>
      <c r="R36" s="773" t="s">
        <v>17</v>
      </c>
      <c r="S36" s="774">
        <f t="shared" si="10"/>
        <v>100</v>
      </c>
      <c r="T36" s="773" t="s">
        <v>17</v>
      </c>
      <c r="U36" s="774">
        <f t="shared" si="11"/>
        <v>100</v>
      </c>
      <c r="V36" s="773" t="s">
        <v>17</v>
      </c>
      <c r="W36" s="774">
        <f t="shared" si="12"/>
        <v>100</v>
      </c>
      <c r="X36" s="1812"/>
      <c r="Y36" s="3186" t="s">
        <v>2519</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186"/>
      <c r="Q37" s="1809">
        <f t="shared" si="8"/>
        <v>111</v>
      </c>
      <c r="R37" s="776" t="s">
        <v>17</v>
      </c>
      <c r="S37" s="777">
        <f t="shared" si="10"/>
        <v>100</v>
      </c>
      <c r="T37" s="776" t="s">
        <v>17</v>
      </c>
      <c r="U37" s="777">
        <f t="shared" si="11"/>
        <v>100</v>
      </c>
      <c r="V37" s="776" t="s">
        <v>17</v>
      </c>
      <c r="W37" s="777">
        <f t="shared" si="12"/>
        <v>100</v>
      </c>
      <c r="X37" s="778"/>
      <c r="Y37" s="3186"/>
      <c r="Z37" s="779">
        <f t="shared" si="13"/>
        <v>111</v>
      </c>
      <c r="AA37" s="1810">
        <f t="shared" si="3"/>
        <v>1</v>
      </c>
      <c r="AB37" s="1810">
        <f t="shared" si="4"/>
        <v>1</v>
      </c>
      <c r="AC37" s="1810">
        <f t="shared" si="5"/>
        <v>1</v>
      </c>
    </row>
    <row r="38" spans="1:29" ht="15">
      <c r="A38" s="472" t="s">
        <v>2517</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186"/>
      <c r="Q38" s="1809" t="str">
        <f>B38</f>
        <v>宗地面积</v>
      </c>
      <c r="R38" s="773" t="s">
        <v>17</v>
      </c>
      <c r="S38" s="774" t="e">
        <f t="shared" si="10"/>
        <v>#N/A</v>
      </c>
      <c r="T38" s="773" t="s">
        <v>17</v>
      </c>
      <c r="U38" s="774" t="e">
        <f t="shared" si="11"/>
        <v>#N/A</v>
      </c>
      <c r="V38" s="773" t="s">
        <v>17</v>
      </c>
      <c r="W38" s="774" t="e">
        <f t="shared" si="12"/>
        <v>#N/A</v>
      </c>
      <c r="X38" s="1812"/>
      <c r="Y38" s="3186"/>
      <c r="Z38" s="1813" t="str">
        <f t="shared" si="13"/>
        <v>宗地面积</v>
      </c>
      <c r="AA38" s="1810" t="e">
        <f t="shared" si="3"/>
        <v>#N/A</v>
      </c>
      <c r="AB38" s="1810" t="e">
        <f t="shared" si="4"/>
        <v>#N/A</v>
      </c>
      <c r="AC38" s="1810"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186"/>
      <c r="Q39" s="1809" t="str">
        <f t="shared" ref="Q39:Q45" si="14">B39</f>
        <v>宗地形状</v>
      </c>
      <c r="R39" s="773" t="s">
        <v>17</v>
      </c>
      <c r="S39" s="774">
        <f t="shared" si="10"/>
        <v>100</v>
      </c>
      <c r="T39" s="773" t="s">
        <v>17</v>
      </c>
      <c r="U39" s="774">
        <f t="shared" si="11"/>
        <v>100</v>
      </c>
      <c r="V39" s="773" t="s">
        <v>17</v>
      </c>
      <c r="W39" s="774">
        <f t="shared" si="12"/>
        <v>100</v>
      </c>
      <c r="X39" s="1812"/>
      <c r="Y39" s="3186"/>
      <c r="Z39" s="1813" t="str">
        <f t="shared" si="13"/>
        <v>宗地形状</v>
      </c>
      <c r="AA39" s="1810">
        <f t="shared" si="3"/>
        <v>1</v>
      </c>
      <c r="AB39" s="1810">
        <f t="shared" si="4"/>
        <v>1</v>
      </c>
      <c r="AC39" s="1810">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86"/>
      <c r="Q40" s="1809" t="str">
        <f t="shared" si="14"/>
        <v>临街宽度及深度</v>
      </c>
      <c r="R40" s="773" t="s">
        <v>17</v>
      </c>
      <c r="S40" s="774">
        <f t="shared" si="10"/>
        <v>100</v>
      </c>
      <c r="T40" s="773" t="s">
        <v>17</v>
      </c>
      <c r="U40" s="774">
        <f t="shared" si="11"/>
        <v>100</v>
      </c>
      <c r="V40" s="773" t="s">
        <v>17</v>
      </c>
      <c r="W40" s="774">
        <f t="shared" si="12"/>
        <v>100</v>
      </c>
      <c r="X40" s="1812"/>
      <c r="Y40" s="3186"/>
      <c r="Z40" s="1813" t="str">
        <f t="shared" si="13"/>
        <v>临街宽度及深度</v>
      </c>
      <c r="AA40" s="1810">
        <f t="shared" si="3"/>
        <v>1</v>
      </c>
      <c r="AB40" s="1810">
        <f t="shared" si="4"/>
        <v>1</v>
      </c>
      <c r="AC40" s="1810">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186"/>
      <c r="Q41" s="1809" t="str">
        <f t="shared" si="14"/>
        <v>宗地开发程度</v>
      </c>
      <c r="R41" s="769" t="s">
        <v>17</v>
      </c>
      <c r="S41" s="770">
        <f t="shared" si="10"/>
        <v>100</v>
      </c>
      <c r="T41" s="769" t="s">
        <v>17</v>
      </c>
      <c r="U41" s="770">
        <f t="shared" si="11"/>
        <v>100</v>
      </c>
      <c r="V41" s="769" t="s">
        <v>17</v>
      </c>
      <c r="W41" s="770">
        <f t="shared" si="12"/>
        <v>100</v>
      </c>
      <c r="X41" s="771"/>
      <c r="Y41" s="3186"/>
      <c r="Z41" s="55" t="str">
        <f t="shared" si="13"/>
        <v>宗地开发程度</v>
      </c>
      <c r="AA41" s="772">
        <f t="shared" si="3"/>
        <v>1</v>
      </c>
      <c r="AB41" s="772">
        <f t="shared" si="4"/>
        <v>1</v>
      </c>
      <c r="AC41" s="772">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86" t="s">
        <v>2519</v>
      </c>
      <c r="Q42" s="1809" t="str">
        <f t="shared" si="14"/>
        <v>工程地质条件</v>
      </c>
      <c r="R42" s="773" t="s">
        <v>17</v>
      </c>
      <c r="S42" s="774">
        <f t="shared" si="10"/>
        <v>100</v>
      </c>
      <c r="T42" s="773" t="s">
        <v>17</v>
      </c>
      <c r="U42" s="774">
        <f t="shared" si="11"/>
        <v>100</v>
      </c>
      <c r="V42" s="773" t="s">
        <v>17</v>
      </c>
      <c r="W42" s="774">
        <f t="shared" si="12"/>
        <v>100</v>
      </c>
      <c r="X42" s="1812"/>
      <c r="Y42" s="3186" t="s">
        <v>2519</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186"/>
      <c r="Q43" s="1809">
        <f t="shared" si="14"/>
        <v>111</v>
      </c>
      <c r="R43" s="773" t="s">
        <v>17</v>
      </c>
      <c r="S43" s="774">
        <f t="shared" si="10"/>
        <v>100</v>
      </c>
      <c r="T43" s="773" t="s">
        <v>17</v>
      </c>
      <c r="U43" s="774">
        <f t="shared" si="11"/>
        <v>100</v>
      </c>
      <c r="V43" s="773" t="s">
        <v>17</v>
      </c>
      <c r="W43" s="774">
        <f t="shared" si="12"/>
        <v>100</v>
      </c>
      <c r="X43" s="1812"/>
      <c r="Y43" s="3186"/>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186"/>
      <c r="Q44" s="1809">
        <f t="shared" si="14"/>
        <v>111</v>
      </c>
      <c r="R44" s="773" t="s">
        <v>17</v>
      </c>
      <c r="S44" s="774">
        <f t="shared" si="10"/>
        <v>100</v>
      </c>
      <c r="T44" s="773" t="s">
        <v>17</v>
      </c>
      <c r="U44" s="774">
        <f t="shared" si="11"/>
        <v>100</v>
      </c>
      <c r="V44" s="773" t="s">
        <v>17</v>
      </c>
      <c r="W44" s="774">
        <f t="shared" si="12"/>
        <v>100</v>
      </c>
      <c r="X44" s="1812"/>
      <c r="Y44" s="3186"/>
      <c r="Z44" s="1813">
        <f t="shared" si="13"/>
        <v>111</v>
      </c>
      <c r="AA44" s="1810">
        <f t="shared" si="3"/>
        <v>1</v>
      </c>
      <c r="AB44" s="1810">
        <f t="shared" si="4"/>
        <v>1</v>
      </c>
      <c r="AC44" s="1810">
        <f t="shared" si="5"/>
        <v>1</v>
      </c>
    </row>
    <row r="45" spans="1:29" s="471" customFormat="1" ht="15.75" thickBot="1">
      <c r="A45" s="468"/>
      <c r="B45" s="1386">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186"/>
      <c r="Q45" s="1809">
        <f t="shared" si="14"/>
        <v>111</v>
      </c>
      <c r="R45" s="776" t="s">
        <v>17</v>
      </c>
      <c r="S45" s="777">
        <f t="shared" si="10"/>
        <v>100</v>
      </c>
      <c r="T45" s="776" t="s">
        <v>17</v>
      </c>
      <c r="U45" s="777">
        <f t="shared" si="11"/>
        <v>100</v>
      </c>
      <c r="V45" s="776" t="s">
        <v>17</v>
      </c>
      <c r="W45" s="777">
        <f t="shared" si="12"/>
        <v>100</v>
      </c>
      <c r="X45" s="778"/>
      <c r="Y45" s="3186"/>
      <c r="Z45" s="779">
        <f t="shared" si="13"/>
        <v>111</v>
      </c>
      <c r="AA45" s="1810">
        <f t="shared" si="3"/>
        <v>1</v>
      </c>
      <c r="AB45" s="1810">
        <f t="shared" si="4"/>
        <v>1</v>
      </c>
      <c r="AC45" s="1810">
        <f t="shared" si="5"/>
        <v>1</v>
      </c>
    </row>
    <row r="46" spans="1:29" ht="15">
      <c r="A46" s="479" t="s">
        <v>2673</v>
      </c>
      <c r="B46" s="2701" t="s">
        <v>2709</v>
      </c>
      <c r="C46" s="681" t="s">
        <v>1</v>
      </c>
      <c r="D46" s="481"/>
      <c r="E46" s="482"/>
      <c r="F46" s="483"/>
      <c r="G46" s="484"/>
      <c r="H46" s="485"/>
      <c r="I46" s="482"/>
      <c r="J46" s="485"/>
      <c r="K46" s="782"/>
      <c r="L46" s="1142"/>
      <c r="M46" s="1143"/>
      <c r="N46" s="1130"/>
      <c r="O46" s="1143"/>
      <c r="P46" s="3179" t="str">
        <f>A46</f>
        <v>成交单价</v>
      </c>
      <c r="Q46" s="3179"/>
      <c r="R46" s="3210">
        <f>E46</f>
        <v>0</v>
      </c>
      <c r="S46" s="3210"/>
      <c r="T46" s="3210">
        <f>G46</f>
        <v>0</v>
      </c>
      <c r="U46" s="3210"/>
      <c r="V46" s="3210">
        <f>I46</f>
        <v>0</v>
      </c>
      <c r="W46" s="3210"/>
      <c r="X46" s="758"/>
      <c r="Y46" s="780"/>
      <c r="Z46" s="758"/>
      <c r="AA46" s="758"/>
      <c r="AB46" s="758"/>
      <c r="AC46" s="758"/>
    </row>
    <row r="47" spans="1:29" ht="15.75" thickBot="1">
      <c r="A47" s="486" t="s">
        <v>2622</v>
      </c>
      <c r="B47" s="682"/>
      <c r="C47" s="490" t="e">
        <f>R48</f>
        <v>#DIV/0!</v>
      </c>
      <c r="D47" s="489"/>
      <c r="E47" s="490" t="e">
        <f>R47</f>
        <v>#DIV/0!</v>
      </c>
      <c r="F47" s="491"/>
      <c r="G47" s="488" t="e">
        <f>T47</f>
        <v>#DIV/0!</v>
      </c>
      <c r="H47" s="489"/>
      <c r="I47" s="490" t="e">
        <f>V47</f>
        <v>#DIV/0!</v>
      </c>
      <c r="J47" s="489"/>
      <c r="K47" s="783"/>
      <c r="L47" s="1142"/>
      <c r="M47" s="1143"/>
      <c r="N47" s="1143"/>
      <c r="O47" s="1143"/>
      <c r="P47" s="3179" t="str">
        <f>A47</f>
        <v>比较价值（元/平方米）</v>
      </c>
      <c r="Q47" s="3179"/>
      <c r="R47" s="3269" t="e">
        <f>ROUND(PRODUCT(R46,AA7:AA45),0)</f>
        <v>#DIV/0!</v>
      </c>
      <c r="S47" s="3269"/>
      <c r="T47" s="3269" t="e">
        <f>ROUND(PRODUCT(T46,AB7:AB45),0)</f>
        <v>#DIV/0!</v>
      </c>
      <c r="U47" s="3269"/>
      <c r="V47" s="3269" t="e">
        <f>ROUND(PRODUCT(V46,AC7:AC45),0)</f>
        <v>#DIV/0!</v>
      </c>
      <c r="W47" s="3269"/>
      <c r="X47" s="758"/>
      <c r="Y47" s="758"/>
      <c r="Z47" s="758"/>
      <c r="AA47" s="758"/>
      <c r="AB47" s="758"/>
      <c r="AC47" s="758"/>
    </row>
    <row r="48" spans="1:29" ht="15.75" thickBot="1">
      <c r="A48" s="492" t="s">
        <v>2710</v>
      </c>
      <c r="B48" s="493"/>
      <c r="C48" s="494" t="e">
        <f>R48</f>
        <v>#DIV/0!</v>
      </c>
      <c r="D48" s="494"/>
      <c r="E48" s="494"/>
      <c r="F48" s="494"/>
      <c r="G48" s="494"/>
      <c r="H48" s="494"/>
      <c r="I48" s="494"/>
      <c r="J48" s="494"/>
      <c r="K48" s="784"/>
      <c r="L48" s="1142"/>
      <c r="M48" s="1143"/>
      <c r="N48" s="1143"/>
      <c r="O48" s="1143"/>
      <c r="P48" s="3176" t="str">
        <f>A48</f>
        <v>估价对象XX用房的比较价值（楼面单价，元/平方米）</v>
      </c>
      <c r="Q48" s="3177"/>
      <c r="R48" s="3270" t="e">
        <f>ROUND(AVERAGE(R47:V47),0)</f>
        <v>#DIV/0!</v>
      </c>
      <c r="S48" s="3270"/>
      <c r="T48" s="3270"/>
      <c r="U48" s="3270"/>
      <c r="V48" s="3270"/>
      <c r="W48" s="327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3" t="s">
        <v>2711</v>
      </c>
      <c r="B55" s="684" t="s">
        <v>2712</v>
      </c>
      <c r="C55" s="2702" t="s">
        <v>2713</v>
      </c>
      <c r="D55" s="2703" t="s">
        <v>2714</v>
      </c>
      <c r="E55" s="685" t="s">
        <v>2715</v>
      </c>
      <c r="F55" s="1106" t="s">
        <v>2716</v>
      </c>
      <c r="G55" s="3194" t="s">
        <v>2717</v>
      </c>
      <c r="H55" s="3271"/>
      <c r="I55" s="144" t="s">
        <v>2718</v>
      </c>
      <c r="J55" s="2704" t="str">
        <f>项目基本情况!F35</f>
        <v>四川省遂宁市</v>
      </c>
      <c r="K55" s="2705" t="s">
        <v>2719</v>
      </c>
      <c r="L55" s="1105"/>
      <c r="M55" s="1143"/>
      <c r="N55" s="1143"/>
      <c r="O55" s="1143"/>
    </row>
    <row r="56" spans="1:15" s="691" customFormat="1">
      <c r="A56" s="687" t="s">
        <v>2720</v>
      </c>
      <c r="B56" s="688" t="e">
        <f>C48</f>
        <v>#DIV/0!</v>
      </c>
      <c r="C56" s="689">
        <v>1</v>
      </c>
      <c r="D56" s="1162">
        <v>1</v>
      </c>
      <c r="E56" s="689">
        <f>'数据-汇总表'!E8+'数据-汇总表'!E9</f>
        <v>8982.83</v>
      </c>
      <c r="F56" s="1102" t="e">
        <f t="shared" ref="F56:F65" si="15">ROUND(B56*E56/10000,0)</f>
        <v>#DIV/0!</v>
      </c>
      <c r="G56" s="3190"/>
      <c r="H56" s="3179"/>
      <c r="I56" s="1107">
        <v>1</v>
      </c>
      <c r="J56" s="1110">
        <v>1</v>
      </c>
      <c r="K56" s="1144"/>
      <c r="L56" s="940"/>
      <c r="M56" s="940"/>
      <c r="N56" s="940"/>
      <c r="O56" s="940"/>
    </row>
    <row r="57" spans="1:15" s="691" customFormat="1">
      <c r="A57" s="692" t="s">
        <v>2721</v>
      </c>
      <c r="B57" s="262" t="e">
        <f>ROUND($C$48*C57*D57,0)</f>
        <v>#DIV/0!</v>
      </c>
      <c r="C57" s="200">
        <f t="shared" ref="C57:C65" si="16">IF($C$55="北京市系数",I57,J57)</f>
        <v>0</v>
      </c>
      <c r="D57" s="1163">
        <v>0.25</v>
      </c>
      <c r="E57" s="693"/>
      <c r="F57" s="1102" t="e">
        <f t="shared" si="15"/>
        <v>#DIV/0!</v>
      </c>
      <c r="G57" s="3272" t="s">
        <v>2722</v>
      </c>
      <c r="H57" s="1103">
        <f>项目基本情况!B37</f>
        <v>0</v>
      </c>
      <c r="I57" s="1107">
        <f>SUMIF(修正!A45:A56,H57,修正!B45:B56)</f>
        <v>0</v>
      </c>
      <c r="J57" s="1111"/>
      <c r="K57" s="1143"/>
      <c r="L57" s="940"/>
      <c r="M57" s="940"/>
      <c r="N57" s="940"/>
      <c r="O57" s="940"/>
    </row>
    <row r="58" spans="1:15" s="691" customFormat="1">
      <c r="A58" s="692" t="s">
        <v>2723</v>
      </c>
      <c r="B58" s="262" t="e">
        <f t="shared" ref="B58:B65" si="17">ROUND($C$48*C58*D58,0)</f>
        <v>#DIV/0!</v>
      </c>
      <c r="C58" s="200">
        <f t="shared" si="16"/>
        <v>0</v>
      </c>
      <c r="D58" s="1163">
        <v>0.25</v>
      </c>
      <c r="E58" s="693"/>
      <c r="F58" s="1102" t="e">
        <f t="shared" si="15"/>
        <v>#DIV/0!</v>
      </c>
      <c r="G58" s="3272"/>
      <c r="H58" s="1103">
        <f>项目基本情况!B37</f>
        <v>0</v>
      </c>
      <c r="I58" s="1107">
        <f>SUMIF(修正!A45:A56,H58,修正!C45:C56)</f>
        <v>0</v>
      </c>
      <c r="J58" s="1111"/>
      <c r="K58" s="1144"/>
      <c r="L58" s="940"/>
      <c r="M58" s="940"/>
      <c r="N58" s="940"/>
      <c r="O58" s="940"/>
    </row>
    <row r="59" spans="1:15" s="691" customFormat="1">
      <c r="A59" s="692" t="s">
        <v>2724</v>
      </c>
      <c r="B59" s="262" t="e">
        <f t="shared" si="17"/>
        <v>#DIV/0!</v>
      </c>
      <c r="C59" s="200">
        <f t="shared" si="16"/>
        <v>0</v>
      </c>
      <c r="D59" s="1163">
        <v>0.25</v>
      </c>
      <c r="E59" s="693"/>
      <c r="F59" s="1102" t="e">
        <f t="shared" si="15"/>
        <v>#DIV/0!</v>
      </c>
      <c r="G59" s="3272"/>
      <c r="H59" s="1103">
        <f>项目基本情况!B37</f>
        <v>0</v>
      </c>
      <c r="I59" s="1107">
        <f>SUMIF(修正!A45:A56,H59,修正!D45:D56)</f>
        <v>0</v>
      </c>
      <c r="J59" s="1111"/>
      <c r="K59" s="1143"/>
      <c r="L59" s="940"/>
      <c r="M59" s="940"/>
      <c r="N59" s="940"/>
      <c r="O59" s="940"/>
    </row>
    <row r="60" spans="1:15" s="691" customFormat="1">
      <c r="A60" s="692" t="s">
        <v>2725</v>
      </c>
      <c r="B60" s="262" t="e">
        <f t="shared" si="17"/>
        <v>#DIV/0!</v>
      </c>
      <c r="C60" s="200">
        <f t="shared" si="16"/>
        <v>0</v>
      </c>
      <c r="D60" s="1163">
        <v>0.25</v>
      </c>
      <c r="E60" s="693"/>
      <c r="F60" s="1102" t="e">
        <f t="shared" si="15"/>
        <v>#DIV/0!</v>
      </c>
      <c r="G60" s="3272"/>
      <c r="H60" s="1103">
        <f>项目基本情况!B37</f>
        <v>0</v>
      </c>
      <c r="I60" s="1107">
        <f>SUMIF(修正!A45:A56,H60,修正!E45:E56)</f>
        <v>0</v>
      </c>
      <c r="J60" s="1111"/>
      <c r="K60" s="1144"/>
      <c r="L60" s="940"/>
      <c r="M60" s="940"/>
      <c r="N60" s="940"/>
      <c r="O60" s="940"/>
    </row>
    <row r="61" spans="1:15" s="691" customFormat="1">
      <c r="A61" s="692" t="s">
        <v>2726</v>
      </c>
      <c r="B61" s="262" t="e">
        <f t="shared" si="17"/>
        <v>#DIV/0!</v>
      </c>
      <c r="C61" s="200">
        <f t="shared" si="16"/>
        <v>0</v>
      </c>
      <c r="D61" s="1163">
        <v>0.25</v>
      </c>
      <c r="E61" s="261">
        <f>'数据-汇总表'!E11</f>
        <v>0</v>
      </c>
      <c r="F61" s="1102" t="e">
        <f t="shared" si="15"/>
        <v>#DIV/0!</v>
      </c>
      <c r="G61" s="2706" t="s">
        <v>2727</v>
      </c>
      <c r="H61" s="1103">
        <f>项目基本情况!C37</f>
        <v>0</v>
      </c>
      <c r="I61" s="1107">
        <f>SUMIF(修正!A45:A56,H61,修正!F45:F56)</f>
        <v>0</v>
      </c>
      <c r="J61" s="1111"/>
      <c r="K61" s="1143"/>
      <c r="L61" s="940"/>
      <c r="M61" s="940"/>
      <c r="N61" s="940"/>
      <c r="O61" s="940"/>
    </row>
    <row r="62" spans="1:15" s="691" customFormat="1">
      <c r="A62" s="692"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2730</v>
      </c>
      <c r="B63" s="262" t="e">
        <f t="shared" si="17"/>
        <v>#DIV/0!</v>
      </c>
      <c r="C63" s="200">
        <f t="shared" si="16"/>
        <v>0</v>
      </c>
      <c r="D63" s="1163">
        <v>0.25</v>
      </c>
      <c r="E63" s="261">
        <f>'数据-汇总表'!E13</f>
        <v>0</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2732</v>
      </c>
      <c r="B64" s="262" t="e">
        <f t="shared" si="17"/>
        <v>#DIV/0!</v>
      </c>
      <c r="C64" s="200">
        <f t="shared" si="16"/>
        <v>0</v>
      </c>
      <c r="D64" s="1163">
        <v>0.25</v>
      </c>
      <c r="E64" s="261">
        <f>'数据-汇总表'!E14</f>
        <v>0</v>
      </c>
      <c r="F64" s="1102" t="e">
        <f t="shared" si="15"/>
        <v>#DIV/0!</v>
      </c>
      <c r="G64" s="2706" t="s">
        <v>2722</v>
      </c>
      <c r="H64" s="1103">
        <f>项目基本情况!B37</f>
        <v>0</v>
      </c>
      <c r="I64" s="1107">
        <f>SUMIF(修正!A45:A56,H64,修正!H45:H56)</f>
        <v>0</v>
      </c>
      <c r="J64" s="1111"/>
      <c r="K64" s="1144"/>
      <c r="L64" s="940"/>
      <c r="M64" s="940"/>
      <c r="N64" s="940"/>
      <c r="O64" s="940"/>
    </row>
    <row r="65" spans="1:17" s="691" customFormat="1" ht="15" thickBot="1">
      <c r="A65" s="692" t="s">
        <v>2733</v>
      </c>
      <c r="B65" s="262" t="e">
        <f t="shared" si="17"/>
        <v>#DIV/0!</v>
      </c>
      <c r="C65" s="200">
        <f t="shared" si="16"/>
        <v>0</v>
      </c>
      <c r="D65" s="1163">
        <v>0.25</v>
      </c>
      <c r="E65" s="261">
        <f>'数据-汇总表'!E15</f>
        <v>0</v>
      </c>
      <c r="F65" s="1102" t="e">
        <f t="shared" si="15"/>
        <v>#DIV/0!</v>
      </c>
      <c r="G65" s="2707" t="s">
        <v>2727</v>
      </c>
      <c r="H65" s="1113">
        <f>项目基本情况!C37</f>
        <v>0</v>
      </c>
      <c r="I65" s="1109">
        <f>SUMIF(修正!A45:A56,H65,修正!H45:H56)</f>
        <v>0</v>
      </c>
      <c r="J65" s="1112"/>
      <c r="K65" s="1143"/>
      <c r="L65" s="940"/>
      <c r="M65" s="940"/>
      <c r="N65" s="940"/>
      <c r="O65" s="940"/>
    </row>
    <row r="66" spans="1:17" s="691" customFormat="1" ht="13.5" thickBot="1">
      <c r="A66" s="694" t="s">
        <v>2734</v>
      </c>
      <c r="B66" s="695" t="s">
        <v>28</v>
      </c>
      <c r="C66" s="695" t="s">
        <v>29</v>
      </c>
      <c r="D66" s="695" t="s">
        <v>1025</v>
      </c>
      <c r="E66" s="695">
        <f>IF(B46="楼面地价",SUM(E56:E65),'数据-汇总表'!D3)</f>
        <v>8982.83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2627</v>
      </c>
      <c r="B69" s="758"/>
      <c r="C69" s="763"/>
      <c r="D69" s="763"/>
      <c r="E69" s="763"/>
      <c r="F69" s="764"/>
      <c r="G69" s="764"/>
      <c r="H69" s="763"/>
      <c r="I69" s="763"/>
      <c r="J69" s="1158"/>
      <c r="K69" s="1159"/>
      <c r="L69" s="1160"/>
      <c r="M69" s="1158"/>
      <c r="N69" s="1158"/>
      <c r="O69" s="1158"/>
      <c r="P69" s="503"/>
      <c r="Q69" s="504"/>
    </row>
    <row r="70" spans="1:17" s="508" customFormat="1" ht="15">
      <c r="A70" s="2708" t="s">
        <v>2735</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2736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4" t="s">
        <v>2599</v>
      </c>
      <c r="D4" s="3195"/>
      <c r="E4" s="3196" t="s">
        <v>2600</v>
      </c>
      <c r="F4" s="3197"/>
      <c r="G4" s="3194" t="s">
        <v>2601</v>
      </c>
      <c r="H4" s="3195"/>
      <c r="I4" s="3194" t="s">
        <v>2602</v>
      </c>
      <c r="J4" s="3195"/>
      <c r="K4" s="610" t="s">
        <v>2603</v>
      </c>
      <c r="L4" s="1129"/>
      <c r="M4" s="1130"/>
      <c r="N4" s="1130"/>
      <c r="O4" s="1130"/>
      <c r="P4" s="3198" t="s">
        <v>2604</v>
      </c>
      <c r="Q4" s="3199"/>
      <c r="R4" s="3204" t="s">
        <v>2600</v>
      </c>
      <c r="S4" s="3205"/>
      <c r="T4" s="3204" t="s">
        <v>2601</v>
      </c>
      <c r="U4" s="3205"/>
      <c r="V4" s="3210" t="s">
        <v>2602</v>
      </c>
      <c r="W4" s="3210"/>
      <c r="X4" s="1812"/>
      <c r="Y4" s="3204" t="s">
        <v>2604</v>
      </c>
      <c r="Z4" s="3205"/>
      <c r="AA4" s="3191" t="s">
        <v>2600</v>
      </c>
      <c r="AB4" s="3192" t="s">
        <v>2601</v>
      </c>
      <c r="AC4" s="3191" t="s">
        <v>2602</v>
      </c>
    </row>
    <row r="5" spans="1:29" ht="15">
      <c r="A5" s="404"/>
      <c r="B5" s="405"/>
      <c r="C5" s="3218" t="s">
        <v>2496</v>
      </c>
      <c r="D5" s="3214"/>
      <c r="E5" s="3267" t="s">
        <v>2497</v>
      </c>
      <c r="F5" s="3222"/>
      <c r="G5" s="3218" t="s">
        <v>2498</v>
      </c>
      <c r="H5" s="3214"/>
      <c r="I5" s="3218" t="s">
        <v>2499</v>
      </c>
      <c r="J5" s="3214"/>
      <c r="K5" s="610"/>
      <c r="L5" s="1129"/>
      <c r="M5" s="1130"/>
      <c r="N5" s="1130"/>
      <c r="O5" s="1130"/>
      <c r="P5" s="3200"/>
      <c r="Q5" s="3201"/>
      <c r="R5" s="3206"/>
      <c r="S5" s="3207"/>
      <c r="T5" s="3206"/>
      <c r="U5" s="3207"/>
      <c r="V5" s="3210"/>
      <c r="W5" s="3210"/>
      <c r="X5" s="1812"/>
      <c r="Y5" s="3206"/>
      <c r="Z5" s="3207"/>
      <c r="AA5" s="3192"/>
      <c r="AB5" s="3192"/>
      <c r="AC5" s="3192"/>
    </row>
    <row r="6" spans="1:29" ht="15.75" thickBot="1">
      <c r="A6" s="406"/>
      <c r="B6" s="407"/>
      <c r="C6" s="3273" t="s">
        <v>2750</v>
      </c>
      <c r="D6" s="3274"/>
      <c r="E6" s="3275" t="s">
        <v>2750</v>
      </c>
      <c r="F6" s="3276"/>
      <c r="G6" s="3273" t="s">
        <v>2750</v>
      </c>
      <c r="H6" s="3274"/>
      <c r="I6" s="3273" t="s">
        <v>2750</v>
      </c>
      <c r="J6" s="3274"/>
      <c r="K6" s="610" t="s">
        <v>2501</v>
      </c>
      <c r="L6" s="1129"/>
      <c r="M6" s="1130"/>
      <c r="N6" s="1130"/>
      <c r="O6" s="1130"/>
      <c r="P6" s="3202"/>
      <c r="Q6" s="3203"/>
      <c r="R6" s="3206"/>
      <c r="S6" s="3207"/>
      <c r="T6" s="3208"/>
      <c r="U6" s="3209"/>
      <c r="V6" s="3210"/>
      <c r="W6" s="3210"/>
      <c r="X6" s="1812"/>
      <c r="Y6" s="3208"/>
      <c r="Z6" s="3209"/>
      <c r="AA6" s="3193"/>
      <c r="AB6" s="3193"/>
      <c r="AC6" s="3193"/>
    </row>
    <row r="7" spans="1:29" s="117" customFormat="1" ht="15.75" thickBot="1">
      <c r="A7" s="408" t="s">
        <v>2502</v>
      </c>
      <c r="B7" s="409"/>
      <c r="C7" s="410">
        <f>'数据-取费表'!B2</f>
        <v>43641</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215" t="s">
        <v>2503</v>
      </c>
      <c r="Q7" s="3217"/>
      <c r="R7" s="769" t="s">
        <v>17</v>
      </c>
      <c r="S7" s="770">
        <f t="shared" ref="S7:S15" si="0">F7</f>
        <v>0</v>
      </c>
      <c r="T7" s="769" t="s">
        <v>17</v>
      </c>
      <c r="U7" s="770">
        <f t="shared" ref="U7:U15" si="1">H7</f>
        <v>0</v>
      </c>
      <c r="V7" s="769" t="s">
        <v>17</v>
      </c>
      <c r="W7" s="770">
        <f t="shared" ref="W7:W15" si="2">J7</f>
        <v>0</v>
      </c>
      <c r="X7" s="771"/>
      <c r="Y7" s="3215" t="s">
        <v>2503</v>
      </c>
      <c r="Z7" s="3216"/>
      <c r="AA7" s="772" t="e">
        <f>D7/F7</f>
        <v>#DIV/0!</v>
      </c>
      <c r="AB7" s="772" t="e">
        <f>D7/H7</f>
        <v>#DIV/0!</v>
      </c>
      <c r="AC7" s="772"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5" t="s">
        <v>2506</v>
      </c>
      <c r="Q8" s="3216"/>
      <c r="R8" s="769" t="s">
        <v>17</v>
      </c>
      <c r="S8" s="770">
        <f t="shared" si="0"/>
        <v>0</v>
      </c>
      <c r="T8" s="769" t="s">
        <v>17</v>
      </c>
      <c r="U8" s="770">
        <f t="shared" si="1"/>
        <v>0</v>
      </c>
      <c r="V8" s="769" t="s">
        <v>17</v>
      </c>
      <c r="W8" s="770">
        <f t="shared" si="2"/>
        <v>0</v>
      </c>
      <c r="X8" s="771"/>
      <c r="Y8" s="3215" t="s">
        <v>2506</v>
      </c>
      <c r="Z8" s="3216"/>
      <c r="AA8" s="772" t="e">
        <f t="shared" ref="AA8:AA40" si="3">D8/F8</f>
        <v>#DIV/0!</v>
      </c>
      <c r="AB8" s="772" t="e">
        <f t="shared" ref="AB8:AB40" si="4">D8/H8</f>
        <v>#DIV/0!</v>
      </c>
      <c r="AC8" s="772"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79" t="s">
        <v>2509</v>
      </c>
      <c r="Q9" s="1794" t="str">
        <f t="shared" ref="Q9:Q15" si="6">B9</f>
        <v>用途</v>
      </c>
      <c r="R9" s="769" t="s">
        <v>17</v>
      </c>
      <c r="S9" s="770">
        <f t="shared" si="0"/>
        <v>100</v>
      </c>
      <c r="T9" s="769" t="s">
        <v>17</v>
      </c>
      <c r="U9" s="770">
        <f t="shared" si="1"/>
        <v>100</v>
      </c>
      <c r="V9" s="769" t="s">
        <v>17</v>
      </c>
      <c r="W9" s="770">
        <f t="shared" si="2"/>
        <v>100</v>
      </c>
      <c r="X9" s="771"/>
      <c r="Y9" s="3031" t="s">
        <v>2510</v>
      </c>
      <c r="Z9" s="55" t="str">
        <f t="shared" ref="Z9:Z15" si="7">Q9</f>
        <v>用途</v>
      </c>
      <c r="AA9" s="772">
        <f t="shared" si="3"/>
        <v>1</v>
      </c>
      <c r="AB9" s="772">
        <f t="shared" si="4"/>
        <v>1</v>
      </c>
      <c r="AC9" s="772">
        <f t="shared" si="5"/>
        <v>1</v>
      </c>
    </row>
    <row r="10" spans="1:29" s="427" customFormat="1" ht="27">
      <c r="A10" s="421"/>
      <c r="B10" s="422" t="s">
        <v>2511</v>
      </c>
      <c r="C10" s="432"/>
      <c r="D10" s="136">
        <v>100</v>
      </c>
      <c r="E10" s="432"/>
      <c r="F10" s="136">
        <f>ROUND(100/'数据-取费表'!G16,0)</f>
        <v>100</v>
      </c>
      <c r="G10" s="432"/>
      <c r="H10" s="136">
        <f>ROUND(100/'数据-取费表'!G16,0)</f>
        <v>100</v>
      </c>
      <c r="I10" s="432"/>
      <c r="J10" s="136">
        <f>ROUND(100/'数据-取费表'!G16,0)</f>
        <v>100</v>
      </c>
      <c r="K10" s="671"/>
      <c r="L10" s="1134"/>
      <c r="M10" s="1135"/>
      <c r="N10" s="1135"/>
      <c r="O10" s="1136"/>
      <c r="P10" s="3179"/>
      <c r="Q10" s="1794"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179"/>
      <c r="Q11" s="1794"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179"/>
      <c r="Q12" s="1794">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179"/>
      <c r="Q13" s="1794">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179"/>
      <c r="Q14" s="1794">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15">
      <c r="A15" s="440" t="s">
        <v>2513</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181" t="s">
        <v>2514</v>
      </c>
      <c r="Q15" s="1809" t="str">
        <f t="shared" si="6"/>
        <v>产业集聚程度</v>
      </c>
      <c r="R15" s="773" t="s">
        <v>17</v>
      </c>
      <c r="S15" s="774">
        <f t="shared" si="0"/>
        <v>100</v>
      </c>
      <c r="T15" s="773" t="s">
        <v>17</v>
      </c>
      <c r="U15" s="774">
        <f t="shared" si="1"/>
        <v>100</v>
      </c>
      <c r="V15" s="773" t="s">
        <v>17</v>
      </c>
      <c r="W15" s="774">
        <f t="shared" si="2"/>
        <v>100</v>
      </c>
      <c r="X15" s="1812"/>
      <c r="Y15" s="3181" t="s">
        <v>2514</v>
      </c>
      <c r="Z15" s="1813" t="str">
        <f t="shared" si="7"/>
        <v>产业集聚程度</v>
      </c>
      <c r="AA15" s="1810">
        <f t="shared" si="3"/>
        <v>1</v>
      </c>
      <c r="AB15" s="1810">
        <f t="shared" si="4"/>
        <v>1</v>
      </c>
      <c r="AC15" s="1810">
        <f t="shared" si="5"/>
        <v>1</v>
      </c>
    </row>
    <row r="16" spans="1:29" ht="15">
      <c r="A16" s="428"/>
      <c r="B16" s="629"/>
      <c r="C16" s="447"/>
      <c r="D16" s="448"/>
      <c r="E16" s="2608"/>
      <c r="F16" s="448"/>
      <c r="G16" s="2608"/>
      <c r="H16" s="450"/>
      <c r="I16" s="2608"/>
      <c r="J16" s="448"/>
      <c r="K16" s="671"/>
      <c r="L16" s="1139"/>
      <c r="M16" s="1130"/>
      <c r="N16" s="1130"/>
      <c r="O16" s="1138"/>
      <c r="P16" s="3182"/>
      <c r="Q16" s="1809"/>
      <c r="R16" s="773"/>
      <c r="S16" s="774"/>
      <c r="T16" s="773"/>
      <c r="U16" s="774"/>
      <c r="V16" s="773"/>
      <c r="W16" s="774"/>
      <c r="X16" s="1812"/>
      <c r="Y16" s="3182"/>
      <c r="Z16" s="1813"/>
      <c r="AA16" s="1810">
        <v>1</v>
      </c>
      <c r="AB16" s="1810">
        <v>1</v>
      </c>
      <c r="AC16" s="1810">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182"/>
      <c r="Q17" s="1809" t="str">
        <f>B17</f>
        <v>交通便捷度</v>
      </c>
      <c r="R17" s="773" t="s">
        <v>17</v>
      </c>
      <c r="S17" s="774">
        <f>F17</f>
        <v>100</v>
      </c>
      <c r="T17" s="773" t="s">
        <v>17</v>
      </c>
      <c r="U17" s="774">
        <f>H17</f>
        <v>100</v>
      </c>
      <c r="V17" s="773" t="s">
        <v>17</v>
      </c>
      <c r="W17" s="774">
        <f>J17</f>
        <v>100</v>
      </c>
      <c r="X17" s="1812"/>
      <c r="Y17" s="3182"/>
      <c r="Z17" s="1813" t="str">
        <f>Q17</f>
        <v>交通便捷度</v>
      </c>
      <c r="AA17" s="1810">
        <f t="shared" si="3"/>
        <v>1</v>
      </c>
      <c r="AB17" s="1810">
        <f t="shared" si="4"/>
        <v>1</v>
      </c>
      <c r="AC17" s="1810">
        <f t="shared" si="5"/>
        <v>1</v>
      </c>
    </row>
    <row r="18" spans="1:29" ht="15">
      <c r="A18" s="428"/>
      <c r="B18" s="631"/>
      <c r="C18" s="447"/>
      <c r="D18" s="448"/>
      <c r="E18" s="2602"/>
      <c r="F18" s="448"/>
      <c r="G18" s="2602"/>
      <c r="H18" s="448"/>
      <c r="I18" s="2601"/>
      <c r="J18" s="448"/>
      <c r="K18" s="671"/>
      <c r="L18" s="1139"/>
      <c r="M18" s="1130"/>
      <c r="N18" s="1130"/>
      <c r="O18" s="1138"/>
      <c r="P18" s="3182"/>
      <c r="Q18" s="1809"/>
      <c r="R18" s="773"/>
      <c r="S18" s="774"/>
      <c r="T18" s="773"/>
      <c r="U18" s="774"/>
      <c r="V18" s="773"/>
      <c r="W18" s="774"/>
      <c r="X18" s="1812"/>
      <c r="Y18" s="3182"/>
      <c r="Z18" s="1813"/>
      <c r="AA18" s="1810">
        <v>1</v>
      </c>
      <c r="AB18" s="1810">
        <v>1</v>
      </c>
      <c r="AC18" s="1810">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182"/>
      <c r="Q19" s="1809" t="str">
        <f t="shared" ref="Q19:Q33" si="8">B19</f>
        <v>区域土地利用方向</v>
      </c>
      <c r="R19" s="773" t="s">
        <v>17</v>
      </c>
      <c r="S19" s="774">
        <f>F19</f>
        <v>100</v>
      </c>
      <c r="T19" s="773" t="s">
        <v>17</v>
      </c>
      <c r="U19" s="774">
        <f>H19</f>
        <v>100</v>
      </c>
      <c r="V19" s="773" t="s">
        <v>17</v>
      </c>
      <c r="W19" s="774">
        <f>J19</f>
        <v>100</v>
      </c>
      <c r="X19" s="1812"/>
      <c r="Y19" s="3182"/>
      <c r="Z19" s="1813" t="str">
        <f>Q19</f>
        <v>区域土地利用方向</v>
      </c>
      <c r="AA19" s="1810">
        <f t="shared" si="3"/>
        <v>1</v>
      </c>
      <c r="AB19" s="1810">
        <f t="shared" si="4"/>
        <v>1</v>
      </c>
      <c r="AC19" s="1810">
        <f t="shared" si="5"/>
        <v>1</v>
      </c>
    </row>
    <row r="20" spans="1:29" ht="15">
      <c r="A20" s="404"/>
      <c r="B20" s="631"/>
      <c r="C20" s="447"/>
      <c r="D20" s="448"/>
      <c r="E20" s="2602"/>
      <c r="F20" s="448"/>
      <c r="G20" s="2602"/>
      <c r="H20" s="448"/>
      <c r="I20" s="2602"/>
      <c r="J20" s="448"/>
      <c r="K20" s="811"/>
      <c r="L20" s="1139"/>
      <c r="M20" s="1130"/>
      <c r="N20" s="1130"/>
      <c r="O20" s="1138"/>
      <c r="P20" s="3182"/>
      <c r="Q20" s="1809"/>
      <c r="R20" s="773"/>
      <c r="S20" s="774"/>
      <c r="T20" s="773"/>
      <c r="U20" s="774"/>
      <c r="V20" s="773"/>
      <c r="W20" s="774"/>
      <c r="X20" s="1812"/>
      <c r="Y20" s="3182"/>
      <c r="Z20" s="1813"/>
      <c r="AA20" s="1810"/>
      <c r="AB20" s="1810"/>
      <c r="AC20" s="1810"/>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182"/>
      <c r="Q21" s="1809" t="str">
        <f t="shared" si="8"/>
        <v>环境状况</v>
      </c>
      <c r="R21" s="773" t="s">
        <v>17</v>
      </c>
      <c r="S21" s="774">
        <f>F21</f>
        <v>100</v>
      </c>
      <c r="T21" s="773" t="s">
        <v>17</v>
      </c>
      <c r="U21" s="774">
        <f>H21</f>
        <v>100</v>
      </c>
      <c r="V21" s="773" t="s">
        <v>17</v>
      </c>
      <c r="W21" s="774">
        <f>J21</f>
        <v>100</v>
      </c>
      <c r="X21" s="1812"/>
      <c r="Y21" s="3182"/>
      <c r="Z21" s="1813" t="str">
        <f>Q21</f>
        <v>环境状况</v>
      </c>
      <c r="AA21" s="1810">
        <f t="shared" si="3"/>
        <v>1</v>
      </c>
      <c r="AB21" s="1810">
        <f t="shared" si="4"/>
        <v>1</v>
      </c>
      <c r="AC21" s="1810">
        <f t="shared" si="5"/>
        <v>1</v>
      </c>
    </row>
    <row r="22" spans="1:29" ht="15">
      <c r="A22" s="404"/>
      <c r="B22" s="631"/>
      <c r="C22" s="447"/>
      <c r="D22" s="448"/>
      <c r="E22" s="2608"/>
      <c r="F22" s="448"/>
      <c r="G22" s="2608"/>
      <c r="H22" s="448"/>
      <c r="I22" s="447"/>
      <c r="J22" s="448"/>
      <c r="K22" s="671"/>
      <c r="L22" s="1139"/>
      <c r="M22" s="1130"/>
      <c r="N22" s="1130"/>
      <c r="O22" s="1138"/>
      <c r="P22" s="3182"/>
      <c r="Q22" s="1809"/>
      <c r="R22" s="773"/>
      <c r="S22" s="774"/>
      <c r="T22" s="773"/>
      <c r="U22" s="774"/>
      <c r="V22" s="773"/>
      <c r="W22" s="774"/>
      <c r="X22" s="1812"/>
      <c r="Y22" s="3182"/>
      <c r="Z22" s="1813"/>
      <c r="AA22" s="1810">
        <v>1</v>
      </c>
      <c r="AB22" s="1810">
        <v>1</v>
      </c>
      <c r="AC22" s="1810">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182"/>
      <c r="Q23" s="1794" t="str">
        <f t="shared" si="8"/>
        <v>公共配套设施</v>
      </c>
      <c r="R23" s="769" t="s">
        <v>17</v>
      </c>
      <c r="S23" s="770">
        <f>F23</f>
        <v>100</v>
      </c>
      <c r="T23" s="769" t="s">
        <v>17</v>
      </c>
      <c r="U23" s="770">
        <f>H23</f>
        <v>100</v>
      </c>
      <c r="V23" s="769" t="s">
        <v>17</v>
      </c>
      <c r="W23" s="770">
        <f>J23</f>
        <v>100</v>
      </c>
      <c r="X23" s="771"/>
      <c r="Y23" s="3182"/>
      <c r="Z23" s="55" t="str">
        <f>Q23</f>
        <v>公共配套设施</v>
      </c>
      <c r="AA23" s="1810">
        <f>D23/F23</f>
        <v>1</v>
      </c>
      <c r="AB23" s="1810">
        <f>D23/H23</f>
        <v>1</v>
      </c>
      <c r="AC23" s="1810">
        <f>D23/J23</f>
        <v>1</v>
      </c>
    </row>
    <row r="24" spans="1:29" s="117" customFormat="1" ht="15">
      <c r="A24" s="648"/>
      <c r="B24" s="631"/>
      <c r="C24" s="2697"/>
      <c r="D24" s="448"/>
      <c r="E24" s="2608"/>
      <c r="F24" s="448"/>
      <c r="G24" s="2608"/>
      <c r="H24" s="448"/>
      <c r="I24" s="447"/>
      <c r="J24" s="448"/>
      <c r="K24" s="671"/>
      <c r="L24" s="1131"/>
      <c r="M24" s="1132"/>
      <c r="N24" s="1132"/>
      <c r="O24" s="1133"/>
      <c r="P24" s="3182"/>
      <c r="Q24" s="1794"/>
      <c r="R24" s="769"/>
      <c r="S24" s="770"/>
      <c r="T24" s="769"/>
      <c r="U24" s="770"/>
      <c r="V24" s="769"/>
      <c r="W24" s="770"/>
      <c r="X24" s="771"/>
      <c r="Y24" s="3182"/>
      <c r="Z24" s="55"/>
      <c r="AA24" s="772">
        <v>1</v>
      </c>
      <c r="AB24" s="772">
        <v>1</v>
      </c>
      <c r="AC24" s="772">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182"/>
      <c r="Q25" s="1794" t="str">
        <f t="shared" ref="Q25" si="9">B25</f>
        <v>基础设施水平</v>
      </c>
      <c r="R25" s="769" t="s">
        <v>17</v>
      </c>
      <c r="S25" s="770">
        <f>F25</f>
        <v>100</v>
      </c>
      <c r="T25" s="769" t="s">
        <v>17</v>
      </c>
      <c r="U25" s="770">
        <f>H25</f>
        <v>100</v>
      </c>
      <c r="V25" s="769" t="s">
        <v>17</v>
      </c>
      <c r="W25" s="770">
        <f>J25</f>
        <v>100</v>
      </c>
      <c r="X25" s="771"/>
      <c r="Y25" s="3182"/>
      <c r="Z25" s="55" t="str">
        <f>Q25</f>
        <v>基础设施水平</v>
      </c>
      <c r="AA25" s="1810">
        <f>D25/F25</f>
        <v>1</v>
      </c>
      <c r="AB25" s="1810">
        <f>D25/H25</f>
        <v>1</v>
      </c>
      <c r="AC25" s="1810">
        <f>D25/J25</f>
        <v>1</v>
      </c>
    </row>
    <row r="26" spans="1:29" s="117" customFormat="1" ht="15">
      <c r="A26" s="648"/>
      <c r="B26" s="631"/>
      <c r="C26" s="2697"/>
      <c r="D26" s="448"/>
      <c r="E26" s="2698"/>
      <c r="F26" s="448"/>
      <c r="G26" s="2698"/>
      <c r="H26" s="448"/>
      <c r="I26" s="2698"/>
      <c r="J26" s="448"/>
      <c r="K26" s="671"/>
      <c r="L26" s="1131"/>
      <c r="M26" s="1132"/>
      <c r="N26" s="1132"/>
      <c r="O26" s="1133"/>
      <c r="P26" s="3182"/>
      <c r="Q26" s="1794"/>
      <c r="R26" s="769"/>
      <c r="S26" s="770"/>
      <c r="T26" s="769"/>
      <c r="U26" s="770"/>
      <c r="V26" s="769"/>
      <c r="W26" s="770"/>
      <c r="X26" s="771"/>
      <c r="Y26" s="3182"/>
      <c r="Z26" s="55"/>
      <c r="AA26" s="772">
        <v>1</v>
      </c>
      <c r="AB26" s="772">
        <v>1</v>
      </c>
      <c r="AC26" s="772">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18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2"/>
      <c r="Z27" s="1813" t="str">
        <f t="shared" ref="Z27:Z40" si="13">Q27</f>
        <v>临街状况</v>
      </c>
      <c r="AA27" s="1810">
        <f t="shared" si="3"/>
        <v>1</v>
      </c>
      <c r="AB27" s="1810">
        <f t="shared" si="4"/>
        <v>1</v>
      </c>
      <c r="AC27" s="1810">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182"/>
      <c r="Q28" s="1809" t="str">
        <f t="shared" si="8"/>
        <v>毗邻道路的类型与等级</v>
      </c>
      <c r="R28" s="773" t="s">
        <v>17</v>
      </c>
      <c r="S28" s="774">
        <f t="shared" si="10"/>
        <v>100</v>
      </c>
      <c r="T28" s="773" t="s">
        <v>17</v>
      </c>
      <c r="U28" s="774">
        <f t="shared" si="11"/>
        <v>100</v>
      </c>
      <c r="V28" s="773" t="s">
        <v>17</v>
      </c>
      <c r="W28" s="774">
        <f t="shared" si="12"/>
        <v>100</v>
      </c>
      <c r="X28" s="1812"/>
      <c r="Y28" s="3182"/>
      <c r="Z28" s="1813" t="str">
        <f t="shared" si="13"/>
        <v>毗邻道路的类型与等级</v>
      </c>
      <c r="AA28" s="1810">
        <f t="shared" si="3"/>
        <v>1</v>
      </c>
      <c r="AB28" s="1810">
        <f t="shared" si="4"/>
        <v>1</v>
      </c>
      <c r="AC28" s="1810">
        <f t="shared" si="5"/>
        <v>1</v>
      </c>
    </row>
    <row r="29" spans="1:29" ht="15">
      <c r="A29" s="428"/>
      <c r="B29" s="631"/>
      <c r="C29" s="447"/>
      <c r="D29" s="448"/>
      <c r="E29" s="2608"/>
      <c r="F29" s="448"/>
      <c r="G29" s="2608"/>
      <c r="H29" s="448"/>
      <c r="I29" s="2608"/>
      <c r="J29" s="448"/>
      <c r="K29" s="613"/>
      <c r="L29" s="1139"/>
      <c r="M29" s="1130"/>
      <c r="N29" s="1130"/>
      <c r="O29" s="1138"/>
      <c r="P29" s="3182"/>
      <c r="Q29" s="1809"/>
      <c r="R29" s="773"/>
      <c r="S29" s="774"/>
      <c r="T29" s="773"/>
      <c r="U29" s="774"/>
      <c r="V29" s="773"/>
      <c r="W29" s="774"/>
      <c r="X29" s="1812"/>
      <c r="Y29" s="3182"/>
      <c r="Z29" s="1813"/>
      <c r="AA29" s="1810">
        <v>1</v>
      </c>
      <c r="AB29" s="1810">
        <v>1</v>
      </c>
      <c r="AC29" s="1810">
        <v>1</v>
      </c>
    </row>
    <row r="30" spans="1:29" ht="15">
      <c r="A30" s="428"/>
      <c r="B30" s="653" t="s">
        <v>2703</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182"/>
      <c r="Q30" s="1809" t="str">
        <f t="shared" si="8"/>
        <v>土地级别</v>
      </c>
      <c r="R30" s="773" t="s">
        <v>17</v>
      </c>
      <c r="S30" s="774">
        <f t="shared" si="10"/>
        <v>100</v>
      </c>
      <c r="T30" s="773" t="s">
        <v>17</v>
      </c>
      <c r="U30" s="774">
        <f t="shared" si="11"/>
        <v>100</v>
      </c>
      <c r="V30" s="773" t="s">
        <v>17</v>
      </c>
      <c r="W30" s="774">
        <f t="shared" si="12"/>
        <v>100</v>
      </c>
      <c r="X30" s="1812"/>
      <c r="Y30" s="3182"/>
      <c r="Z30" s="1813" t="str">
        <f t="shared" si="13"/>
        <v>土地级别</v>
      </c>
      <c r="AA30" s="1810">
        <f t="shared" si="3"/>
        <v>1</v>
      </c>
      <c r="AB30" s="1810">
        <f t="shared" si="4"/>
        <v>1</v>
      </c>
      <c r="AC30" s="1810">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2"/>
      <c r="Q31" s="1809">
        <f t="shared" si="8"/>
        <v>111</v>
      </c>
      <c r="R31" s="773" t="s">
        <v>17</v>
      </c>
      <c r="S31" s="774">
        <f t="shared" si="10"/>
        <v>100</v>
      </c>
      <c r="T31" s="773" t="s">
        <v>17</v>
      </c>
      <c r="U31" s="774">
        <f t="shared" si="11"/>
        <v>100</v>
      </c>
      <c r="V31" s="773" t="s">
        <v>17</v>
      </c>
      <c r="W31" s="774">
        <f t="shared" si="12"/>
        <v>100</v>
      </c>
      <c r="X31" s="1812"/>
      <c r="Y31" s="3182"/>
      <c r="Z31" s="1813">
        <f t="shared" si="13"/>
        <v>111</v>
      </c>
      <c r="AA31" s="1810">
        <f t="shared" si="3"/>
        <v>1</v>
      </c>
      <c r="AB31" s="1810">
        <f t="shared" si="4"/>
        <v>1</v>
      </c>
      <c r="AC31" s="1810">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68" t="s">
        <v>2519</v>
      </c>
      <c r="Q32" s="1809">
        <f t="shared" si="8"/>
        <v>111</v>
      </c>
      <c r="R32" s="773" t="s">
        <v>17</v>
      </c>
      <c r="S32" s="774">
        <f t="shared" si="10"/>
        <v>100</v>
      </c>
      <c r="T32" s="773" t="s">
        <v>17</v>
      </c>
      <c r="U32" s="774">
        <f t="shared" si="11"/>
        <v>100</v>
      </c>
      <c r="V32" s="773" t="s">
        <v>17</v>
      </c>
      <c r="W32" s="774">
        <f t="shared" si="12"/>
        <v>100</v>
      </c>
      <c r="X32" s="1812"/>
      <c r="Y32" s="3186" t="s">
        <v>2519</v>
      </c>
      <c r="Z32" s="1813">
        <f t="shared" si="13"/>
        <v>111</v>
      </c>
      <c r="AA32" s="1810">
        <f t="shared" si="3"/>
        <v>1</v>
      </c>
      <c r="AB32" s="1810">
        <f t="shared" si="4"/>
        <v>1</v>
      </c>
      <c r="AC32" s="1810">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186"/>
      <c r="Q33" s="1809">
        <f t="shared" si="8"/>
        <v>111</v>
      </c>
      <c r="R33" s="776" t="s">
        <v>17</v>
      </c>
      <c r="S33" s="777">
        <f t="shared" si="10"/>
        <v>100</v>
      </c>
      <c r="T33" s="776" t="s">
        <v>17</v>
      </c>
      <c r="U33" s="777">
        <f t="shared" si="11"/>
        <v>100</v>
      </c>
      <c r="V33" s="776" t="s">
        <v>17</v>
      </c>
      <c r="W33" s="777">
        <f t="shared" si="12"/>
        <v>100</v>
      </c>
      <c r="X33" s="778"/>
      <c r="Y33" s="3186"/>
      <c r="Z33" s="779">
        <f t="shared" si="13"/>
        <v>111</v>
      </c>
      <c r="AA33" s="1810">
        <f t="shared" si="3"/>
        <v>1</v>
      </c>
      <c r="AB33" s="1810">
        <f t="shared" si="4"/>
        <v>1</v>
      </c>
      <c r="AC33" s="1810">
        <f t="shared" si="5"/>
        <v>1</v>
      </c>
    </row>
    <row r="34" spans="1:29" ht="15">
      <c r="A34" s="440" t="s">
        <v>2517</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186"/>
      <c r="Q34" s="1809" t="str">
        <f>B34</f>
        <v>宗地面积</v>
      </c>
      <c r="R34" s="773" t="s">
        <v>17</v>
      </c>
      <c r="S34" s="774" t="e">
        <f t="shared" si="10"/>
        <v>#N/A</v>
      </c>
      <c r="T34" s="773" t="s">
        <v>17</v>
      </c>
      <c r="U34" s="774" t="e">
        <f t="shared" si="11"/>
        <v>#N/A</v>
      </c>
      <c r="V34" s="773" t="s">
        <v>17</v>
      </c>
      <c r="W34" s="774" t="e">
        <f t="shared" si="12"/>
        <v>#N/A</v>
      </c>
      <c r="X34" s="1812"/>
      <c r="Y34" s="3186"/>
      <c r="Z34" s="1813" t="str">
        <f t="shared" si="13"/>
        <v>宗地面积</v>
      </c>
      <c r="AA34" s="1810" t="e">
        <f t="shared" si="3"/>
        <v>#N/A</v>
      </c>
      <c r="AB34" s="1810" t="e">
        <f t="shared" si="4"/>
        <v>#N/A</v>
      </c>
      <c r="AC34" s="1810"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86"/>
      <c r="Q35" s="1809" t="str">
        <f t="shared" ref="Q35:Q40" si="14">B35</f>
        <v>宗地形状</v>
      </c>
      <c r="R35" s="773" t="s">
        <v>17</v>
      </c>
      <c r="S35" s="774">
        <f t="shared" si="10"/>
        <v>100</v>
      </c>
      <c r="T35" s="773" t="s">
        <v>17</v>
      </c>
      <c r="U35" s="774">
        <f t="shared" si="11"/>
        <v>100</v>
      </c>
      <c r="V35" s="773" t="s">
        <v>17</v>
      </c>
      <c r="W35" s="774">
        <f t="shared" si="12"/>
        <v>100</v>
      </c>
      <c r="X35" s="1812"/>
      <c r="Y35" s="3186"/>
      <c r="Z35" s="1813" t="str">
        <f t="shared" si="13"/>
        <v>宗地形状</v>
      </c>
      <c r="AA35" s="1810">
        <f t="shared" si="3"/>
        <v>1</v>
      </c>
      <c r="AB35" s="1810">
        <f t="shared" si="4"/>
        <v>1</v>
      </c>
      <c r="AC35" s="1810">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86"/>
      <c r="Q36" s="1809" t="str">
        <f t="shared" si="14"/>
        <v>宗地开发程度</v>
      </c>
      <c r="R36" s="769" t="s">
        <v>17</v>
      </c>
      <c r="S36" s="770">
        <f t="shared" si="10"/>
        <v>100</v>
      </c>
      <c r="T36" s="769" t="s">
        <v>17</v>
      </c>
      <c r="U36" s="770">
        <f t="shared" si="11"/>
        <v>100</v>
      </c>
      <c r="V36" s="769" t="s">
        <v>17</v>
      </c>
      <c r="W36" s="770">
        <f t="shared" si="12"/>
        <v>100</v>
      </c>
      <c r="X36" s="771"/>
      <c r="Y36" s="3186"/>
      <c r="Z36" s="55" t="str">
        <f t="shared" si="13"/>
        <v>宗地开发程度</v>
      </c>
      <c r="AA36" s="772">
        <f t="shared" si="3"/>
        <v>1</v>
      </c>
      <c r="AB36" s="772">
        <f t="shared" si="4"/>
        <v>1</v>
      </c>
      <c r="AC36" s="772">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86" t="s">
        <v>2519</v>
      </c>
      <c r="Q37" s="1809" t="str">
        <f t="shared" si="14"/>
        <v>工程地质条件</v>
      </c>
      <c r="R37" s="773" t="s">
        <v>17</v>
      </c>
      <c r="S37" s="774">
        <f t="shared" si="10"/>
        <v>100</v>
      </c>
      <c r="T37" s="773" t="s">
        <v>17</v>
      </c>
      <c r="U37" s="774">
        <f t="shared" si="11"/>
        <v>100</v>
      </c>
      <c r="V37" s="773" t="s">
        <v>17</v>
      </c>
      <c r="W37" s="774">
        <f t="shared" si="12"/>
        <v>100</v>
      </c>
      <c r="X37" s="1812"/>
      <c r="Y37" s="3186" t="s">
        <v>2519</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186"/>
      <c r="Q38" s="1809">
        <f t="shared" si="14"/>
        <v>111</v>
      </c>
      <c r="R38" s="773" t="s">
        <v>17</v>
      </c>
      <c r="S38" s="774">
        <f t="shared" si="10"/>
        <v>100</v>
      </c>
      <c r="T38" s="773" t="s">
        <v>17</v>
      </c>
      <c r="U38" s="774">
        <f t="shared" si="11"/>
        <v>100</v>
      </c>
      <c r="V38" s="773" t="s">
        <v>17</v>
      </c>
      <c r="W38" s="774">
        <f t="shared" si="12"/>
        <v>100</v>
      </c>
      <c r="X38" s="1812"/>
      <c r="Y38" s="3186"/>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186"/>
      <c r="Q39" s="1809">
        <f t="shared" si="14"/>
        <v>111</v>
      </c>
      <c r="R39" s="773" t="s">
        <v>17</v>
      </c>
      <c r="S39" s="774">
        <f t="shared" si="10"/>
        <v>100</v>
      </c>
      <c r="T39" s="773" t="s">
        <v>17</v>
      </c>
      <c r="U39" s="774">
        <f t="shared" si="11"/>
        <v>100</v>
      </c>
      <c r="V39" s="773" t="s">
        <v>17</v>
      </c>
      <c r="W39" s="774">
        <f t="shared" si="12"/>
        <v>100</v>
      </c>
      <c r="X39" s="1812"/>
      <c r="Y39" s="3186"/>
      <c r="Z39" s="1813">
        <f t="shared" si="13"/>
        <v>111</v>
      </c>
      <c r="AA39" s="1810">
        <f t="shared" si="3"/>
        <v>1</v>
      </c>
      <c r="AB39" s="1810">
        <f t="shared" si="4"/>
        <v>1</v>
      </c>
      <c r="AC39" s="1810">
        <f t="shared" si="5"/>
        <v>1</v>
      </c>
    </row>
    <row r="40" spans="1:29" s="471" customFormat="1" ht="15.75" thickBot="1">
      <c r="A40" s="468"/>
      <c r="B40" s="1386">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186"/>
      <c r="Q40" s="1809">
        <f t="shared" si="14"/>
        <v>111</v>
      </c>
      <c r="R40" s="776" t="s">
        <v>17</v>
      </c>
      <c r="S40" s="777">
        <f t="shared" si="10"/>
        <v>100</v>
      </c>
      <c r="T40" s="776" t="s">
        <v>17</v>
      </c>
      <c r="U40" s="777">
        <f t="shared" si="11"/>
        <v>100</v>
      </c>
      <c r="V40" s="776" t="s">
        <v>17</v>
      </c>
      <c r="W40" s="777">
        <f t="shared" si="12"/>
        <v>100</v>
      </c>
      <c r="X40" s="778"/>
      <c r="Y40" s="3186"/>
      <c r="Z40" s="779">
        <f t="shared" si="13"/>
        <v>111</v>
      </c>
      <c r="AA40" s="1810">
        <f t="shared" si="3"/>
        <v>1</v>
      </c>
      <c r="AB40" s="1810">
        <f t="shared" si="4"/>
        <v>1</v>
      </c>
      <c r="AC40" s="1810">
        <f t="shared" si="5"/>
        <v>1</v>
      </c>
    </row>
    <row r="41" spans="1:29" ht="15">
      <c r="A41" s="479" t="s">
        <v>2673</v>
      </c>
      <c r="B41" s="2701" t="s">
        <v>2753</v>
      </c>
      <c r="C41" s="681" t="s">
        <v>1</v>
      </c>
      <c r="D41" s="481"/>
      <c r="E41" s="482"/>
      <c r="F41" s="483"/>
      <c r="G41" s="484"/>
      <c r="H41" s="485"/>
      <c r="I41" s="482"/>
      <c r="J41" s="485"/>
      <c r="K41" s="782"/>
      <c r="L41" s="1142"/>
      <c r="M41" s="1130"/>
      <c r="N41" s="1130"/>
      <c r="O41" s="1143"/>
      <c r="P41" s="3179" t="str">
        <f>A41</f>
        <v>成交单价</v>
      </c>
      <c r="Q41" s="3179"/>
      <c r="R41" s="3210">
        <f>E41</f>
        <v>0</v>
      </c>
      <c r="S41" s="3210"/>
      <c r="T41" s="3210">
        <f>G41</f>
        <v>0</v>
      </c>
      <c r="U41" s="3210"/>
      <c r="V41" s="3210">
        <f>I41</f>
        <v>0</v>
      </c>
      <c r="W41" s="3210"/>
      <c r="X41" s="758"/>
      <c r="Y41" s="780"/>
      <c r="Z41" s="758"/>
      <c r="AA41" s="758"/>
      <c r="AB41" s="758"/>
      <c r="AC41" s="758"/>
    </row>
    <row r="42" spans="1:29" ht="15.75" thickBot="1">
      <c r="A42" s="486" t="s">
        <v>2622</v>
      </c>
      <c r="B42" s="682"/>
      <c r="C42" s="490" t="e">
        <f>R43</f>
        <v>#DIV/0!</v>
      </c>
      <c r="D42" s="489"/>
      <c r="E42" s="490" t="e">
        <f>R42</f>
        <v>#DIV/0!</v>
      </c>
      <c r="F42" s="491"/>
      <c r="G42" s="488" t="e">
        <f>T42</f>
        <v>#DIV/0!</v>
      </c>
      <c r="H42" s="489"/>
      <c r="I42" s="490" t="e">
        <f>V42</f>
        <v>#DIV/0!</v>
      </c>
      <c r="J42" s="489"/>
      <c r="K42" s="783"/>
      <c r="L42" s="1142"/>
      <c r="M42" s="1130"/>
      <c r="N42" s="1130"/>
      <c r="O42" s="1143"/>
      <c r="P42" s="3179" t="str">
        <f>A42</f>
        <v>比较价值（元/平方米）</v>
      </c>
      <c r="Q42" s="3179"/>
      <c r="R42" s="3269" t="e">
        <f>ROUND(PRODUCT(R41,AA7:AA40),0)</f>
        <v>#DIV/0!</v>
      </c>
      <c r="S42" s="3269"/>
      <c r="T42" s="3269" t="e">
        <f>ROUND(PRODUCT(T41,AB7:AB40),0)</f>
        <v>#DIV/0!</v>
      </c>
      <c r="U42" s="3269"/>
      <c r="V42" s="3269" t="e">
        <f>ROUND(PRODUCT(V41,AC7:AC40),0)</f>
        <v>#DIV/0!</v>
      </c>
      <c r="W42" s="3269"/>
      <c r="X42" s="758"/>
      <c r="Y42" s="758"/>
      <c r="Z42" s="758"/>
      <c r="AA42" s="758"/>
      <c r="AB42" s="758"/>
      <c r="AC42" s="758"/>
    </row>
    <row r="43" spans="1:29" ht="15.75" thickBot="1">
      <c r="A43" s="492" t="s">
        <v>2623</v>
      </c>
      <c r="B43" s="493"/>
      <c r="C43" s="494" t="e">
        <f>R43</f>
        <v>#DIV/0!</v>
      </c>
      <c r="D43" s="494"/>
      <c r="E43" s="494"/>
      <c r="F43" s="494"/>
      <c r="G43" s="494"/>
      <c r="H43" s="494"/>
      <c r="I43" s="494"/>
      <c r="J43" s="494"/>
      <c r="K43" s="784"/>
      <c r="L43" s="1142"/>
      <c r="M43" s="1130"/>
      <c r="N43" s="1130"/>
      <c r="O43" s="1143"/>
      <c r="P43" s="3176" t="str">
        <f>A43</f>
        <v>估价对象XX用房的比较价值（楼面单价，元/平方米）</v>
      </c>
      <c r="Q43" s="3177"/>
      <c r="R43" s="3270" t="e">
        <f>ROUND(AVERAGE(R42:V42),0)</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3" t="s">
        <v>2711</v>
      </c>
      <c r="B50" s="684" t="s">
        <v>2712</v>
      </c>
      <c r="C50" s="2702" t="s">
        <v>2713</v>
      </c>
      <c r="D50" s="2703" t="s">
        <v>2714</v>
      </c>
      <c r="E50" s="685" t="s">
        <v>2715</v>
      </c>
      <c r="F50" s="686" t="s">
        <v>2716</v>
      </c>
      <c r="G50" s="3194" t="s">
        <v>2717</v>
      </c>
      <c r="H50" s="3271"/>
      <c r="I50" s="1813" t="s">
        <v>2754</v>
      </c>
      <c r="J50" s="1813" t="str">
        <f>项目基本情况!F35</f>
        <v>四川省遂宁市</v>
      </c>
      <c r="K50" s="2705" t="s">
        <v>2719</v>
      </c>
      <c r="L50" s="1105"/>
      <c r="M50" s="1143"/>
      <c r="N50" s="1143"/>
      <c r="O50" s="1143"/>
    </row>
    <row r="51" spans="1:17" s="691" customFormat="1">
      <c r="A51" s="687" t="s">
        <v>2720</v>
      </c>
      <c r="B51" s="688" t="e">
        <f>C43</f>
        <v>#DIV/0!</v>
      </c>
      <c r="C51" s="689">
        <v>1</v>
      </c>
      <c r="D51" s="1162">
        <v>1</v>
      </c>
      <c r="E51" s="689">
        <f>'数据-汇总表'!E8+'数据-汇总表'!E9</f>
        <v>8982.83</v>
      </c>
      <c r="F51" s="690" t="e">
        <f t="shared" ref="F51:F60" si="15">ROUND(B51*E51/10000,0)</f>
        <v>#DIV/0!</v>
      </c>
      <c r="G51" s="3190"/>
      <c r="H51" s="3179"/>
      <c r="I51" s="941">
        <v>1</v>
      </c>
      <c r="J51" s="941">
        <v>1</v>
      </c>
      <c r="K51" s="1144"/>
      <c r="L51" s="940"/>
      <c r="M51" s="940"/>
      <c r="N51" s="940"/>
      <c r="O51" s="940"/>
    </row>
    <row r="52" spans="1:17" s="691" customFormat="1">
      <c r="A52" s="692" t="s">
        <v>2721</v>
      </c>
      <c r="B52" s="262" t="e">
        <f>ROUND($C$43*C52*D52,0)</f>
        <v>#DIV/0!</v>
      </c>
      <c r="C52" s="200">
        <f t="shared" ref="C52:C60" si="16">IF($C$50="北京市系数",I52,J52)</f>
        <v>0</v>
      </c>
      <c r="D52" s="1163">
        <v>0.25</v>
      </c>
      <c r="E52" s="693"/>
      <c r="F52" s="690" t="e">
        <f t="shared" si="15"/>
        <v>#DIV/0!</v>
      </c>
      <c r="G52" s="3272" t="s">
        <v>2722</v>
      </c>
      <c r="H52" s="1103">
        <f>项目基本情况!B37</f>
        <v>0</v>
      </c>
      <c r="I52" s="941">
        <f>SUMIF(修正!A45:A56,H52,修正!B45:B56)</f>
        <v>0</v>
      </c>
      <c r="J52" s="942"/>
      <c r="K52" s="1143"/>
      <c r="L52" s="940"/>
      <c r="M52" s="940"/>
      <c r="N52" s="940"/>
      <c r="O52" s="940"/>
    </row>
    <row r="53" spans="1:17" s="691" customFormat="1">
      <c r="A53" s="692" t="s">
        <v>2723</v>
      </c>
      <c r="B53" s="262" t="e">
        <f t="shared" ref="B53:B60" si="17">ROUND($C$43*C53*D53,0)</f>
        <v>#DIV/0!</v>
      </c>
      <c r="C53" s="200">
        <f t="shared" si="16"/>
        <v>0</v>
      </c>
      <c r="D53" s="1163">
        <v>0.25</v>
      </c>
      <c r="E53" s="693"/>
      <c r="F53" s="690" t="e">
        <f t="shared" si="15"/>
        <v>#DIV/0!</v>
      </c>
      <c r="G53" s="3272"/>
      <c r="H53" s="1103">
        <f>项目基本情况!B37</f>
        <v>0</v>
      </c>
      <c r="I53" s="941">
        <f>SUMIF(修正!A45:A56,H53,修正!C45:C56)</f>
        <v>0</v>
      </c>
      <c r="J53" s="942"/>
      <c r="K53" s="1144"/>
      <c r="L53" s="940"/>
      <c r="M53" s="940"/>
      <c r="N53" s="940"/>
      <c r="O53" s="940"/>
    </row>
    <row r="54" spans="1:17" s="691" customFormat="1">
      <c r="A54" s="692" t="s">
        <v>2724</v>
      </c>
      <c r="B54" s="262" t="e">
        <f t="shared" si="17"/>
        <v>#DIV/0!</v>
      </c>
      <c r="C54" s="200">
        <f t="shared" si="16"/>
        <v>0</v>
      </c>
      <c r="D54" s="1163">
        <v>0.25</v>
      </c>
      <c r="E54" s="693"/>
      <c r="F54" s="690" t="e">
        <f t="shared" si="15"/>
        <v>#DIV/0!</v>
      </c>
      <c r="G54" s="3272"/>
      <c r="H54" s="1103">
        <f>项目基本情况!B37</f>
        <v>0</v>
      </c>
      <c r="I54" s="941">
        <f>SUMIF(修正!A45:A56,H54,修正!D45:D56)</f>
        <v>0</v>
      </c>
      <c r="J54" s="942"/>
      <c r="K54" s="1143"/>
      <c r="L54" s="940"/>
      <c r="M54" s="940"/>
      <c r="N54" s="940"/>
      <c r="O54" s="940"/>
    </row>
    <row r="55" spans="1:17" s="691" customFormat="1">
      <c r="A55" s="692" t="s">
        <v>2725</v>
      </c>
      <c r="B55" s="262" t="e">
        <f t="shared" si="17"/>
        <v>#DIV/0!</v>
      </c>
      <c r="C55" s="200">
        <f t="shared" si="16"/>
        <v>0</v>
      </c>
      <c r="D55" s="1163">
        <v>0.25</v>
      </c>
      <c r="E55" s="693"/>
      <c r="F55" s="690" t="e">
        <f t="shared" si="15"/>
        <v>#DIV/0!</v>
      </c>
      <c r="G55" s="3272"/>
      <c r="H55" s="1103">
        <f>项目基本情况!B37</f>
        <v>0</v>
      </c>
      <c r="I55" s="941">
        <f>SUMIF(修正!A45:A56,H55,修正!E45:E56)</f>
        <v>0</v>
      </c>
      <c r="J55" s="942"/>
      <c r="K55" s="1144"/>
      <c r="L55" s="940"/>
      <c r="M55" s="940"/>
      <c r="N55" s="940"/>
      <c r="O55" s="940"/>
    </row>
    <row r="56" spans="1:17" s="691" customFormat="1">
      <c r="A56" s="692" t="s">
        <v>2726</v>
      </c>
      <c r="B56" s="262" t="e">
        <f t="shared" si="17"/>
        <v>#DIV/0!</v>
      </c>
      <c r="C56" s="200">
        <f t="shared" si="16"/>
        <v>0</v>
      </c>
      <c r="D56" s="1163">
        <v>0.25</v>
      </c>
      <c r="E56" s="261">
        <f>'数据-汇总表'!E11</f>
        <v>0</v>
      </c>
      <c r="F56" s="690" t="e">
        <f t="shared" si="15"/>
        <v>#DIV/0!</v>
      </c>
      <c r="G56" s="2706" t="s">
        <v>2727</v>
      </c>
      <c r="H56" s="1103">
        <f>项目基本情况!C37</f>
        <v>0</v>
      </c>
      <c r="I56" s="941">
        <f>SUMIF(修正!A45:A56,H56,修正!F45:F56)</f>
        <v>0</v>
      </c>
      <c r="J56" s="942"/>
      <c r="K56" s="1143"/>
      <c r="L56" s="940"/>
      <c r="M56" s="940"/>
      <c r="N56" s="940"/>
      <c r="O56" s="940"/>
    </row>
    <row r="57" spans="1:17" s="691" customFormat="1">
      <c r="A57" s="692" t="s">
        <v>2728</v>
      </c>
      <c r="B57" s="262" t="e">
        <f t="shared" si="17"/>
        <v>#DIV/0!</v>
      </c>
      <c r="C57" s="200">
        <f t="shared" si="16"/>
        <v>0</v>
      </c>
      <c r="D57" s="1163">
        <v>0.25</v>
      </c>
      <c r="E57" s="261">
        <f>'数据-汇总表'!E12</f>
        <v>0</v>
      </c>
      <c r="F57" s="690"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2730</v>
      </c>
      <c r="B58" s="262" t="e">
        <f t="shared" si="17"/>
        <v>#DIV/0!</v>
      </c>
      <c r="C58" s="200">
        <f t="shared" si="16"/>
        <v>0</v>
      </c>
      <c r="D58" s="1163">
        <v>0.25</v>
      </c>
      <c r="E58" s="261">
        <f>'数据-汇总表'!E13</f>
        <v>0</v>
      </c>
      <c r="F58" s="690"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2732</v>
      </c>
      <c r="B59" s="262" t="e">
        <f t="shared" si="17"/>
        <v>#DIV/0!</v>
      </c>
      <c r="C59" s="200">
        <f t="shared" si="16"/>
        <v>0</v>
      </c>
      <c r="D59" s="1163">
        <v>0.25</v>
      </c>
      <c r="E59" s="261">
        <f>'数据-汇总表'!E14</f>
        <v>0</v>
      </c>
      <c r="F59" s="690" t="e">
        <f t="shared" si="15"/>
        <v>#DIV/0!</v>
      </c>
      <c r="G59" s="2706" t="s">
        <v>2722</v>
      </c>
      <c r="H59" s="1103">
        <f>项目基本情况!B37</f>
        <v>0</v>
      </c>
      <c r="I59" s="941">
        <f>SUMIF(修正!A45:A56,H59,修正!H45:H56)</f>
        <v>0</v>
      </c>
      <c r="J59" s="942"/>
      <c r="K59" s="1144"/>
      <c r="L59" s="940"/>
      <c r="M59" s="940"/>
      <c r="N59" s="940"/>
      <c r="O59" s="940"/>
    </row>
    <row r="60" spans="1:17" s="691" customFormat="1" ht="15" thickBot="1">
      <c r="A60" s="692" t="s">
        <v>2733</v>
      </c>
      <c r="B60" s="262" t="e">
        <f t="shared" si="17"/>
        <v>#DIV/0!</v>
      </c>
      <c r="C60" s="200">
        <f t="shared" si="16"/>
        <v>0</v>
      </c>
      <c r="D60" s="1163">
        <v>0.25</v>
      </c>
      <c r="E60" s="261">
        <f>'数据-汇总表'!E15</f>
        <v>0</v>
      </c>
      <c r="F60" s="690" t="e">
        <f t="shared" si="15"/>
        <v>#DIV/0!</v>
      </c>
      <c r="G60" s="2707" t="s">
        <v>2727</v>
      </c>
      <c r="H60" s="1113">
        <f>项目基本情况!C37</f>
        <v>0</v>
      </c>
      <c r="I60" s="941">
        <f>SUMIF(修正!A45:A56,H60,修正!H45:H56)</f>
        <v>0</v>
      </c>
      <c r="J60" s="942"/>
      <c r="K60" s="1143"/>
      <c r="L60" s="940"/>
      <c r="M60" s="940"/>
      <c r="N60" s="940"/>
      <c r="O60" s="940"/>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2627</v>
      </c>
      <c r="B64" s="758"/>
      <c r="C64" s="763"/>
      <c r="D64" s="763"/>
      <c r="E64" s="763"/>
      <c r="F64" s="764"/>
      <c r="G64" s="764"/>
      <c r="H64" s="763"/>
      <c r="I64" s="763"/>
      <c r="J64" s="763"/>
      <c r="K64" s="765"/>
      <c r="L64" s="766"/>
      <c r="M64" s="763"/>
      <c r="N64" s="763"/>
      <c r="O64" s="1158"/>
      <c r="P64" s="503"/>
      <c r="Q64" s="504"/>
    </row>
    <row r="65" spans="1:17" s="508" customFormat="1" ht="15">
      <c r="A65" s="2708" t="s">
        <v>2735</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9"/>
      <c r="L1" s="2715" t="s">
        <v>2759</v>
      </c>
      <c r="M1" s="1079">
        <f>SUMPRODUCT((区片价!B5:B9=I2)*(区片价!C3:F3=E2)*(区片价!C5:F9))</f>
        <v>0</v>
      </c>
      <c r="N1" s="1082">
        <f>SUMPRODUCT((因素修正幅度!B5:B9=I2)*(因素修正幅度!C3:F3=E2)*(因素修正幅度!C5:F9))</f>
        <v>0</v>
      </c>
      <c r="O1" s="2716"/>
      <c r="P1" s="2716"/>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18" t="s">
        <v>2766</v>
      </c>
      <c r="D2" s="2719" t="s">
        <v>2767</v>
      </c>
      <c r="E2" s="2720"/>
      <c r="F2" s="2719" t="s">
        <v>2768</v>
      </c>
      <c r="G2" s="2721">
        <f>IF(E2="商业",项目基本情况!B37,IF(E2="办公",项目基本情况!C37,IF(E2="住宅",项目基本情况!D37,项目基本情况!E37)))</f>
        <v>0</v>
      </c>
      <c r="H2" s="2719" t="s">
        <v>2769</v>
      </c>
      <c r="I2" s="2721">
        <f>IF(E2="商业",项目基本情况!B38,IF(E2="办公",项目基本情况!C38,IF(E2="住宅",项目基本情况!D38,项目基本情况!E38)))</f>
        <v>0</v>
      </c>
      <c r="J2" s="2722"/>
      <c r="K2" s="1369"/>
      <c r="L2" s="2723" t="s">
        <v>2770</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18" t="s">
        <v>2772</v>
      </c>
      <c r="D3" s="2719" t="s">
        <v>2773</v>
      </c>
      <c r="E3" s="2724"/>
      <c r="F3" s="2725" t="s">
        <v>2774</v>
      </c>
      <c r="G3" s="915" t="e">
        <f>IF(F3="宗地容积率",'数据-汇总表'!I4,IF(F3="估价对象容积率",'数据-汇总表'!I6,'数据-汇总表'!I7))</f>
        <v>#DIV/0!</v>
      </c>
      <c r="H3" s="198" t="s">
        <v>2775</v>
      </c>
      <c r="I3" s="943"/>
      <c r="J3" s="2722" t="s">
        <v>2776</v>
      </c>
      <c r="K3" s="1369"/>
      <c r="L3" s="2723" t="s">
        <v>2777</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0"/>
      <c r="B4" s="3281"/>
      <c r="C4" s="3281"/>
      <c r="D4" s="3282"/>
      <c r="E4" s="3282"/>
      <c r="F4" s="3282"/>
      <c r="G4" s="3282"/>
      <c r="H4" s="3282"/>
      <c r="I4" s="3282"/>
      <c r="J4" s="3283"/>
      <c r="K4" s="1369"/>
      <c r="L4" s="2723" t="s">
        <v>2778</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2779</v>
      </c>
      <c r="C5" s="916" t="e">
        <f>ROUND(IF(E2="商业",C6*C7+C16,(IF(E2="住宅",C6*C12+C16,C6+C16))),0)</f>
        <v>#DIV/0!</v>
      </c>
      <c r="D5" s="1786" t="e">
        <f>ROUND(IF(F17="增加",C6+C16,C6-C16),0)</f>
        <v>#DIV/0!</v>
      </c>
      <c r="E5" s="1786"/>
      <c r="F5" s="2728"/>
      <c r="G5" s="2729"/>
      <c r="H5" s="2729"/>
      <c r="I5" s="2729"/>
      <c r="J5" s="2730"/>
      <c r="K5" s="2731"/>
      <c r="L5" s="2723" t="s">
        <v>2780</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2781</v>
      </c>
      <c r="B6" s="2737" t="s">
        <v>2782</v>
      </c>
      <c r="C6" s="917">
        <f>SUMIF(L1:L12,G2,M1:M12)</f>
        <v>0</v>
      </c>
      <c r="D6" s="2738" t="s">
        <v>2783</v>
      </c>
      <c r="E6" s="2739"/>
      <c r="F6" s="2739"/>
      <c r="G6" s="2740"/>
      <c r="H6" s="2740"/>
      <c r="I6" s="2740"/>
      <c r="J6" s="2741"/>
      <c r="K6" s="1841"/>
      <c r="L6" s="2723" t="s">
        <v>2784</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84" t="str">
        <f>IF(E2="商业",IF(C8="不临58条商业街","",2),"")</f>
        <v/>
      </c>
      <c r="B7" s="2742" t="s">
        <v>2785</v>
      </c>
      <c r="C7" s="918" t="e">
        <f>IF(C8="不临58条商业街",1,ROUND(1+(1.6*E8+1.2*E9+0.8*E10+0.4*E11)*C9,4))</f>
        <v>#DIV/0!</v>
      </c>
      <c r="D7" s="2743" t="s">
        <v>2786</v>
      </c>
      <c r="E7" s="944"/>
      <c r="F7" s="2744"/>
      <c r="G7" s="2745"/>
      <c r="H7" s="2745"/>
      <c r="I7" s="2745"/>
      <c r="J7" s="2746"/>
      <c r="K7" s="1841"/>
      <c r="L7" s="2723" t="s">
        <v>2787</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2788</v>
      </c>
      <c r="X7" s="1603">
        <f>G2</f>
        <v>0</v>
      </c>
      <c r="Y7" s="1603" t="s">
        <v>2789</v>
      </c>
      <c r="Z7" s="1604" t="e">
        <f>G3</f>
        <v>#DIV/0!</v>
      </c>
      <c r="AA7" s="1605"/>
      <c r="AB7" s="1605"/>
      <c r="AC7" s="1606"/>
      <c r="AD7" s="1607"/>
      <c r="AE7" s="1607"/>
      <c r="AF7" s="1607"/>
      <c r="AG7" s="1607"/>
      <c r="AH7" s="1607"/>
      <c r="AI7" s="1607"/>
      <c r="AJ7" s="1608"/>
    </row>
    <row r="8" spans="1:36" ht="15">
      <c r="A8" s="3285"/>
      <c r="B8" s="198" t="s">
        <v>2790</v>
      </c>
      <c r="C8" s="2747"/>
      <c r="D8" s="919" t="s">
        <v>139</v>
      </c>
      <c r="E8" s="920" t="e">
        <f>ROUND(C11/E7,4)</f>
        <v>#DIV/0!</v>
      </c>
      <c r="F8" s="2748" t="s">
        <v>2791</v>
      </c>
      <c r="G8" s="2749"/>
      <c r="H8" s="2749"/>
      <c r="I8" s="2749"/>
      <c r="J8" s="2750"/>
      <c r="K8" s="1369"/>
      <c r="L8" s="2723"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77" t="s">
        <v>2793</v>
      </c>
      <c r="X8" s="3278"/>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285"/>
      <c r="B9" s="198" t="s">
        <v>2806</v>
      </c>
      <c r="C9" s="921">
        <f>SUMIF(修正!C59:C119,C8,修正!E59:E119)</f>
        <v>0</v>
      </c>
      <c r="D9" s="200" t="s">
        <v>140</v>
      </c>
      <c r="E9" s="200" t="e">
        <f>ROUND(C11/E7,4)</f>
        <v>#DIV/0!</v>
      </c>
      <c r="F9" s="2748" t="s">
        <v>2807</v>
      </c>
      <c r="G9" s="2749"/>
      <c r="H9" s="2749"/>
      <c r="I9" s="2749"/>
      <c r="J9" s="2750"/>
      <c r="K9" s="1369"/>
      <c r="L9" s="2723"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79"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2811</v>
      </c>
      <c r="C10" s="200">
        <f>SUMIF(修正!C59:C119,C8,修正!F59:F119)</f>
        <v>0</v>
      </c>
      <c r="D10" s="200" t="s">
        <v>141</v>
      </c>
      <c r="E10" s="200" t="e">
        <f>ROUND(C11/E7,4)</f>
        <v>#DIV/0!</v>
      </c>
      <c r="F10" s="2748" t="s">
        <v>2812</v>
      </c>
      <c r="G10" s="2749"/>
      <c r="H10" s="2749"/>
      <c r="I10" s="2749"/>
      <c r="J10" s="2750"/>
      <c r="K10" s="1369"/>
      <c r="L10" s="2723"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7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1" t="s">
        <v>2814</v>
      </c>
      <c r="C11" s="922">
        <f>C10/4</f>
        <v>0</v>
      </c>
      <c r="D11" s="922" t="s">
        <v>142</v>
      </c>
      <c r="E11" s="922" t="e">
        <f>ROUND(C11/E7,4)</f>
        <v>#DIV/0!</v>
      </c>
      <c r="F11" s="2752" t="s">
        <v>2815</v>
      </c>
      <c r="G11" s="2753"/>
      <c r="H11" s="2753"/>
      <c r="I11" s="2753"/>
      <c r="J11" s="2754"/>
      <c r="K11" s="1369"/>
      <c r="L11" s="2723"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79" t="s">
        <v>2817</v>
      </c>
      <c r="X11" s="1613" t="s">
        <v>2818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84" t="s">
        <v>2819</v>
      </c>
      <c r="B12" s="2755" t="s">
        <v>2820</v>
      </c>
      <c r="C12" s="918">
        <f>ROUND(C15*D15*E15*F15*G15*H15*I15*J15,4)</f>
        <v>1</v>
      </c>
      <c r="D12" s="2756" t="s">
        <v>2821</v>
      </c>
      <c r="E12" s="2757"/>
      <c r="F12" s="2757"/>
      <c r="G12" s="2758"/>
      <c r="H12" s="2758"/>
      <c r="I12" s="2758"/>
      <c r="J12" s="2759"/>
      <c r="K12" s="1369"/>
      <c r="L12" s="2760"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79"/>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6"/>
      <c r="B13" s="2761" t="s">
        <v>2824</v>
      </c>
      <c r="C13" s="2762" t="s">
        <v>2825</v>
      </c>
      <c r="D13" s="1807" t="s">
        <v>2826</v>
      </c>
      <c r="E13" s="1807" t="s">
        <v>2827</v>
      </c>
      <c r="F13" s="30" t="s">
        <v>2828</v>
      </c>
      <c r="G13" s="2763" t="s">
        <v>2829</v>
      </c>
      <c r="H13" s="2763" t="s">
        <v>2829</v>
      </c>
      <c r="I13" s="2763" t="s">
        <v>2829</v>
      </c>
      <c r="J13" s="2764" t="s">
        <v>2829</v>
      </c>
      <c r="K13" s="1369"/>
      <c r="L13" s="1369"/>
      <c r="M13" s="1369"/>
      <c r="N13" s="1369"/>
      <c r="O13" s="1369"/>
      <c r="P13" s="1369"/>
      <c r="Q13" s="1369"/>
      <c r="R13" s="1601">
        <v>12</v>
      </c>
      <c r="S13" s="1602"/>
      <c r="T13" s="1601" t="e">
        <f t="shared" si="0"/>
        <v>#DIV/0!</v>
      </c>
      <c r="U13" s="1602"/>
      <c r="V13" s="1601" t="e">
        <f t="shared" si="1"/>
        <v>#DIV/0!</v>
      </c>
      <c r="W13" s="327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86"/>
      <c r="B14" s="2765"/>
      <c r="C14" s="2766"/>
      <c r="D14" s="2767"/>
      <c r="E14" s="2767"/>
      <c r="F14" s="2768"/>
      <c r="G14" s="2769" t="s">
        <v>2830</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7"/>
      <c r="B15" s="2773"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4" t="s">
        <v>2836</v>
      </c>
      <c r="B16" s="2742" t="s">
        <v>2837</v>
      </c>
      <c r="C16" s="2932" t="e">
        <f>ROUND(IF(F17="与级别开发程度一致",0,(G17-E17)/C17),0)</f>
        <v>#DIV/0!</v>
      </c>
      <c r="D16" s="3298" t="s">
        <v>2841</v>
      </c>
      <c r="E16" s="3299"/>
      <c r="F16" s="3298" t="s">
        <v>2838</v>
      </c>
      <c r="G16" s="3299"/>
      <c r="H16" s="2776"/>
      <c r="I16" s="2776"/>
      <c r="J16" s="2936"/>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8"/>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808</v>
      </c>
      <c r="B19" s="2782" t="s">
        <v>2844</v>
      </c>
      <c r="C19" s="923" t="e">
        <f>ROUND(IF(H19="按公示增长率计算",SUMPRODUCT((地价!A3:A26=YEAR(G19)&amp;"-"&amp;ROUNDUP(MONTH(G19)/3,0))*(地价!X2:AB2=E2)*(地价!X3:AB26)),IF(H19="地价指数",M20/M19,(1+I19)^O19)),4)</f>
        <v>#DIV/0!</v>
      </c>
      <c r="D19" s="2786" t="s">
        <v>2845</v>
      </c>
      <c r="E19" s="924">
        <v>41640</v>
      </c>
      <c r="F19" s="2786" t="s">
        <v>2846</v>
      </c>
      <c r="G19" s="925">
        <f>'数据-取费表'!B2</f>
        <v>43641</v>
      </c>
      <c r="H19" s="2787" t="s">
        <v>2847</v>
      </c>
      <c r="I19" s="926" t="str">
        <f>IF(H19="季度增幅（自定义）",SUMIF(N21:N24,E2,O21:O24),"")</f>
        <v/>
      </c>
      <c r="J19" s="2784"/>
      <c r="K19" s="1376"/>
      <c r="L19" s="2788" t="s">
        <v>2848</v>
      </c>
      <c r="M19" s="1733">
        <f>ROUND(SUMIF(地价!B2:F2,E2,地价!B26:F26),0)</f>
        <v>0</v>
      </c>
      <c r="N19" s="2789" t="s">
        <v>2849</v>
      </c>
      <c r="O19" s="927">
        <f>ROUNDDOWN(DATEDIF(E19,G19,"M")/3,0)</f>
        <v>21</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809</v>
      </c>
      <c r="B20" s="2794" t="s">
        <v>2850</v>
      </c>
      <c r="C20" s="928" t="e">
        <f>ROUND(POWER(1+G20,J20-I20)*(POWER(1+G20,I20)-1)/(POWER(1+G20,J20)-1),4)</f>
        <v>#DIV/0!</v>
      </c>
      <c r="D20" s="2795" t="s">
        <v>2851</v>
      </c>
      <c r="E20" s="1767">
        <f ca="1">存贷款利率!D4/100</f>
        <v>4.3499999999999997E-2</v>
      </c>
      <c r="F20" s="2795" t="s">
        <v>2842</v>
      </c>
      <c r="G20" s="933">
        <f>SUMIF(M26:P26,E2,M28:P28)</f>
        <v>0</v>
      </c>
      <c r="H20" s="2795" t="s">
        <v>2852</v>
      </c>
      <c r="I20" s="934" t="e">
        <f>SUMIF('数据-取费表'!C6:C15,E2,'数据-取费表'!F6:F15)/COUNTIF('数据-取费表'!C6:C15,E2)</f>
        <v>#DIV/0!</v>
      </c>
      <c r="J20" s="935">
        <f>IF(E2="住宅",70,IF(E2="商业",40,50))</f>
        <v>50</v>
      </c>
      <c r="K20" s="1376"/>
      <c r="L20" s="2796" t="s">
        <v>2853</v>
      </c>
      <c r="M20" s="1734">
        <f>ROUND(SUMPRODUCT((地价!A4:A26=YEAR(G19)&amp;"-"&amp;ROUNDUP(MONTH(G19)/3,0))*(地价!B2:F2=E2)*(地价!B4:F26)),0)</f>
        <v>0</v>
      </c>
      <c r="N20" s="2797" t="s">
        <v>2854</v>
      </c>
      <c r="O20" s="2798" t="s">
        <v>2855</v>
      </c>
      <c r="P20" s="2799" t="s">
        <v>2856</v>
      </c>
      <c r="R20" s="1375"/>
      <c r="S20" s="1375"/>
      <c r="T20" s="1370"/>
      <c r="U20" s="1370"/>
      <c r="V20" s="1370"/>
      <c r="W20" s="1369"/>
      <c r="X20" s="1369"/>
      <c r="Y20" s="1369"/>
      <c r="Z20" s="1376"/>
      <c r="AA20" s="1377"/>
      <c r="AB20" s="1377"/>
      <c r="AC20" s="1377"/>
      <c r="AD20" s="1377"/>
      <c r="AE20" s="1377"/>
      <c r="AF20" s="1377"/>
    </row>
    <row r="21" spans="1:37" s="2735" customFormat="1" ht="15">
      <c r="A21" s="2800" t="s">
        <v>810</v>
      </c>
      <c r="B21" s="2801" t="s">
        <v>2857</v>
      </c>
      <c r="C21" s="936" t="e">
        <f>IF(B21="容积率修正",IF(G3&lt;=10,D22,J22),C23)</f>
        <v>#DIV/0!</v>
      </c>
      <c r="D21" s="2802"/>
      <c r="E21" s="2802"/>
      <c r="F21" s="2802"/>
      <c r="G21" s="2802"/>
      <c r="H21" s="2802"/>
      <c r="I21" s="2802"/>
      <c r="J21" s="2803"/>
      <c r="K21" s="1376"/>
      <c r="N21" s="2804" t="s">
        <v>2858</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5" customFormat="1" ht="14.25">
      <c r="A22" s="2661" t="s">
        <v>2859</v>
      </c>
      <c r="B22" s="2805" t="s">
        <v>2860</v>
      </c>
      <c r="C22" s="1809" t="s">
        <v>2861</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4" t="s">
        <v>2862</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1" t="s">
        <v>2863</v>
      </c>
      <c r="B23" s="2806" t="s">
        <v>2864</v>
      </c>
      <c r="C23" s="1012" t="e">
        <f>ROUND(IF(G3&gt;1,IF(I3&lt;7,SUMPRODUCT((B93:B98=I3)*(C92:N92=G2)*(C93:N98)),SUMIF(C92:N92,G2,C100:N100)),IF(I3&lt;7,SUMPRODUCT((B102:B107=I3)*(C92:N92=G2)*(C102:N107)),SUMIF(C92:N92,G2,C109:N109))),4)</f>
        <v>#DIV/0!</v>
      </c>
      <c r="D23" s="2770"/>
      <c r="E23" s="2770"/>
      <c r="F23" s="2807"/>
      <c r="G23" s="2808"/>
      <c r="H23" s="2809"/>
      <c r="I23" s="2810"/>
      <c r="J23" s="2811"/>
      <c r="K23" s="1369"/>
      <c r="N23" s="2804" t="s">
        <v>2865</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811</v>
      </c>
      <c r="B24" s="2782" t="s">
        <v>2866</v>
      </c>
      <c r="C24" s="923">
        <f>SUMIF(A45:A88,E2,B45:B88)</f>
        <v>0</v>
      </c>
      <c r="D24" s="2783"/>
      <c r="E24" s="2812"/>
      <c r="F24" s="2812"/>
      <c r="G24" s="2812"/>
      <c r="H24" s="2812"/>
      <c r="I24" s="2812"/>
      <c r="J24" s="2813"/>
      <c r="K24" s="1376"/>
      <c r="N24" s="2814" t="s">
        <v>2867</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3" t="s">
        <v>812</v>
      </c>
      <c r="B25" s="2815" t="s">
        <v>2868</v>
      </c>
      <c r="C25" s="929"/>
      <c r="D25" s="2745"/>
      <c r="E25" s="2745"/>
      <c r="F25" s="2816"/>
      <c r="G25" s="2745"/>
      <c r="H25" s="2745"/>
      <c r="I25" s="2745"/>
      <c r="J25" s="2746"/>
      <c r="K25" s="1369"/>
      <c r="N25" s="2817" t="s">
        <v>2869</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8"/>
      <c r="B26" s="2805" t="s">
        <v>2870</v>
      </c>
      <c r="C26" s="206" t="e">
        <f>E29+SUM(E33:E39)</f>
        <v>#DIV/0!</v>
      </c>
      <c r="D26" s="2819"/>
      <c r="E26" s="2770"/>
      <c r="F26" s="2820"/>
      <c r="G26" s="2770"/>
      <c r="H26" s="2770"/>
      <c r="I26" s="2770"/>
      <c r="J26" s="2821"/>
      <c r="K26" s="1369"/>
      <c r="L26" s="2774" t="s">
        <v>2767</v>
      </c>
      <c r="M26" s="919" t="s">
        <v>2832</v>
      </c>
      <c r="N26" s="919" t="s">
        <v>2833</v>
      </c>
      <c r="O26" s="919" t="s">
        <v>2834</v>
      </c>
      <c r="P26" s="2775" t="s">
        <v>2835</v>
      </c>
      <c r="R26" s="1375"/>
      <c r="S26" s="1375"/>
      <c r="T26" s="1370"/>
      <c r="U26" s="1370"/>
      <c r="V26" s="1370"/>
      <c r="W26" s="1369"/>
      <c r="X26" s="1369"/>
      <c r="Y26" s="1369"/>
      <c r="Z26" s="1376"/>
      <c r="AA26" s="1377"/>
      <c r="AB26" s="1377"/>
      <c r="AC26" s="1377"/>
      <c r="AD26" s="1377"/>
    </row>
    <row r="27" spans="1:37" ht="15.75" thickBot="1">
      <c r="A27" s="2818"/>
      <c r="B27" s="2822" t="s">
        <v>2871</v>
      </c>
      <c r="C27" s="930" t="e">
        <f>E30+SUM(I33:I39)</f>
        <v>#DIV/0!</v>
      </c>
      <c r="D27" s="2823"/>
      <c r="E27" s="2824"/>
      <c r="F27" s="2825"/>
      <c r="G27" s="2824"/>
      <c r="H27" s="2824"/>
      <c r="I27" s="2824"/>
      <c r="J27" s="2826"/>
      <c r="K27" s="1369"/>
      <c r="L27" s="2778"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2872</v>
      </c>
      <c r="C28" s="2829" t="s">
        <v>2873</v>
      </c>
      <c r="D28" s="2829" t="s">
        <v>2874</v>
      </c>
      <c r="E28" s="2830" t="s">
        <v>2875</v>
      </c>
      <c r="F28" s="2831"/>
      <c r="G28" s="2758"/>
      <c r="H28" s="2758"/>
      <c r="I28" s="2758"/>
      <c r="J28" s="2759"/>
      <c r="K28" s="1369"/>
      <c r="L28" s="2779"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2876</v>
      </c>
      <c r="C29" s="206" t="e">
        <f>ROUND(C5*C18*C19*C20*C21*C24,0)</f>
        <v>#DIV/0!</v>
      </c>
      <c r="D29" s="2834"/>
      <c r="E29" s="941" t="e">
        <f>ROUND(C29*D29/10000,0)</f>
        <v>#DIV/0!</v>
      </c>
      <c r="F29" s="2835" t="s">
        <v>2877</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2878</v>
      </c>
      <c r="C30" s="229" t="e">
        <f>ROUND(IF(E2="工业",C29*M39,C29*M38),0)</f>
        <v>#DIV/0!</v>
      </c>
      <c r="D30" s="2840"/>
      <c r="E30" s="941" t="e">
        <f>ROUND(C30*D30/10000,0)</f>
        <v>#DIV/0!</v>
      </c>
      <c r="F30" s="2841" t="s">
        <v>2879</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2880</v>
      </c>
      <c r="C31" s="2846" t="s">
        <v>2881</v>
      </c>
      <c r="D31" s="2758"/>
      <c r="E31" s="2846"/>
      <c r="F31" s="2846"/>
      <c r="G31" s="2756" t="s">
        <v>2882</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2873</v>
      </c>
      <c r="D32" s="498" t="s">
        <v>2874</v>
      </c>
      <c r="E32" s="498" t="s">
        <v>2875</v>
      </c>
      <c r="F32" s="388" t="s">
        <v>2883</v>
      </c>
      <c r="G32" s="2849" t="s">
        <v>2873</v>
      </c>
      <c r="H32" s="2849" t="s">
        <v>2874</v>
      </c>
      <c r="I32" s="2849" t="s">
        <v>2875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295" t="s">
        <v>2884</v>
      </c>
      <c r="B33" s="2850" t="s">
        <v>2885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96"/>
      <c r="B34" s="2762" t="s">
        <v>2886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6"/>
      <c r="B35" s="2762" t="s">
        <v>2887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297"/>
      <c r="B36" s="2762" t="s">
        <v>2888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2889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2890</v>
      </c>
      <c r="M37" s="2854"/>
      <c r="N37" s="1369"/>
      <c r="O37" s="1369"/>
      <c r="P37" s="1369"/>
      <c r="Q37" s="1369"/>
      <c r="R37" s="1369"/>
      <c r="S37" s="1369"/>
      <c r="T37" s="1369"/>
      <c r="U37" s="1369"/>
      <c r="V37" s="1369"/>
      <c r="W37" s="1369"/>
      <c r="X37" s="1369"/>
      <c r="Y37" s="1369"/>
      <c r="Z37" s="1370"/>
    </row>
    <row r="38" spans="1:37">
      <c r="A38" s="2852"/>
      <c r="B38" s="2762" t="s">
        <v>2891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2892</v>
      </c>
      <c r="M38" s="2855">
        <v>0.25</v>
      </c>
      <c r="N38" s="1369"/>
      <c r="O38" s="1369"/>
      <c r="P38" s="1369"/>
      <c r="Q38" s="1369"/>
      <c r="R38" s="1369"/>
      <c r="S38" s="1369"/>
      <c r="T38" s="1369"/>
      <c r="U38" s="1369"/>
      <c r="V38" s="1369"/>
      <c r="W38" s="1369"/>
      <c r="X38" s="1369"/>
      <c r="Y38" s="1369"/>
      <c r="Z38" s="1370"/>
    </row>
    <row r="39" spans="1:37" ht="13.5" thickBot="1">
      <c r="A39" s="2838"/>
      <c r="B39" s="2856" t="s">
        <v>2893</v>
      </c>
      <c r="C39" s="229" t="e">
        <f>ROUND(D5*C19*C41*C24*F39,0)</f>
        <v>#DIV/0!</v>
      </c>
      <c r="D39" s="2840"/>
      <c r="E39" s="229" t="e">
        <f t="shared" si="7"/>
        <v>#DIV/0!</v>
      </c>
      <c r="F39" s="931">
        <f>SUMIF(修正!A45:A56,G2,修正!H45:H56)</f>
        <v>0</v>
      </c>
      <c r="G39" s="229" t="e">
        <f>ROUND(IF(E2="工业",C39*$M$39,C39*$M$38),0)</f>
        <v>#DIV/0!</v>
      </c>
      <c r="H39" s="229">
        <f t="shared" si="8"/>
        <v>0</v>
      </c>
      <c r="I39" s="229" t="e">
        <f t="shared" si="9"/>
        <v>#DIV/0!</v>
      </c>
      <c r="J39" s="2857"/>
      <c r="K39" s="1369"/>
      <c r="L39" s="2858" t="s">
        <v>2835</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3004</v>
      </c>
      <c r="C41" s="388" t="e">
        <f>ROUND(POWER(1+E41,H41-G41)*(POWER(1+E41,G41)-1)/(POWER(1+E41,H41)-1),4)</f>
        <v>#DIV/0!</v>
      </c>
      <c r="D41" s="200" t="s">
        <v>2842</v>
      </c>
      <c r="E41" s="2926">
        <f>G20</f>
        <v>0</v>
      </c>
      <c r="F41" s="200" t="s">
        <v>2852</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2894</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2895</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2896</v>
      </c>
      <c r="B47" s="1808" t="s">
        <v>2897</v>
      </c>
      <c r="C47" s="1808" t="s">
        <v>2898</v>
      </c>
      <c r="D47" s="1808" t="s">
        <v>2899</v>
      </c>
      <c r="E47" s="818" t="s">
        <v>2900</v>
      </c>
      <c r="F47" s="2868" t="s">
        <v>2901</v>
      </c>
      <c r="G47" s="1808" t="s">
        <v>754</v>
      </c>
      <c r="H47" s="2869" t="s">
        <v>2902</v>
      </c>
      <c r="I47" s="1808" t="s">
        <v>2903</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67" t="s">
        <v>2904</v>
      </c>
      <c r="B48" s="2870" t="str">
        <f>估价对象房地状况!C4</f>
        <v>估价对象位于圣莲岛，周边商业氛围成熟度一般，人流量大一般，商业繁华度一般</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2905</v>
      </c>
      <c r="B49" s="2871" t="str">
        <f>估价对象房地状况!C18</f>
        <v>估价对象周边道路状况较差、公共交通通达情况较差、停车便捷程度一般，综合评价交通便捷度较差</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2906</v>
      </c>
      <c r="B50" s="2871" t="str">
        <f>估价对象房地状况!C19</f>
        <v>较一致</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2907</v>
      </c>
      <c r="B51" s="2872" t="s">
        <v>2908</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2909</v>
      </c>
      <c r="B52" s="2871" t="str">
        <f>估价对象房地状况!C24</f>
        <v>城市支路</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2910</v>
      </c>
      <c r="B53" s="2873" t="s">
        <v>2911</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2912</v>
      </c>
      <c r="B54" s="1724" t="str">
        <f>估价对象房地状况!C21</f>
        <v>估价对象所在区域公共配套设施齐备情况较差</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2913</v>
      </c>
      <c r="B55" s="2871" t="str">
        <f>估价对象房地状况!C22</f>
        <v>估价对象所在区域基础设施水平较好</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2914</v>
      </c>
      <c r="B56" s="2876" t="str">
        <f>估价对象房地状况!C20</f>
        <v>区域自然环境：较好；人文环境：一般；综合评价环境状况一般</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2915</v>
      </c>
      <c r="B57" s="2864">
        <f>1+E59</f>
        <v>1</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2896</v>
      </c>
      <c r="B58" s="1808"/>
      <c r="C58" s="1808" t="s">
        <v>2898</v>
      </c>
      <c r="D58" s="1808" t="s">
        <v>2899</v>
      </c>
      <c r="E58" s="818" t="s">
        <v>2900</v>
      </c>
      <c r="F58" s="2868" t="s">
        <v>2916</v>
      </c>
      <c r="G58" s="1808" t="s">
        <v>754</v>
      </c>
      <c r="H58" s="2869" t="s">
        <v>2902</v>
      </c>
      <c r="I58" s="1808" t="s">
        <v>2903</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67" t="s">
        <v>2917</v>
      </c>
      <c r="B59" s="2870">
        <f>估价对象房地状况!C17</f>
        <v>0</v>
      </c>
      <c r="C59" s="2767"/>
      <c r="D59" s="1285">
        <f t="shared" ref="D59:D67" si="15">SUMIF($J$58:$N$58,C59,J59:N59)</f>
        <v>0</v>
      </c>
      <c r="E59" s="820">
        <f>ROUND(SUM(D59:D67),4)</f>
        <v>0</v>
      </c>
      <c r="F59" s="249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2905</v>
      </c>
      <c r="B60" s="2871" t="str">
        <f>估价对象房地状况!C18</f>
        <v>估价对象周边道路状况较差、公共交通通达情况较差、停车便捷程度一般，综合评价交通便捷度较差</v>
      </c>
      <c r="C60" s="2767"/>
      <c r="D60" s="1285">
        <f t="shared" si="15"/>
        <v>0</v>
      </c>
      <c r="E60" s="821"/>
      <c r="F60" s="2498"/>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2906</v>
      </c>
      <c r="B61" s="2871" t="str">
        <f>估价对象房地状况!C19</f>
        <v>较一致</v>
      </c>
      <c r="C61" s="2767"/>
      <c r="D61" s="1285">
        <f t="shared" si="15"/>
        <v>0</v>
      </c>
      <c r="E61" s="821"/>
      <c r="F61" s="2498"/>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2907</v>
      </c>
      <c r="B62" s="2872" t="s">
        <v>2908</v>
      </c>
      <c r="C62" s="2767"/>
      <c r="D62" s="1285">
        <f t="shared" si="15"/>
        <v>0</v>
      </c>
      <c r="E62" s="821"/>
      <c r="F62" s="2498"/>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2909</v>
      </c>
      <c r="B63" s="2871" t="str">
        <f>估价对象房地状况!C24</f>
        <v>城市支路</v>
      </c>
      <c r="C63" s="2767"/>
      <c r="D63" s="1285">
        <f t="shared" si="15"/>
        <v>0</v>
      </c>
      <c r="E63" s="821"/>
      <c r="F63" s="2498"/>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2910</v>
      </c>
      <c r="B64" s="2873" t="s">
        <v>2911</v>
      </c>
      <c r="C64" s="2767"/>
      <c r="D64" s="1285">
        <f t="shared" si="15"/>
        <v>0</v>
      </c>
      <c r="E64" s="821"/>
      <c r="F64" s="2498"/>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2912</v>
      </c>
      <c r="B65" s="1724" t="str">
        <f>估价对象房地状况!C21</f>
        <v>估价对象所在区域公共配套设施齐备情况较差</v>
      </c>
      <c r="C65" s="2767"/>
      <c r="D65" s="1285">
        <f t="shared" si="15"/>
        <v>0</v>
      </c>
      <c r="E65" s="821"/>
      <c r="F65" s="2498"/>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2913</v>
      </c>
      <c r="B66" s="1724" t="str">
        <f>估价对象房地状况!C22</f>
        <v>估价对象所在区域基础设施水平较好</v>
      </c>
      <c r="C66" s="2767"/>
      <c r="D66" s="1285">
        <f t="shared" si="15"/>
        <v>0</v>
      </c>
      <c r="E66" s="821"/>
      <c r="F66" s="2498"/>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2914</v>
      </c>
      <c r="B67" s="2877" t="str">
        <f>估价对象房地状况!C20</f>
        <v>区域自然环境：较好；人文环境：一般；综合评价环境状况一般</v>
      </c>
      <c r="C67" s="2767"/>
      <c r="D67" s="1285">
        <f t="shared" si="15"/>
        <v>0</v>
      </c>
      <c r="E67" s="824"/>
      <c r="F67" s="2498"/>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2918</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2896</v>
      </c>
      <c r="B69" s="1808"/>
      <c r="C69" s="1808" t="s">
        <v>2898</v>
      </c>
      <c r="D69" s="1808" t="s">
        <v>2899</v>
      </c>
      <c r="E69" s="818" t="s">
        <v>2900</v>
      </c>
      <c r="F69" s="2868" t="s">
        <v>2916</v>
      </c>
      <c r="G69" s="1808" t="s">
        <v>754</v>
      </c>
      <c r="H69" s="2869" t="s">
        <v>2902</v>
      </c>
      <c r="I69" s="1808" t="s">
        <v>2903</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67" t="s">
        <v>2919</v>
      </c>
      <c r="B70" s="2870" t="str">
        <f>估价对象房地状况!C15</f>
        <v>估价对象位于圣莲岛，周边居住用地比例一般、居住小区规模和社区发展完善程度一般，综合评价居住社区成熟度一般</v>
      </c>
      <c r="C70" s="2767"/>
      <c r="D70" s="1285">
        <f t="shared" ref="D70:D78" si="20">SUMIF($J$69:$N$69,C70,J70:N70)</f>
        <v>0</v>
      </c>
      <c r="E70" s="820">
        <f>ROUND(SUM(D70:D78),4)</f>
        <v>0</v>
      </c>
      <c r="F70" s="249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2905</v>
      </c>
      <c r="B71" s="2871" t="str">
        <f>估价对象房地状况!C18</f>
        <v>估价对象周边道路状况较差、公共交通通达情况较差、停车便捷程度一般，综合评价交通便捷度较差</v>
      </c>
      <c r="C71" s="2767"/>
      <c r="D71" s="1285">
        <f t="shared" si="20"/>
        <v>0</v>
      </c>
      <c r="E71" s="825"/>
      <c r="F71" s="2498"/>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2906</v>
      </c>
      <c r="B72" s="2871" t="str">
        <f>估价对象房地状况!C19</f>
        <v>较一致</v>
      </c>
      <c r="C72" s="2767"/>
      <c r="D72" s="1285">
        <f t="shared" si="20"/>
        <v>0</v>
      </c>
      <c r="E72" s="825"/>
      <c r="F72" s="2498"/>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2920</v>
      </c>
      <c r="B73" s="2871" t="str">
        <f>估价对象房地状况!C24</f>
        <v>城市支路</v>
      </c>
      <c r="C73" s="2767"/>
      <c r="D73" s="1285">
        <f t="shared" si="20"/>
        <v>0</v>
      </c>
      <c r="E73" s="825"/>
      <c r="F73" s="2498"/>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2912</v>
      </c>
      <c r="B74" s="1724" t="str">
        <f>估价对象房地状况!C21</f>
        <v>估价对象所在区域公共配套设施齐备情况较差</v>
      </c>
      <c r="C74" s="2767"/>
      <c r="D74" s="1285">
        <f t="shared" si="20"/>
        <v>0</v>
      </c>
      <c r="E74" s="825"/>
      <c r="F74" s="2498"/>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2913</v>
      </c>
      <c r="B75" s="1724" t="str">
        <f>估价对象房地状况!C22</f>
        <v>估价对象所在区域基础设施水平较好</v>
      </c>
      <c r="C75" s="2767"/>
      <c r="D75" s="1285">
        <f t="shared" si="20"/>
        <v>0</v>
      </c>
      <c r="E75" s="825"/>
      <c r="F75" s="2498"/>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2910</v>
      </c>
      <c r="B76" s="2873" t="s">
        <v>2911</v>
      </c>
      <c r="C76" s="2767"/>
      <c r="D76" s="1285">
        <f t="shared" si="20"/>
        <v>0</v>
      </c>
      <c r="E76" s="825"/>
      <c r="F76" s="2498"/>
      <c r="G76" s="1283"/>
      <c r="H76" s="1287" t="str">
        <f t="shared" si="21"/>
        <v>——</v>
      </c>
      <c r="I76" s="819">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2914</v>
      </c>
      <c r="B77" s="2870" t="str">
        <f>估价对象房地状况!C20</f>
        <v>区域自然环境：较好；人文环境：一般；综合评价环境状况一般</v>
      </c>
      <c r="C77" s="2767"/>
      <c r="D77" s="1285">
        <f t="shared" si="20"/>
        <v>0</v>
      </c>
      <c r="E77" s="825"/>
      <c r="F77" s="2498"/>
      <c r="G77" s="1283"/>
      <c r="H77" s="1287" t="str">
        <f t="shared" si="21"/>
        <v>——</v>
      </c>
      <c r="I77" s="819">
        <v>0.15</v>
      </c>
      <c r="J77" s="1284">
        <f t="shared" si="22"/>
        <v>0</v>
      </c>
      <c r="K77" s="1284">
        <f t="shared" si="23"/>
        <v>0</v>
      </c>
      <c r="L77" s="1284">
        <v>0</v>
      </c>
      <c r="M77" s="1284">
        <f t="shared" si="24"/>
        <v>0</v>
      </c>
      <c r="N77" s="1284">
        <f t="shared" si="24"/>
        <v>0</v>
      </c>
      <c r="Z77" s="2717"/>
      <c r="AA77" s="2785"/>
      <c r="AG77" s="1371"/>
      <c r="AK77" s="2785"/>
    </row>
    <row r="78" spans="1:37" ht="24.75" thickBot="1">
      <c r="A78" s="2875" t="s">
        <v>2921</v>
      </c>
      <c r="B78" s="2879"/>
      <c r="C78" s="2767"/>
      <c r="D78" s="1285">
        <f t="shared" si="20"/>
        <v>0</v>
      </c>
      <c r="E78" s="826"/>
      <c r="F78" s="2498"/>
      <c r="G78" s="1283"/>
      <c r="H78" s="1287" t="str">
        <f t="shared" si="21"/>
        <v>——</v>
      </c>
      <c r="I78" s="823">
        <v>0.04</v>
      </c>
      <c r="J78" s="1284">
        <f t="shared" si="22"/>
        <v>0</v>
      </c>
      <c r="K78" s="1284">
        <f t="shared" si="23"/>
        <v>0</v>
      </c>
      <c r="L78" s="1284">
        <v>0</v>
      </c>
      <c r="M78" s="1284">
        <f t="shared" si="24"/>
        <v>0</v>
      </c>
      <c r="N78" s="1284">
        <f t="shared" si="24"/>
        <v>0</v>
      </c>
      <c r="Z78" s="2717"/>
      <c r="AA78" s="2785"/>
      <c r="AG78" s="1371"/>
      <c r="AK78" s="2785"/>
    </row>
    <row r="79" spans="1:37" ht="15">
      <c r="A79" s="2863" t="s">
        <v>2922</v>
      </c>
      <c r="B79" s="2864">
        <f>1+E81</f>
        <v>1</v>
      </c>
      <c r="C79" s="813"/>
      <c r="D79" s="813"/>
      <c r="E79" s="814"/>
      <c r="F79" s="2866"/>
      <c r="G79" s="6"/>
      <c r="H79" s="6"/>
      <c r="I79" s="6"/>
      <c r="J79" s="7"/>
      <c r="K79" s="7"/>
      <c r="L79" s="7"/>
      <c r="M79" s="7"/>
      <c r="N79" s="7"/>
      <c r="Z79" s="2717"/>
      <c r="AA79" s="2785"/>
      <c r="AG79" s="1371"/>
      <c r="AK79" s="2785"/>
    </row>
    <row r="80" spans="1:37" ht="24.75">
      <c r="A80" s="2867" t="s">
        <v>2896</v>
      </c>
      <c r="B80" s="1808"/>
      <c r="C80" s="1808" t="s">
        <v>2898</v>
      </c>
      <c r="D80" s="1808" t="s">
        <v>2899</v>
      </c>
      <c r="E80" s="818" t="s">
        <v>2900</v>
      </c>
      <c r="F80" s="2868" t="s">
        <v>2916</v>
      </c>
      <c r="G80" s="1808" t="s">
        <v>754</v>
      </c>
      <c r="H80" s="2869" t="s">
        <v>2902</v>
      </c>
      <c r="I80" s="1808" t="s">
        <v>2903</v>
      </c>
      <c r="J80" s="603" t="s">
        <v>2550</v>
      </c>
      <c r="K80" s="603" t="s">
        <v>2551</v>
      </c>
      <c r="L80" s="603" t="s">
        <v>2552</v>
      </c>
      <c r="M80" s="603" t="s">
        <v>2553</v>
      </c>
      <c r="N80" s="603" t="s">
        <v>2554</v>
      </c>
      <c r="Z80" s="2717"/>
      <c r="AA80" s="2785"/>
      <c r="AG80" s="1371"/>
      <c r="AK80" s="2785"/>
    </row>
    <row r="81" spans="1:37" ht="24">
      <c r="A81" s="2867" t="s">
        <v>2923</v>
      </c>
      <c r="B81" s="2871">
        <f>估价对象房地状况!G15</f>
        <v>0</v>
      </c>
      <c r="C81" s="2767"/>
      <c r="D81" s="1285">
        <f t="shared" ref="D81:D88" si="25">SUMIF($J$80:$N$80,C81,J81:N81)</f>
        <v>0</v>
      </c>
      <c r="E81" s="820">
        <f>ROUND(SUM(D81:D88),4)</f>
        <v>0</v>
      </c>
      <c r="F81" s="249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14.25">
      <c r="A82" s="2867" t="s">
        <v>2905</v>
      </c>
      <c r="B82" s="2871">
        <f>估价对象房地状况!G16</f>
        <v>0</v>
      </c>
      <c r="C82" s="2767"/>
      <c r="D82" s="1285">
        <f t="shared" si="25"/>
        <v>0</v>
      </c>
      <c r="E82" s="825"/>
      <c r="F82" s="2498"/>
      <c r="G82" s="1283"/>
      <c r="H82" s="1287" t="str">
        <f t="shared" si="26"/>
        <v>——</v>
      </c>
      <c r="I82" s="819">
        <v>0.33</v>
      </c>
      <c r="J82" s="1284">
        <f t="shared" si="27"/>
        <v>0</v>
      </c>
      <c r="K82" s="1284">
        <f t="shared" si="28"/>
        <v>0</v>
      </c>
      <c r="L82" s="1284">
        <v>0</v>
      </c>
      <c r="M82" s="1284">
        <f t="shared" si="29"/>
        <v>0</v>
      </c>
      <c r="N82" s="1284">
        <f t="shared" si="29"/>
        <v>0</v>
      </c>
      <c r="Z82" s="2717"/>
      <c r="AA82" s="2785"/>
      <c r="AG82" s="1371"/>
      <c r="AK82" s="2785"/>
    </row>
    <row r="83" spans="1:37" ht="24">
      <c r="A83" s="2867" t="s">
        <v>2906</v>
      </c>
      <c r="B83" s="2871">
        <f>估价对象房地状况!G17</f>
        <v>0</v>
      </c>
      <c r="C83" s="2767"/>
      <c r="D83" s="1285">
        <f t="shared" si="25"/>
        <v>0</v>
      </c>
      <c r="E83" s="825"/>
      <c r="F83" s="2498"/>
      <c r="G83" s="1283"/>
      <c r="H83" s="1287" t="str">
        <f t="shared" si="26"/>
        <v>——</v>
      </c>
      <c r="I83" s="819">
        <v>0.05</v>
      </c>
      <c r="J83" s="1284">
        <f t="shared" si="27"/>
        <v>0</v>
      </c>
      <c r="K83" s="1284">
        <f t="shared" si="28"/>
        <v>0</v>
      </c>
      <c r="L83" s="1284">
        <v>0</v>
      </c>
      <c r="M83" s="1284">
        <f t="shared" si="29"/>
        <v>0</v>
      </c>
      <c r="N83" s="1284">
        <f t="shared" si="29"/>
        <v>0</v>
      </c>
      <c r="Z83" s="2717"/>
      <c r="AA83" s="2785"/>
      <c r="AG83" s="1371"/>
      <c r="AK83" s="2785"/>
    </row>
    <row r="84" spans="1:37" ht="14.25">
      <c r="A84" s="2867" t="s">
        <v>2920</v>
      </c>
      <c r="B84" s="2871">
        <f>估价对象房地状况!G22</f>
        <v>0</v>
      </c>
      <c r="C84" s="2767"/>
      <c r="D84" s="1285">
        <f t="shared" si="25"/>
        <v>0</v>
      </c>
      <c r="E84" s="825"/>
      <c r="F84" s="2498"/>
      <c r="G84" s="1283"/>
      <c r="H84" s="1287" t="str">
        <f t="shared" si="26"/>
        <v>——</v>
      </c>
      <c r="I84" s="819">
        <v>0.04</v>
      </c>
      <c r="J84" s="1284">
        <f t="shared" si="27"/>
        <v>0</v>
      </c>
      <c r="K84" s="1284">
        <f t="shared" si="28"/>
        <v>0</v>
      </c>
      <c r="L84" s="1284">
        <v>0</v>
      </c>
      <c r="M84" s="1284">
        <f t="shared" si="29"/>
        <v>0</v>
      </c>
      <c r="N84" s="1284">
        <f t="shared" si="29"/>
        <v>0</v>
      </c>
      <c r="Z84" s="2717"/>
      <c r="AA84" s="2785"/>
      <c r="AG84" s="1371"/>
      <c r="AK84" s="2785"/>
    </row>
    <row r="85" spans="1:37" ht="24">
      <c r="A85" s="2867" t="s">
        <v>2912</v>
      </c>
      <c r="B85" s="1724">
        <f>估价对象房地状况!G19</f>
        <v>0</v>
      </c>
      <c r="C85" s="2767"/>
      <c r="D85" s="1285">
        <f t="shared" si="25"/>
        <v>0</v>
      </c>
      <c r="E85" s="825"/>
      <c r="F85" s="2498"/>
      <c r="G85" s="1283"/>
      <c r="H85" s="1287" t="str">
        <f t="shared" si="26"/>
        <v>——</v>
      </c>
      <c r="I85" s="819">
        <v>0.06</v>
      </c>
      <c r="J85" s="1284">
        <f t="shared" si="27"/>
        <v>0</v>
      </c>
      <c r="K85" s="1284">
        <f t="shared" si="28"/>
        <v>0</v>
      </c>
      <c r="L85" s="1284">
        <v>0</v>
      </c>
      <c r="M85" s="1284">
        <f t="shared" si="29"/>
        <v>0</v>
      </c>
      <c r="N85" s="1284">
        <f t="shared" si="29"/>
        <v>0</v>
      </c>
      <c r="Z85" s="2717"/>
      <c r="AA85" s="2785"/>
      <c r="AG85" s="1371"/>
      <c r="AK85" s="2785"/>
    </row>
    <row r="86" spans="1:37" ht="24">
      <c r="A86" s="2867" t="s">
        <v>2913</v>
      </c>
      <c r="B86" s="1724">
        <f>估价对象房地状况!G20</f>
        <v>0</v>
      </c>
      <c r="C86" s="2767"/>
      <c r="D86" s="1285">
        <f t="shared" si="25"/>
        <v>0</v>
      </c>
      <c r="E86" s="825"/>
      <c r="F86" s="2498"/>
      <c r="G86" s="1283"/>
      <c r="H86" s="1287" t="str">
        <f t="shared" si="26"/>
        <v>——</v>
      </c>
      <c r="I86" s="819">
        <v>0.15</v>
      </c>
      <c r="J86" s="1284">
        <f t="shared" si="27"/>
        <v>0</v>
      </c>
      <c r="K86" s="1284">
        <f t="shared" si="28"/>
        <v>0</v>
      </c>
      <c r="L86" s="1284">
        <v>0</v>
      </c>
      <c r="M86" s="1284">
        <f t="shared" si="29"/>
        <v>0</v>
      </c>
      <c r="N86" s="1284">
        <f t="shared" si="29"/>
        <v>0</v>
      </c>
      <c r="Z86" s="2717"/>
      <c r="AA86" s="2785"/>
      <c r="AG86" s="1371"/>
      <c r="AK86" s="2785"/>
    </row>
    <row r="87" spans="1:37" ht="24">
      <c r="A87" s="2867" t="s">
        <v>2910</v>
      </c>
      <c r="B87" s="2873" t="s">
        <v>2924</v>
      </c>
      <c r="C87" s="2767"/>
      <c r="D87" s="1285">
        <f t="shared" si="25"/>
        <v>0</v>
      </c>
      <c r="E87" s="825"/>
      <c r="F87" s="2498"/>
      <c r="G87" s="1283"/>
      <c r="H87" s="1287" t="str">
        <f t="shared" si="26"/>
        <v>——</v>
      </c>
      <c r="I87" s="819">
        <v>0.05</v>
      </c>
      <c r="J87" s="1284">
        <f t="shared" si="27"/>
        <v>0</v>
      </c>
      <c r="K87" s="1284">
        <f t="shared" si="28"/>
        <v>0</v>
      </c>
      <c r="L87" s="1284">
        <v>0</v>
      </c>
      <c r="M87" s="1284">
        <f t="shared" si="29"/>
        <v>0</v>
      </c>
      <c r="N87" s="1284">
        <f t="shared" si="29"/>
        <v>0</v>
      </c>
      <c r="Z87" s="2717"/>
      <c r="AA87" s="2785"/>
      <c r="AG87" s="1371"/>
      <c r="AK87" s="2785"/>
    </row>
    <row r="88" spans="1:37" ht="15" thickBot="1">
      <c r="A88" s="2875" t="s">
        <v>2925</v>
      </c>
      <c r="B88" s="2880">
        <f>估价对象房地状况!G18</f>
        <v>0</v>
      </c>
      <c r="C88" s="2767"/>
      <c r="D88" s="1285">
        <f t="shared" si="25"/>
        <v>0</v>
      </c>
      <c r="E88" s="826"/>
      <c r="F88" s="2498"/>
      <c r="G88" s="1283"/>
      <c r="H88" s="1287" t="str">
        <f t="shared" si="26"/>
        <v>——</v>
      </c>
      <c r="I88" s="823">
        <v>0.06</v>
      </c>
      <c r="J88" s="1284">
        <f t="shared" si="27"/>
        <v>0</v>
      </c>
      <c r="K88" s="1284">
        <f t="shared" si="28"/>
        <v>0</v>
      </c>
      <c r="L88" s="1284">
        <v>0</v>
      </c>
      <c r="M88" s="1284">
        <f t="shared" si="29"/>
        <v>0</v>
      </c>
      <c r="N88" s="1284">
        <f t="shared" si="29"/>
        <v>0</v>
      </c>
      <c r="Z88" s="2717"/>
      <c r="AA88" s="2785"/>
      <c r="AG88" s="1371"/>
      <c r="AK88" s="2785"/>
    </row>
    <row r="90" spans="1:37">
      <c r="A90" s="3289" t="s">
        <v>2926</v>
      </c>
      <c r="B90" s="3289"/>
      <c r="C90" s="3289"/>
      <c r="D90" s="3289"/>
      <c r="E90" s="3289"/>
      <c r="F90" s="3289"/>
      <c r="G90" s="3289"/>
      <c r="H90" s="3289"/>
      <c r="I90" s="3289"/>
      <c r="J90" s="3289"/>
      <c r="K90" s="2881"/>
      <c r="L90" s="2881"/>
      <c r="M90" s="2881"/>
      <c r="N90" s="2881"/>
    </row>
    <row r="91" spans="1:37">
      <c r="A91" s="3291" t="s">
        <v>2927</v>
      </c>
      <c r="B91" s="3291" t="s">
        <v>2928</v>
      </c>
      <c r="C91" s="2835" t="s">
        <v>2929</v>
      </c>
      <c r="D91" s="2836"/>
      <c r="E91" s="2836"/>
      <c r="F91" s="2836"/>
      <c r="G91" s="2836"/>
      <c r="H91" s="2836"/>
      <c r="I91" s="2836"/>
      <c r="J91" s="2882"/>
      <c r="K91" s="2883"/>
      <c r="L91" s="2883"/>
      <c r="M91" s="2883"/>
      <c r="N91" s="2883"/>
    </row>
    <row r="92" spans="1:37">
      <c r="A92" s="3291"/>
      <c r="B92" s="3291"/>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292" t="s">
        <v>2930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3"/>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2" t="s">
        <v>2931</v>
      </c>
      <c r="B101" s="2888" t="s">
        <v>2932</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93"/>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93"/>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93"/>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93"/>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93"/>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93"/>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93"/>
      <c r="B108" s="3146" t="s">
        <v>2933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4"/>
      <c r="B109" s="3147"/>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90" t="s">
        <v>2934</v>
      </c>
      <c r="B110" s="3290"/>
      <c r="C110" s="3290"/>
      <c r="D110" s="3290"/>
      <c r="E110" s="3290"/>
      <c r="F110" s="3290"/>
      <c r="G110" s="3290"/>
      <c r="H110" s="3290"/>
      <c r="I110" s="3290"/>
      <c r="J110" s="3290"/>
      <c r="K110" s="2890"/>
      <c r="L110" s="2890"/>
      <c r="M110" s="2890"/>
      <c r="N110" s="2890"/>
    </row>
    <row r="112" spans="1:14" ht="13.5" thickBot="1"/>
    <row r="113" spans="1:13" ht="25.5" thickBot="1">
      <c r="A113" s="902" t="s">
        <v>2935</v>
      </c>
      <c r="B113" s="1286" t="e">
        <f>G3</f>
        <v>#DIV/0!</v>
      </c>
      <c r="C113" s="903" t="s">
        <v>2936</v>
      </c>
      <c r="D113" s="904" t="e">
        <f>SUMPRODUCT((A115:A118=F113)*(B114:M114=H113)*B115:M118)</f>
        <v>#DIV/0!</v>
      </c>
      <c r="E113" s="2721" t="s">
        <v>2767</v>
      </c>
      <c r="F113" s="2892">
        <f>E2</f>
        <v>0</v>
      </c>
      <c r="G113" s="2721" t="s">
        <v>2768</v>
      </c>
      <c r="H113" s="2892">
        <f>G2</f>
        <v>0</v>
      </c>
      <c r="I113" s="2721"/>
      <c r="J113" s="2893"/>
      <c r="K113" s="2893"/>
      <c r="L113" s="2893"/>
      <c r="M113" s="2893"/>
    </row>
    <row r="114" spans="1:13">
      <c r="A114" s="907"/>
      <c r="B114" s="2894" t="s">
        <v>2937</v>
      </c>
      <c r="C114" s="2894" t="s">
        <v>2938</v>
      </c>
      <c r="D114" s="2894" t="s">
        <v>2939</v>
      </c>
      <c r="E114" s="2895" t="s">
        <v>2940</v>
      </c>
      <c r="F114" s="2895" t="s">
        <v>2941</v>
      </c>
      <c r="G114" s="2895" t="s">
        <v>2942</v>
      </c>
      <c r="H114" s="2896" t="s">
        <v>2943</v>
      </c>
      <c r="I114" s="2896" t="s">
        <v>2944</v>
      </c>
      <c r="J114" s="2897" t="s">
        <v>2945</v>
      </c>
      <c r="K114" s="2897" t="s">
        <v>2946</v>
      </c>
      <c r="L114" s="2897" t="s">
        <v>2947</v>
      </c>
      <c r="M114" s="2898" t="s">
        <v>2948</v>
      </c>
    </row>
    <row r="115" spans="1:13">
      <c r="A115" s="908" t="s">
        <v>2832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2835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300" t="s">
        <v>183</v>
      </c>
      <c r="B18" s="881" t="s">
        <v>560</v>
      </c>
      <c r="C18" s="882" t="s">
        <v>561</v>
      </c>
      <c r="D18" s="883"/>
      <c r="E18" s="881">
        <v>1</v>
      </c>
      <c r="F18" s="884" t="s">
        <v>562</v>
      </c>
      <c r="G18" s="885"/>
      <c r="H18" s="877"/>
      <c r="I18" s="877"/>
    </row>
    <row r="19" spans="1:9" s="886" customFormat="1" ht="19.5" customHeight="1">
      <c r="A19" s="3300"/>
      <c r="B19" s="3300" t="s">
        <v>563</v>
      </c>
      <c r="C19" s="882" t="s">
        <v>564</v>
      </c>
      <c r="D19" s="883"/>
      <c r="E19" s="881">
        <v>0.9</v>
      </c>
      <c r="F19" s="884" t="s">
        <v>565</v>
      </c>
      <c r="G19" s="885"/>
      <c r="H19" s="877"/>
      <c r="I19" s="877"/>
    </row>
    <row r="20" spans="1:9" s="886" customFormat="1" ht="19.5" customHeight="1">
      <c r="A20" s="3300"/>
      <c r="B20" s="3300"/>
      <c r="C20" s="882" t="s">
        <v>566</v>
      </c>
      <c r="D20" s="883"/>
      <c r="E20" s="881">
        <v>1.1000000000000001</v>
      </c>
      <c r="F20" s="884" t="s">
        <v>567</v>
      </c>
      <c r="G20" s="885"/>
      <c r="H20" s="877"/>
      <c r="I20" s="877"/>
    </row>
    <row r="21" spans="1:9" s="886" customFormat="1" ht="19.5" customHeight="1">
      <c r="A21" s="3300"/>
      <c r="B21" s="3300"/>
      <c r="C21" s="882" t="s">
        <v>568</v>
      </c>
      <c r="D21" s="883"/>
      <c r="E21" s="881">
        <v>0.8</v>
      </c>
      <c r="F21" s="884" t="s">
        <v>569</v>
      </c>
      <c r="G21" s="885"/>
      <c r="H21" s="877"/>
      <c r="I21" s="877"/>
    </row>
    <row r="22" spans="1:9" s="886" customFormat="1" ht="19.5" customHeight="1">
      <c r="A22" s="3300"/>
      <c r="B22" s="3300"/>
      <c r="C22" s="882" t="s">
        <v>570</v>
      </c>
      <c r="D22" s="883"/>
      <c r="E22" s="881">
        <v>0.5</v>
      </c>
      <c r="F22" s="884"/>
      <c r="G22" s="885"/>
      <c r="H22" s="877"/>
      <c r="I22" s="877"/>
    </row>
    <row r="23" spans="1:9" s="886" customFormat="1" ht="19.5" customHeight="1">
      <c r="A23" s="3300" t="s">
        <v>184</v>
      </c>
      <c r="B23" s="881" t="s">
        <v>560</v>
      </c>
      <c r="C23" s="882" t="s">
        <v>571</v>
      </c>
      <c r="D23" s="883"/>
      <c r="E23" s="881">
        <v>1</v>
      </c>
      <c r="F23" s="884" t="s">
        <v>572</v>
      </c>
      <c r="G23" s="885"/>
      <c r="H23" s="877"/>
      <c r="I23" s="877"/>
    </row>
    <row r="24" spans="1:9" s="886" customFormat="1" ht="19.5" customHeight="1">
      <c r="A24" s="3300"/>
      <c r="B24" s="3300" t="s">
        <v>563</v>
      </c>
      <c r="C24" s="882" t="s">
        <v>573</v>
      </c>
      <c r="D24" s="883"/>
      <c r="E24" s="881">
        <v>0.5</v>
      </c>
      <c r="F24" s="884"/>
      <c r="G24" s="885"/>
      <c r="H24" s="877"/>
      <c r="I24" s="877"/>
    </row>
    <row r="25" spans="1:9" s="886" customFormat="1" ht="19.5" customHeight="1">
      <c r="A25" s="3300"/>
      <c r="B25" s="3300"/>
      <c r="C25" s="882" t="s">
        <v>574</v>
      </c>
      <c r="D25" s="883"/>
      <c r="E25" s="881">
        <v>1.1000000000000001</v>
      </c>
      <c r="F25" s="884"/>
      <c r="G25" s="885"/>
      <c r="H25" s="877"/>
      <c r="I25" s="877"/>
    </row>
    <row r="26" spans="1:9" s="886" customFormat="1" ht="19.5" customHeight="1">
      <c r="A26" s="3300"/>
      <c r="B26" s="3300"/>
      <c r="C26" s="882" t="s">
        <v>575</v>
      </c>
      <c r="D26" s="883"/>
      <c r="E26" s="881">
        <v>1.1000000000000001</v>
      </c>
      <c r="F26" s="884"/>
      <c r="G26" s="885"/>
      <c r="H26" s="877"/>
      <c r="I26" s="877"/>
    </row>
    <row r="27" spans="1:9" s="886" customFormat="1" ht="19.5" customHeight="1">
      <c r="A27" s="3300"/>
      <c r="B27" s="3300"/>
      <c r="C27" s="882" t="s">
        <v>576</v>
      </c>
      <c r="D27" s="883"/>
      <c r="E27" s="881">
        <v>0.9</v>
      </c>
      <c r="F27" s="884" t="s">
        <v>577</v>
      </c>
      <c r="G27" s="885"/>
      <c r="H27" s="877"/>
      <c r="I27" s="877"/>
    </row>
    <row r="28" spans="1:9" s="886" customFormat="1" ht="19.5" customHeight="1">
      <c r="A28" s="3300"/>
      <c r="B28" s="3300"/>
      <c r="C28" s="882" t="s">
        <v>578</v>
      </c>
      <c r="D28" s="883"/>
      <c r="E28" s="881">
        <v>0.9</v>
      </c>
      <c r="F28" s="884" t="s">
        <v>579</v>
      </c>
      <c r="G28" s="885"/>
      <c r="H28" s="877"/>
      <c r="I28" s="877"/>
    </row>
    <row r="29" spans="1:9" s="886" customFormat="1" ht="19.5" customHeight="1">
      <c r="A29" s="3300"/>
      <c r="B29" s="3300"/>
      <c r="C29" s="882" t="s">
        <v>580</v>
      </c>
      <c r="D29" s="883"/>
      <c r="E29" s="881">
        <v>0.9</v>
      </c>
      <c r="F29" s="884" t="s">
        <v>581</v>
      </c>
      <c r="G29" s="885"/>
      <c r="H29" s="877"/>
      <c r="I29" s="877"/>
    </row>
    <row r="30" spans="1:9" s="886" customFormat="1" ht="19.5" customHeight="1">
      <c r="A30" s="3300"/>
      <c r="B30" s="3300"/>
      <c r="C30" s="882" t="s">
        <v>582</v>
      </c>
      <c r="D30" s="883"/>
      <c r="E30" s="881">
        <v>0.9</v>
      </c>
      <c r="F30" s="884" t="s">
        <v>583</v>
      </c>
      <c r="G30" s="885"/>
      <c r="H30" s="877"/>
      <c r="I30" s="877"/>
    </row>
    <row r="31" spans="1:9" s="886" customFormat="1" ht="19.5" customHeight="1">
      <c r="A31" s="3300"/>
      <c r="B31" s="3300"/>
      <c r="C31" s="882" t="s">
        <v>584</v>
      </c>
      <c r="D31" s="883"/>
      <c r="E31" s="881">
        <v>0.8</v>
      </c>
      <c r="F31" s="884" t="s">
        <v>585</v>
      </c>
      <c r="G31" s="885"/>
      <c r="H31" s="877"/>
      <c r="I31" s="877"/>
    </row>
    <row r="32" spans="1:9" s="886" customFormat="1" ht="19.5" customHeight="1">
      <c r="A32" s="3300"/>
      <c r="B32" s="3300"/>
      <c r="C32" s="882" t="s">
        <v>586</v>
      </c>
      <c r="D32" s="883"/>
      <c r="E32" s="881">
        <v>0.8</v>
      </c>
      <c r="F32" s="884" t="s">
        <v>587</v>
      </c>
      <c r="G32" s="885"/>
      <c r="H32" s="877"/>
      <c r="I32" s="877"/>
    </row>
    <row r="33" spans="1:9" s="886" customFormat="1" ht="19.5" customHeight="1">
      <c r="A33" s="3300" t="s">
        <v>185</v>
      </c>
      <c r="B33" s="881" t="s">
        <v>560</v>
      </c>
      <c r="C33" s="882" t="s">
        <v>588</v>
      </c>
      <c r="D33" s="883"/>
      <c r="E33" s="881">
        <v>1</v>
      </c>
      <c r="F33" s="884" t="s">
        <v>589</v>
      </c>
      <c r="G33" s="885"/>
      <c r="H33" s="877"/>
      <c r="I33" s="877"/>
    </row>
    <row r="34" spans="1:9" s="886" customFormat="1" ht="19.5" customHeight="1">
      <c r="A34" s="3300"/>
      <c r="B34" s="881" t="s">
        <v>563</v>
      </c>
      <c r="C34" s="882" t="s">
        <v>590</v>
      </c>
      <c r="D34" s="883"/>
      <c r="E34" s="881">
        <v>1.5</v>
      </c>
      <c r="F34" s="884" t="s">
        <v>591</v>
      </c>
      <c r="G34" s="885"/>
      <c r="H34" s="877"/>
      <c r="I34" s="877"/>
    </row>
    <row r="35" spans="1:9" s="886" customFormat="1" ht="19.5" customHeight="1">
      <c r="A35" s="3300" t="s">
        <v>186</v>
      </c>
      <c r="B35" s="881" t="s">
        <v>560</v>
      </c>
      <c r="C35" s="882" t="s">
        <v>592</v>
      </c>
      <c r="D35" s="883"/>
      <c r="E35" s="881">
        <v>1</v>
      </c>
      <c r="F35" s="884" t="s">
        <v>593</v>
      </c>
      <c r="G35" s="885"/>
      <c r="H35" s="877"/>
      <c r="I35" s="877"/>
    </row>
    <row r="36" spans="1:9" s="886" customFormat="1" ht="19.5" customHeight="1">
      <c r="A36" s="3300"/>
      <c r="B36" s="3300" t="s">
        <v>563</v>
      </c>
      <c r="C36" s="882" t="s">
        <v>594</v>
      </c>
      <c r="D36" s="883"/>
      <c r="E36" s="881">
        <v>1</v>
      </c>
      <c r="F36" s="884" t="s">
        <v>595</v>
      </c>
      <c r="G36" s="885"/>
      <c r="H36" s="877"/>
      <c r="I36" s="877"/>
    </row>
    <row r="37" spans="1:9" s="886" customFormat="1" ht="19.5" customHeight="1">
      <c r="A37" s="3300"/>
      <c r="B37" s="3300"/>
      <c r="C37" s="882" t="s">
        <v>596</v>
      </c>
      <c r="D37" s="883"/>
      <c r="E37" s="881">
        <v>1.5</v>
      </c>
      <c r="F37" s="884" t="s">
        <v>597</v>
      </c>
      <c r="G37" s="885"/>
      <c r="H37" s="877"/>
      <c r="I37" s="877"/>
    </row>
    <row r="38" spans="1:9" s="886" customFormat="1" ht="19.5" customHeight="1">
      <c r="A38" s="3300"/>
      <c r="B38" s="3300"/>
      <c r="C38" s="882" t="s">
        <v>598</v>
      </c>
      <c r="D38" s="883"/>
      <c r="E38" s="881">
        <v>1</v>
      </c>
      <c r="F38" s="884" t="s">
        <v>599</v>
      </c>
      <c r="G38" s="885"/>
      <c r="H38" s="877"/>
      <c r="I38" s="877"/>
    </row>
    <row r="39" spans="1:9" s="886" customFormat="1" ht="19.5" customHeight="1">
      <c r="A39" s="3300"/>
      <c r="B39" s="330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0" t="s">
        <v>614</v>
      </c>
      <c r="C61" s="817" t="s">
        <v>615</v>
      </c>
      <c r="D61" s="817" t="s">
        <v>616</v>
      </c>
      <c r="E61" s="894">
        <v>0.5</v>
      </c>
      <c r="F61" s="881">
        <v>80</v>
      </c>
    </row>
    <row r="62" spans="1:8" s="877" customFormat="1" ht="24">
      <c r="A62" s="881">
        <v>2</v>
      </c>
      <c r="B62" s="3300"/>
      <c r="C62" s="817" t="s">
        <v>617</v>
      </c>
      <c r="D62" s="817" t="s">
        <v>618</v>
      </c>
      <c r="E62" s="894">
        <v>0.5</v>
      </c>
      <c r="F62" s="881">
        <v>80</v>
      </c>
    </row>
    <row r="63" spans="1:8" s="877" customFormat="1" ht="36">
      <c r="A63" s="881">
        <v>3</v>
      </c>
      <c r="B63" s="3300"/>
      <c r="C63" s="817" t="s">
        <v>619</v>
      </c>
      <c r="D63" s="817" t="s">
        <v>620</v>
      </c>
      <c r="E63" s="894">
        <v>0.5</v>
      </c>
      <c r="F63" s="881">
        <v>80</v>
      </c>
    </row>
    <row r="64" spans="1:8" s="877" customFormat="1" ht="36">
      <c r="A64" s="881">
        <v>4</v>
      </c>
      <c r="B64" s="3300"/>
      <c r="C64" s="817" t="s">
        <v>621</v>
      </c>
      <c r="D64" s="817" t="s">
        <v>622</v>
      </c>
      <c r="E64" s="894">
        <v>0.4</v>
      </c>
      <c r="F64" s="881">
        <v>60</v>
      </c>
    </row>
    <row r="65" spans="1:6" s="877" customFormat="1" ht="36">
      <c r="A65" s="881">
        <v>5</v>
      </c>
      <c r="B65" s="3300"/>
      <c r="C65" s="817" t="s">
        <v>623</v>
      </c>
      <c r="D65" s="817" t="s">
        <v>624</v>
      </c>
      <c r="E65" s="894">
        <v>0.2</v>
      </c>
      <c r="F65" s="881">
        <v>30</v>
      </c>
    </row>
    <row r="66" spans="1:6" s="877" customFormat="1" ht="36">
      <c r="A66" s="881">
        <v>6</v>
      </c>
      <c r="B66" s="3300"/>
      <c r="C66" s="817" t="s">
        <v>625</v>
      </c>
      <c r="D66" s="817" t="s">
        <v>626</v>
      </c>
      <c r="E66" s="894">
        <v>0.3</v>
      </c>
      <c r="F66" s="881">
        <v>50</v>
      </c>
    </row>
    <row r="67" spans="1:6" s="877" customFormat="1" ht="36">
      <c r="A67" s="881">
        <v>7</v>
      </c>
      <c r="B67" s="3300"/>
      <c r="C67" s="817" t="s">
        <v>627</v>
      </c>
      <c r="D67" s="817" t="s">
        <v>628</v>
      </c>
      <c r="E67" s="894">
        <v>0.2</v>
      </c>
      <c r="F67" s="881">
        <v>30</v>
      </c>
    </row>
    <row r="68" spans="1:6" s="877" customFormat="1" ht="36">
      <c r="A68" s="881">
        <v>8</v>
      </c>
      <c r="B68" s="3300"/>
      <c r="C68" s="817" t="s">
        <v>629</v>
      </c>
      <c r="D68" s="817" t="s">
        <v>630</v>
      </c>
      <c r="E68" s="894">
        <v>0.2</v>
      </c>
      <c r="F68" s="881">
        <v>30</v>
      </c>
    </row>
    <row r="69" spans="1:6" s="877" customFormat="1" ht="36">
      <c r="A69" s="881">
        <v>9</v>
      </c>
      <c r="B69" s="3300"/>
      <c r="C69" s="817" t="s">
        <v>631</v>
      </c>
      <c r="D69" s="817" t="s">
        <v>632</v>
      </c>
      <c r="E69" s="894">
        <v>0.2</v>
      </c>
      <c r="F69" s="881">
        <v>30</v>
      </c>
    </row>
    <row r="70" spans="1:6" s="877" customFormat="1" ht="48">
      <c r="A70" s="881">
        <v>10</v>
      </c>
      <c r="B70" s="3300"/>
      <c r="C70" s="817" t="s">
        <v>633</v>
      </c>
      <c r="D70" s="817" t="s">
        <v>634</v>
      </c>
      <c r="E70" s="894">
        <v>0.2</v>
      </c>
      <c r="F70" s="881">
        <v>30</v>
      </c>
    </row>
    <row r="71" spans="1:6" s="877" customFormat="1" ht="48">
      <c r="A71" s="881">
        <v>11</v>
      </c>
      <c r="B71" s="3300"/>
      <c r="C71" s="817" t="s">
        <v>635</v>
      </c>
      <c r="D71" s="817" t="s">
        <v>636</v>
      </c>
      <c r="E71" s="894">
        <v>0.2</v>
      </c>
      <c r="F71" s="881">
        <v>30</v>
      </c>
    </row>
    <row r="72" spans="1:6" s="877" customFormat="1" ht="36">
      <c r="A72" s="881">
        <v>12</v>
      </c>
      <c r="B72" s="3300"/>
      <c r="C72" s="817" t="s">
        <v>637</v>
      </c>
      <c r="D72" s="817" t="s">
        <v>638</v>
      </c>
      <c r="E72" s="894">
        <v>0.5</v>
      </c>
      <c r="F72" s="881">
        <v>80</v>
      </c>
    </row>
    <row r="73" spans="1:6" s="877" customFormat="1" ht="24">
      <c r="A73" s="881">
        <v>13</v>
      </c>
      <c r="B73" s="3300"/>
      <c r="C73" s="817" t="s">
        <v>639</v>
      </c>
      <c r="D73" s="817" t="s">
        <v>640</v>
      </c>
      <c r="E73" s="894">
        <v>0.4</v>
      </c>
      <c r="F73" s="881">
        <v>60</v>
      </c>
    </row>
    <row r="74" spans="1:6" s="877" customFormat="1" ht="24">
      <c r="A74" s="881">
        <v>14</v>
      </c>
      <c r="B74" s="3300"/>
      <c r="C74" s="817" t="s">
        <v>641</v>
      </c>
      <c r="D74" s="817" t="s">
        <v>642</v>
      </c>
      <c r="E74" s="894">
        <v>0.2</v>
      </c>
      <c r="F74" s="881">
        <v>30</v>
      </c>
    </row>
    <row r="75" spans="1:6" s="877" customFormat="1" ht="24">
      <c r="A75" s="881">
        <v>15</v>
      </c>
      <c r="B75" s="3300"/>
      <c r="C75" s="817" t="s">
        <v>643</v>
      </c>
      <c r="D75" s="817" t="s">
        <v>644</v>
      </c>
      <c r="E75" s="894">
        <v>0.2</v>
      </c>
      <c r="F75" s="881">
        <v>30</v>
      </c>
    </row>
    <row r="76" spans="1:6" s="877" customFormat="1" ht="24">
      <c r="A76" s="881">
        <v>16</v>
      </c>
      <c r="B76" s="3300" t="s">
        <v>645</v>
      </c>
      <c r="C76" s="817" t="s">
        <v>646</v>
      </c>
      <c r="D76" s="817" t="s">
        <v>647</v>
      </c>
      <c r="E76" s="894">
        <v>0.5</v>
      </c>
      <c r="F76" s="881">
        <v>80</v>
      </c>
    </row>
    <row r="77" spans="1:6" s="877" customFormat="1" ht="24">
      <c r="A77" s="881">
        <v>17</v>
      </c>
      <c r="B77" s="3300"/>
      <c r="C77" s="817" t="s">
        <v>648</v>
      </c>
      <c r="D77" s="817" t="s">
        <v>649</v>
      </c>
      <c r="E77" s="894">
        <v>0.5</v>
      </c>
      <c r="F77" s="881">
        <v>80</v>
      </c>
    </row>
    <row r="78" spans="1:6" s="877" customFormat="1" ht="24">
      <c r="A78" s="881">
        <v>18</v>
      </c>
      <c r="B78" s="3300"/>
      <c r="C78" s="817" t="s">
        <v>650</v>
      </c>
      <c r="D78" s="817" t="s">
        <v>651</v>
      </c>
      <c r="E78" s="894">
        <v>0.2</v>
      </c>
      <c r="F78" s="881">
        <v>30</v>
      </c>
    </row>
    <row r="79" spans="1:6" s="877" customFormat="1" ht="24">
      <c r="A79" s="881">
        <v>19</v>
      </c>
      <c r="B79" s="3300"/>
      <c r="C79" s="817" t="s">
        <v>652</v>
      </c>
      <c r="D79" s="817" t="s">
        <v>653</v>
      </c>
      <c r="E79" s="894">
        <v>0.5</v>
      </c>
      <c r="F79" s="881">
        <v>80</v>
      </c>
    </row>
    <row r="80" spans="1:6" s="877" customFormat="1" ht="36">
      <c r="A80" s="881">
        <v>20</v>
      </c>
      <c r="B80" s="3300"/>
      <c r="C80" s="817" t="s">
        <v>654</v>
      </c>
      <c r="D80" s="817" t="s">
        <v>655</v>
      </c>
      <c r="E80" s="894">
        <v>0.2</v>
      </c>
      <c r="F80" s="881">
        <v>30</v>
      </c>
    </row>
    <row r="81" spans="1:6" s="877" customFormat="1" ht="36">
      <c r="A81" s="881">
        <v>21</v>
      </c>
      <c r="B81" s="3300"/>
      <c r="C81" s="817" t="s">
        <v>656</v>
      </c>
      <c r="D81" s="817" t="s">
        <v>657</v>
      </c>
      <c r="E81" s="894">
        <v>0.2</v>
      </c>
      <c r="F81" s="881">
        <v>30</v>
      </c>
    </row>
    <row r="82" spans="1:6" s="877" customFormat="1" ht="48">
      <c r="A82" s="881">
        <v>22</v>
      </c>
      <c r="B82" s="3300"/>
      <c r="C82" s="817" t="s">
        <v>658</v>
      </c>
      <c r="D82" s="817" t="s">
        <v>659</v>
      </c>
      <c r="E82" s="894">
        <v>0.2</v>
      </c>
      <c r="F82" s="881">
        <v>30</v>
      </c>
    </row>
    <row r="83" spans="1:6" s="877" customFormat="1" ht="48">
      <c r="A83" s="881">
        <v>23</v>
      </c>
      <c r="B83" s="3300"/>
      <c r="C83" s="817" t="s">
        <v>660</v>
      </c>
      <c r="D83" s="817" t="s">
        <v>661</v>
      </c>
      <c r="E83" s="894">
        <v>0.2</v>
      </c>
      <c r="F83" s="881">
        <v>30</v>
      </c>
    </row>
    <row r="84" spans="1:6" s="877" customFormat="1" ht="36">
      <c r="A84" s="881">
        <v>24</v>
      </c>
      <c r="B84" s="3300"/>
      <c r="C84" s="817" t="s">
        <v>662</v>
      </c>
      <c r="D84" s="817" t="s">
        <v>663</v>
      </c>
      <c r="E84" s="894">
        <v>0.2</v>
      </c>
      <c r="F84" s="881">
        <v>30</v>
      </c>
    </row>
    <row r="85" spans="1:6" s="877" customFormat="1" ht="36">
      <c r="A85" s="881">
        <v>25</v>
      </c>
      <c r="B85" s="3300"/>
      <c r="C85" s="817" t="s">
        <v>664</v>
      </c>
      <c r="D85" s="817" t="s">
        <v>665</v>
      </c>
      <c r="E85" s="894">
        <v>0.5</v>
      </c>
      <c r="F85" s="881">
        <v>80</v>
      </c>
    </row>
    <row r="86" spans="1:6" s="877" customFormat="1" ht="36">
      <c r="A86" s="881">
        <v>26</v>
      </c>
      <c r="B86" s="3300"/>
      <c r="C86" s="817" t="s">
        <v>666</v>
      </c>
      <c r="D86" s="817" t="s">
        <v>667</v>
      </c>
      <c r="E86" s="894">
        <v>0.2</v>
      </c>
      <c r="F86" s="881">
        <v>30</v>
      </c>
    </row>
    <row r="87" spans="1:6" s="877" customFormat="1" ht="36">
      <c r="A87" s="881">
        <v>27</v>
      </c>
      <c r="B87" s="3300"/>
      <c r="C87" s="817" t="s">
        <v>668</v>
      </c>
      <c r="D87" s="817" t="s">
        <v>669</v>
      </c>
      <c r="E87" s="894">
        <v>0.2</v>
      </c>
      <c r="F87" s="881">
        <v>30</v>
      </c>
    </row>
    <row r="88" spans="1:6" s="877" customFormat="1" ht="36">
      <c r="A88" s="881">
        <v>28</v>
      </c>
      <c r="B88" s="3300"/>
      <c r="C88" s="817" t="s">
        <v>670</v>
      </c>
      <c r="D88" s="817" t="s">
        <v>671</v>
      </c>
      <c r="E88" s="894">
        <v>0.2</v>
      </c>
      <c r="F88" s="881">
        <v>30</v>
      </c>
    </row>
    <row r="89" spans="1:6" s="877" customFormat="1" ht="24">
      <c r="A89" s="881">
        <v>29</v>
      </c>
      <c r="B89" s="3300"/>
      <c r="C89" s="817" t="s">
        <v>672</v>
      </c>
      <c r="D89" s="817" t="s">
        <v>673</v>
      </c>
      <c r="E89" s="894">
        <v>0.2</v>
      </c>
      <c r="F89" s="881">
        <v>30</v>
      </c>
    </row>
    <row r="90" spans="1:6" s="877" customFormat="1" ht="24">
      <c r="A90" s="881">
        <v>30</v>
      </c>
      <c r="B90" s="3300"/>
      <c r="C90" s="817" t="s">
        <v>674</v>
      </c>
      <c r="D90" s="817" t="s">
        <v>675</v>
      </c>
      <c r="E90" s="894">
        <v>0.2</v>
      </c>
      <c r="F90" s="881">
        <v>30</v>
      </c>
    </row>
    <row r="91" spans="1:6" s="877" customFormat="1" ht="36">
      <c r="A91" s="881">
        <v>31</v>
      </c>
      <c r="B91" s="3300"/>
      <c r="C91" s="817" t="s">
        <v>676</v>
      </c>
      <c r="D91" s="817" t="s">
        <v>677</v>
      </c>
      <c r="E91" s="894">
        <v>0.2</v>
      </c>
      <c r="F91" s="881">
        <v>30</v>
      </c>
    </row>
    <row r="92" spans="1:6" s="877" customFormat="1" ht="24">
      <c r="A92" s="881">
        <v>32</v>
      </c>
      <c r="B92" s="3300" t="s">
        <v>678</v>
      </c>
      <c r="C92" s="881" t="s">
        <v>679</v>
      </c>
      <c r="D92" s="817" t="s">
        <v>680</v>
      </c>
      <c r="E92" s="894">
        <v>0.2</v>
      </c>
      <c r="F92" s="881">
        <v>30</v>
      </c>
    </row>
    <row r="93" spans="1:6" s="877" customFormat="1" ht="36">
      <c r="A93" s="881">
        <v>33</v>
      </c>
      <c r="B93" s="3300"/>
      <c r="C93" s="881" t="s">
        <v>681</v>
      </c>
      <c r="D93" s="817" t="s">
        <v>682</v>
      </c>
      <c r="E93" s="894">
        <v>0.2</v>
      </c>
      <c r="F93" s="881">
        <v>30</v>
      </c>
    </row>
    <row r="94" spans="1:6" s="877" customFormat="1" ht="48">
      <c r="A94" s="881">
        <v>34</v>
      </c>
      <c r="B94" s="3300"/>
      <c r="C94" s="881" t="s">
        <v>683</v>
      </c>
      <c r="D94" s="817" t="s">
        <v>684</v>
      </c>
      <c r="E94" s="894">
        <v>0.2</v>
      </c>
      <c r="F94" s="881">
        <v>30</v>
      </c>
    </row>
    <row r="95" spans="1:6" s="877" customFormat="1" ht="36">
      <c r="A95" s="881">
        <v>35</v>
      </c>
      <c r="B95" s="3300"/>
      <c r="C95" s="881" t="s">
        <v>685</v>
      </c>
      <c r="D95" s="817" t="s">
        <v>686</v>
      </c>
      <c r="E95" s="894">
        <v>0.2</v>
      </c>
      <c r="F95" s="881">
        <v>30</v>
      </c>
    </row>
    <row r="96" spans="1:6" s="877" customFormat="1" ht="48">
      <c r="A96" s="881">
        <v>36</v>
      </c>
      <c r="B96" s="3300"/>
      <c r="C96" s="817" t="s">
        <v>687</v>
      </c>
      <c r="D96" s="817" t="s">
        <v>688</v>
      </c>
      <c r="E96" s="894">
        <v>0.2</v>
      </c>
      <c r="F96" s="881">
        <v>30</v>
      </c>
    </row>
    <row r="97" spans="1:6" s="877" customFormat="1" ht="36">
      <c r="A97" s="881">
        <v>37</v>
      </c>
      <c r="B97" s="3300"/>
      <c r="C97" s="881" t="s">
        <v>689</v>
      </c>
      <c r="D97" s="817" t="s">
        <v>690</v>
      </c>
      <c r="E97" s="894">
        <v>0.2</v>
      </c>
      <c r="F97" s="881">
        <v>30</v>
      </c>
    </row>
    <row r="98" spans="1:6" s="877" customFormat="1" ht="36">
      <c r="A98" s="881">
        <v>38</v>
      </c>
      <c r="B98" s="3300"/>
      <c r="C98" s="881" t="s">
        <v>691</v>
      </c>
      <c r="D98" s="817" t="s">
        <v>692</v>
      </c>
      <c r="E98" s="894">
        <v>0.2</v>
      </c>
      <c r="F98" s="881">
        <v>30</v>
      </c>
    </row>
    <row r="99" spans="1:6" s="877" customFormat="1" ht="36">
      <c r="A99" s="881">
        <v>39</v>
      </c>
      <c r="B99" s="3300" t="s">
        <v>693</v>
      </c>
      <c r="C99" s="881" t="s">
        <v>694</v>
      </c>
      <c r="D99" s="817" t="s">
        <v>695</v>
      </c>
      <c r="E99" s="894">
        <v>0.3</v>
      </c>
      <c r="F99" s="881">
        <v>50</v>
      </c>
    </row>
    <row r="100" spans="1:6" s="877" customFormat="1" ht="24">
      <c r="A100" s="881">
        <v>40</v>
      </c>
      <c r="B100" s="3300"/>
      <c r="C100" s="881" t="s">
        <v>696</v>
      </c>
      <c r="D100" s="817" t="s">
        <v>697</v>
      </c>
      <c r="E100" s="894">
        <v>0.2</v>
      </c>
      <c r="F100" s="881">
        <v>30</v>
      </c>
    </row>
    <row r="101" spans="1:6" s="877" customFormat="1" ht="36">
      <c r="A101" s="881">
        <v>41</v>
      </c>
      <c r="B101" s="330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0" t="s">
        <v>708</v>
      </c>
      <c r="C105" s="881" t="s">
        <v>709</v>
      </c>
      <c r="D105" s="817" t="s">
        <v>710</v>
      </c>
      <c r="E105" s="894">
        <v>0.2</v>
      </c>
      <c r="F105" s="881">
        <v>30</v>
      </c>
    </row>
    <row r="106" spans="1:6" s="877" customFormat="1" ht="36">
      <c r="A106" s="881">
        <v>46</v>
      </c>
      <c r="B106" s="3300"/>
      <c r="C106" s="881" t="s">
        <v>711</v>
      </c>
      <c r="D106" s="817" t="s">
        <v>712</v>
      </c>
      <c r="E106" s="894">
        <v>0.2</v>
      </c>
      <c r="F106" s="881">
        <v>30</v>
      </c>
    </row>
    <row r="107" spans="1:6" s="877" customFormat="1" ht="36">
      <c r="A107" s="881">
        <v>47</v>
      </c>
      <c r="B107" s="3300" t="s">
        <v>713</v>
      </c>
      <c r="C107" s="881" t="s">
        <v>714</v>
      </c>
      <c r="D107" s="817" t="s">
        <v>715</v>
      </c>
      <c r="E107" s="894">
        <v>0.3</v>
      </c>
      <c r="F107" s="881">
        <v>50</v>
      </c>
    </row>
    <row r="108" spans="1:6" s="877" customFormat="1" ht="36">
      <c r="A108" s="881">
        <v>48</v>
      </c>
      <c r="B108" s="330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0" t="s">
        <v>724</v>
      </c>
      <c r="C111" s="881" t="s">
        <v>725</v>
      </c>
      <c r="D111" s="817" t="s">
        <v>726</v>
      </c>
      <c r="E111" s="894">
        <v>0.2</v>
      </c>
      <c r="F111" s="881">
        <v>30</v>
      </c>
    </row>
    <row r="112" spans="1:6" s="877" customFormat="1" ht="24">
      <c r="A112" s="881">
        <v>52</v>
      </c>
      <c r="B112" s="3300"/>
      <c r="C112" s="881" t="s">
        <v>727</v>
      </c>
      <c r="D112" s="817" t="s">
        <v>728</v>
      </c>
      <c r="E112" s="894">
        <v>0.2</v>
      </c>
      <c r="F112" s="881">
        <v>30</v>
      </c>
    </row>
    <row r="113" spans="1:6" s="877" customFormat="1" ht="24">
      <c r="A113" s="881">
        <v>53</v>
      </c>
      <c r="B113" s="330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0" t="s">
        <v>737</v>
      </c>
      <c r="C116" s="881" t="s">
        <v>738</v>
      </c>
      <c r="D116" s="817" t="s">
        <v>739</v>
      </c>
      <c r="E116" s="894">
        <v>0.2</v>
      </c>
      <c r="F116" s="881">
        <v>30</v>
      </c>
    </row>
    <row r="117" spans="1:6" ht="36">
      <c r="A117" s="881">
        <v>57</v>
      </c>
      <c r="B117" s="330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2957</v>
      </c>
    </row>
    <row r="2" spans="1:5" ht="15.75">
      <c r="A2" s="2899" t="s">
        <v>2949</v>
      </c>
      <c r="B2" s="2900" t="e">
        <f ca="1">SUMIF(B6:B13,"&lt;&gt;#ref!",B6:B13)</f>
        <v>#DIV/0!</v>
      </c>
      <c r="C2" s="2899" t="s">
        <v>2950</v>
      </c>
      <c r="D2" s="2899" t="s">
        <v>2951</v>
      </c>
      <c r="E2" s="2900">
        <f ca="1">SUMIF(E6:E13,"&lt;&gt;#ref!",E6:E13)</f>
        <v>0</v>
      </c>
    </row>
    <row r="3" spans="1:5" ht="15.75">
      <c r="A3" s="2899" t="s">
        <v>2952</v>
      </c>
      <c r="B3" s="2900" t="e">
        <f ca="1">ROUND(B2*10000/E2,0)</f>
        <v>#DIV/0!</v>
      </c>
      <c r="C3" s="2899" t="s">
        <v>2958</v>
      </c>
      <c r="D3" s="2901"/>
      <c r="E3" s="2901"/>
    </row>
    <row r="4" spans="1:5" ht="15.75">
      <c r="A4" s="2902"/>
      <c r="B4" s="2901"/>
      <c r="C4" s="2901"/>
      <c r="D4" s="2901"/>
      <c r="E4" s="2901"/>
    </row>
    <row r="5" spans="1:5" ht="28.5">
      <c r="A5" s="2903" t="s">
        <v>2953</v>
      </c>
      <c r="B5" s="2899" t="s">
        <v>2954</v>
      </c>
      <c r="C5" s="2900"/>
      <c r="D5" s="2901"/>
      <c r="E5" s="2899" t="s">
        <v>2955</v>
      </c>
    </row>
    <row r="6" spans="1:5" ht="15.75">
      <c r="A6" s="2904" t="s">
        <v>2956</v>
      </c>
      <c r="B6" s="2900" t="e">
        <f ca="1">SUMIF(INDIRECT("'"&amp;A6&amp;"'"&amp;"!A:A"),"总价",INDIRECT("'"&amp;A6&amp;"'"&amp;"!B:B"))</f>
        <v>#DIV/0!</v>
      </c>
      <c r="C6" s="2899" t="s">
        <v>2950</v>
      </c>
      <c r="D6" s="2901"/>
      <c r="E6" s="2572">
        <f ca="1">SUMIF(INDIRECT("'"&amp;A6&amp;"'"&amp;"!C:C"),"建筑面积",INDIRECT("'"&amp;A6&amp;"'"&amp;"!D:D"))</f>
        <v>0</v>
      </c>
    </row>
    <row r="7" spans="1:5" ht="15.75">
      <c r="A7" s="2904"/>
      <c r="B7" s="2900" t="e">
        <f ca="1">SUMIF(INDIRECT("'"&amp;A7&amp;"'"&amp;"!A:A"),"总价",INDIRECT("'"&amp;A7&amp;"'"&amp;"!B:B"))</f>
        <v>#REF!</v>
      </c>
      <c r="C7" s="2899" t="s">
        <v>2950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2950</v>
      </c>
      <c r="D8" s="2901"/>
      <c r="E8" s="2572" t="e">
        <f t="shared" ca="1" si="0"/>
        <v>#REF!</v>
      </c>
    </row>
    <row r="9" spans="1:5" ht="15.75">
      <c r="A9" s="2904"/>
      <c r="B9" s="2900" t="e">
        <f t="shared" ca="1" si="1"/>
        <v>#REF!</v>
      </c>
      <c r="C9" s="2899" t="s">
        <v>2950</v>
      </c>
      <c r="D9" s="2901"/>
      <c r="E9" s="2572" t="e">
        <f t="shared" ca="1" si="0"/>
        <v>#REF!</v>
      </c>
    </row>
    <row r="10" spans="1:5" ht="15.75">
      <c r="A10" s="2904"/>
      <c r="B10" s="2900" t="e">
        <f t="shared" ca="1" si="1"/>
        <v>#REF!</v>
      </c>
      <c r="C10" s="2899" t="s">
        <v>2950</v>
      </c>
      <c r="D10" s="2901"/>
      <c r="E10" s="2572" t="e">
        <f t="shared" ca="1" si="0"/>
        <v>#REF!</v>
      </c>
    </row>
    <row r="11" spans="1:5" ht="15.75">
      <c r="A11" s="2904"/>
      <c r="B11" s="2900" t="e">
        <f t="shared" ca="1" si="1"/>
        <v>#REF!</v>
      </c>
      <c r="C11" s="2899" t="s">
        <v>2950</v>
      </c>
      <c r="D11" s="2901"/>
      <c r="E11" s="2572" t="e">
        <f t="shared" ca="1" si="0"/>
        <v>#REF!</v>
      </c>
    </row>
    <row r="12" spans="1:5" ht="15.75">
      <c r="A12" s="2904"/>
      <c r="B12" s="2900" t="e">
        <f t="shared" ca="1" si="1"/>
        <v>#REF!</v>
      </c>
      <c r="C12" s="2899" t="s">
        <v>2950</v>
      </c>
      <c r="D12" s="2901"/>
      <c r="E12" s="2572" t="e">
        <f t="shared" ca="1" si="0"/>
        <v>#REF!</v>
      </c>
    </row>
    <row r="13" spans="1:5" ht="15.75">
      <c r="A13" s="2904"/>
      <c r="B13" s="2900" t="e">
        <f t="shared" ca="1" si="1"/>
        <v>#REF!</v>
      </c>
      <c r="C13" s="2899" t="s">
        <v>2950</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39">
        <f ca="1">结果表!H101</f>
        <v>1811</v>
      </c>
      <c r="E5" s="1958"/>
    </row>
    <row r="6" spans="1:5" ht="15.75">
      <c r="A6" s="1958"/>
      <c r="B6" s="2989"/>
      <c r="C6" s="1961" t="s">
        <v>1616</v>
      </c>
      <c r="D6" s="1039" t="str">
        <f ca="1">NUMBERSTRING(INT(D5*10000),2)&amp;"元整"</f>
        <v>壹仟捌佰壹拾壹万元整</v>
      </c>
      <c r="E6" s="1958"/>
    </row>
    <row r="7" spans="1:5" ht="15.75">
      <c r="A7" s="1958"/>
      <c r="B7" s="2994"/>
      <c r="C7" s="1962" t="s">
        <v>1617</v>
      </c>
      <c r="D7" s="1040">
        <f ca="1">结果表!H102</f>
        <v>7231</v>
      </c>
      <c r="E7" s="1958"/>
    </row>
    <row r="8" spans="1:5" ht="15.75">
      <c r="A8" s="1958"/>
      <c r="B8" s="2995" t="str">
        <f>结果表!E103</f>
        <v>2.估价师知悉的法定优先受偿款</v>
      </c>
      <c r="C8" s="1963" t="s">
        <v>1618</v>
      </c>
      <c r="D8" s="1040">
        <f>结果表!H103</f>
        <v>0</v>
      </c>
      <c r="E8" s="1958"/>
    </row>
    <row r="9" spans="1:5" ht="15.75">
      <c r="A9" s="1958"/>
      <c r="B9" s="2997"/>
      <c r="C9" s="1961" t="s">
        <v>1616</v>
      </c>
      <c r="D9" s="1039" t="str">
        <f>NUMBERSTRING(INT(D8*10000),2)&amp;"元整"</f>
        <v>零元整</v>
      </c>
      <c r="E9" s="1958"/>
    </row>
    <row r="10" spans="1:5" ht="15">
      <c r="A10" s="1958"/>
      <c r="B10" s="1964" t="s">
        <v>1621</v>
      </c>
      <c r="C10" s="1965" t="s">
        <v>1619</v>
      </c>
      <c r="D10" s="1041">
        <f>结果表!H104</f>
        <v>0</v>
      </c>
      <c r="E10" s="1958"/>
    </row>
    <row r="11" spans="1:5" ht="15">
      <c r="A11" s="1958"/>
      <c r="B11" s="1964" t="s">
        <v>1623</v>
      </c>
      <c r="C11" s="1965" t="s">
        <v>1624</v>
      </c>
      <c r="D11" s="1041">
        <f>结果表!H105</f>
        <v>0</v>
      </c>
      <c r="E11" s="1958"/>
    </row>
    <row r="12" spans="1:5" ht="15">
      <c r="A12" s="1958"/>
      <c r="B12" s="1964" t="s">
        <v>1625</v>
      </c>
      <c r="C12" s="1965" t="s">
        <v>1624</v>
      </c>
      <c r="D12" s="1041">
        <f>结果表!H106</f>
        <v>0</v>
      </c>
      <c r="E12" s="1958"/>
    </row>
    <row r="13" spans="1:5" ht="15.75">
      <c r="A13" s="1958"/>
      <c r="B13" s="2988" t="str">
        <f>结果表!E107</f>
        <v>3.房地产抵押价值</v>
      </c>
      <c r="C13" s="1966" t="s">
        <v>1615</v>
      </c>
      <c r="D13" s="1042">
        <f ca="1">结果表!H107</f>
        <v>1811</v>
      </c>
      <c r="E13" s="1958"/>
    </row>
    <row r="14" spans="1:5" ht="15.75">
      <c r="A14" s="1958"/>
      <c r="B14" s="2989"/>
      <c r="C14" s="1961" t="s">
        <v>1616</v>
      </c>
      <c r="D14" s="1039" t="str">
        <f ca="1">NUMBERSTRING(INT(D13*10000),2)&amp;"元整"</f>
        <v>壹仟捌佰壹拾壹万元整</v>
      </c>
      <c r="E14" s="1958"/>
    </row>
    <row r="15" spans="1:5" ht="15">
      <c r="A15" s="1958"/>
      <c r="B15" s="2994"/>
      <c r="C15" s="1962" t="s">
        <v>1626</v>
      </c>
      <c r="D15" s="1051">
        <f ca="1">结果表!H108</f>
        <v>2016</v>
      </c>
      <c r="E15" s="1958"/>
    </row>
    <row r="16" spans="1:5" ht="15">
      <c r="A16" s="1958"/>
      <c r="B16" s="2995" t="str">
        <f>结果表!E109</f>
        <v>——</v>
      </c>
      <c r="C16" s="1966" t="s">
        <v>1627</v>
      </c>
      <c r="D16" s="1967" t="str">
        <f>结果表!H109</f>
        <v>——</v>
      </c>
      <c r="E16" s="1958"/>
    </row>
    <row r="17" spans="1:5" ht="15.75">
      <c r="A17" s="1958"/>
      <c r="B17" s="2996"/>
      <c r="C17" s="1961" t="s">
        <v>1628</v>
      </c>
      <c r="D17" s="1039" t="e">
        <f>NUMBERSTRING(INT(D16*10000),2)&amp;"元整"</f>
        <v>#VALUE!</v>
      </c>
      <c r="E17" s="1958"/>
    </row>
    <row r="18" spans="1:5" ht="15">
      <c r="A18" s="1958"/>
      <c r="B18" s="2997"/>
      <c r="C18" s="1962" t="s">
        <v>1617</v>
      </c>
      <c r="D18" s="1051" t="str">
        <f>结果表!H110</f>
        <v>——</v>
      </c>
      <c r="E18" s="1958"/>
    </row>
    <row r="19" spans="1:5" ht="15.75">
      <c r="A19" s="1958"/>
      <c r="B19" s="2988" t="str">
        <f>结果表!E111</f>
        <v>——</v>
      </c>
      <c r="C19" s="1966" t="s">
        <v>1615</v>
      </c>
      <c r="D19" s="1040" t="str">
        <f>结果表!H111</f>
        <v>——</v>
      </c>
      <c r="E19" s="1958"/>
    </row>
    <row r="20" spans="1:5" ht="15.75">
      <c r="A20" s="1958"/>
      <c r="B20" s="2989"/>
      <c r="C20" s="1961" t="s">
        <v>1628</v>
      </c>
      <c r="D20" s="1039" t="e">
        <f>NUMBERSTRING(INT(D19*10000),2)&amp;"元整"</f>
        <v>#VALUE!</v>
      </c>
      <c r="E20" s="1958"/>
    </row>
    <row r="21" spans="1:5" ht="15.75" thickBot="1">
      <c r="A21" s="1958"/>
      <c r="B21" s="2990"/>
      <c r="C21" s="1968" t="s">
        <v>1626</v>
      </c>
      <c r="D21" s="1052"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F8" sqref="F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1142</v>
      </c>
      <c r="C1" s="3306"/>
      <c r="D1" s="3306"/>
      <c r="E1" s="3306"/>
      <c r="F1" s="3306"/>
      <c r="G1" s="3305" t="s">
        <v>1143</v>
      </c>
      <c r="H1" s="3305"/>
      <c r="I1" s="3305"/>
      <c r="J1" s="3305"/>
      <c r="K1" s="3305"/>
      <c r="L1" s="3305"/>
      <c r="N1" s="3305" t="s">
        <v>1144</v>
      </c>
      <c r="O1" s="3305"/>
      <c r="P1" s="3305"/>
      <c r="Q1" s="3305"/>
      <c r="R1" s="1445"/>
      <c r="S1" s="3305" t="s">
        <v>1145</v>
      </c>
      <c r="T1" s="3305"/>
      <c r="U1" s="3305"/>
      <c r="V1" s="3305"/>
      <c r="X1" s="3304" t="s">
        <v>1146</v>
      </c>
      <c r="Y1" s="3305"/>
      <c r="Z1" s="3305"/>
      <c r="AA1" s="3305"/>
      <c r="AB1" s="3305"/>
      <c r="AD1" s="3304" t="s">
        <v>1147</v>
      </c>
      <c r="AE1" s="3305"/>
      <c r="AF1" s="3305"/>
      <c r="AG1" s="3305"/>
      <c r="AH1" s="3305"/>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5" customFormat="1" ht="14.25">
      <c r="A3" s="2924" t="s">
        <v>2992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6">
        <f>I5/100</f>
        <v>0</v>
      </c>
      <c r="O5" s="1466">
        <f t="shared" ref="O5" si="7">J5/100</f>
        <v>0</v>
      </c>
      <c r="P5" s="1466">
        <f t="shared" ref="P5" si="8">K5/100</f>
        <v>0</v>
      </c>
      <c r="Q5" s="1466">
        <f t="shared" ref="Q5" si="9">L5/100</f>
        <v>0</v>
      </c>
      <c r="R5" s="1731"/>
      <c r="S5" s="1732"/>
      <c r="T5" s="1731"/>
      <c r="U5" s="1731"/>
      <c r="V5" s="1731"/>
      <c r="W5" s="2914" t="s">
        <v>2993</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3007</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8">
        <v>2019</v>
      </c>
      <c r="H6" s="1463">
        <v>1</v>
      </c>
      <c r="I6" s="2930">
        <v>0.6</v>
      </c>
      <c r="J6" s="2930">
        <v>0.37</v>
      </c>
      <c r="K6" s="2930">
        <v>0.63</v>
      </c>
      <c r="L6" s="2931">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3005</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2">
        <v>2018</v>
      </c>
      <c r="H7" s="1463">
        <v>4</v>
      </c>
      <c r="I7" s="2930">
        <v>0.96</v>
      </c>
      <c r="J7" s="2930">
        <v>1.03</v>
      </c>
      <c r="K7" s="2930">
        <v>0.92</v>
      </c>
      <c r="L7" s="2931">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2999</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2"/>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2998</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2"/>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2991</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2988</v>
      </c>
      <c r="B11" s="1468">
        <v>439</v>
      </c>
      <c r="C11" s="1468">
        <v>327</v>
      </c>
      <c r="D11" s="1468">
        <f>C11</f>
        <v>327</v>
      </c>
      <c r="E11" s="1468">
        <v>627</v>
      </c>
      <c r="F11" s="1469">
        <v>283</v>
      </c>
      <c r="G11" s="330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2989</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2"/>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1378</v>
      </c>
      <c r="B13" s="1476">
        <f t="shared" si="73"/>
        <v>419.31181600000002</v>
      </c>
      <c r="C13" s="1476">
        <f t="shared" si="74"/>
        <v>313.95436800000004</v>
      </c>
      <c r="D13" s="1476">
        <f t="shared" si="75"/>
        <v>313.95436800000004</v>
      </c>
      <c r="E13" s="1476">
        <f t="shared" si="76"/>
        <v>596.63028431999999</v>
      </c>
      <c r="F13" s="1476">
        <f t="shared" si="77"/>
        <v>274.74220703999998</v>
      </c>
      <c r="G13" s="3302"/>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1153</v>
      </c>
      <c r="B14" s="1476">
        <f>B15*(1+N14)</f>
        <v>405.524</v>
      </c>
      <c r="C14" s="1476">
        <f>C15*(1+O14)</f>
        <v>307.79840000000002</v>
      </c>
      <c r="D14" s="1476">
        <f>C14</f>
        <v>307.79840000000002</v>
      </c>
      <c r="E14" s="1476">
        <f>E15*(1+P14)</f>
        <v>574.67759999999998</v>
      </c>
      <c r="F14" s="1476">
        <f>F15*(1+Q14)</f>
        <v>270.20280000000002</v>
      </c>
      <c r="G14" s="331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2"/>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2"/>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3"/>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1">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2"/>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2"/>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3"/>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1">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2"/>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2"/>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3"/>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1154</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1155</v>
      </c>
      <c r="B27" s="1468">
        <v>299</v>
      </c>
      <c r="C27" s="1468">
        <v>252</v>
      </c>
      <c r="D27" s="1468">
        <f t="shared" si="87"/>
        <v>252</v>
      </c>
      <c r="E27" s="1468">
        <v>409</v>
      </c>
      <c r="F27" s="1469">
        <v>227</v>
      </c>
      <c r="G27" s="330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1156</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1157</v>
      </c>
      <c r="B29" s="1476">
        <f t="shared" si="96"/>
        <v>288.2649053828776</v>
      </c>
      <c r="C29" s="1476">
        <f t="shared" si="96"/>
        <v>243.64564425013293</v>
      </c>
      <c r="D29" s="1476">
        <f t="shared" si="87"/>
        <v>243.64564425013293</v>
      </c>
      <c r="E29" s="1476">
        <f t="shared" si="97"/>
        <v>393.31080825986544</v>
      </c>
      <c r="F29" s="1476">
        <f t="shared" si="97"/>
        <v>223.07903790551154</v>
      </c>
      <c r="G29" s="330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1158</v>
      </c>
      <c r="B30" s="1476">
        <f t="shared" si="96"/>
        <v>282.50186729015837</v>
      </c>
      <c r="C30" s="1476">
        <f t="shared" si="96"/>
        <v>238.09796174155468</v>
      </c>
      <c r="D30" s="1476">
        <f t="shared" si="87"/>
        <v>238.09796174155468</v>
      </c>
      <c r="E30" s="1476">
        <f t="shared" si="97"/>
        <v>385.33438646014054</v>
      </c>
      <c r="F30" s="1476">
        <f t="shared" si="97"/>
        <v>221.55034055567739</v>
      </c>
      <c r="G30" s="331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1159</v>
      </c>
      <c r="B31" s="1510">
        <v>278</v>
      </c>
      <c r="C31" s="1510">
        <v>234</v>
      </c>
      <c r="D31" s="1510">
        <f t="shared" si="87"/>
        <v>234</v>
      </c>
      <c r="E31" s="1510">
        <v>379</v>
      </c>
      <c r="F31" s="1511">
        <v>220</v>
      </c>
      <c r="G31" s="3301">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1160</v>
      </c>
      <c r="B32" s="1476">
        <f>B31/(1+N31)</f>
        <v>275.49301357645425</v>
      </c>
      <c r="C32" s="1476">
        <f>C31/(1+O31)</f>
        <v>232.41954707985698</v>
      </c>
      <c r="D32" s="1476">
        <f t="shared" si="87"/>
        <v>232.41954707985698</v>
      </c>
      <c r="E32" s="1476">
        <f t="shared" ref="E32:F34" si="98">E31/(1+P31)</f>
        <v>375.32184591008121</v>
      </c>
      <c r="F32" s="1476">
        <f t="shared" si="98"/>
        <v>218.03766105054513</v>
      </c>
      <c r="G32" s="3302"/>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1161</v>
      </c>
      <c r="B33" s="1476">
        <f>B32/(1+N32)</f>
        <v>275.24529281292263</v>
      </c>
      <c r="C33" s="1476">
        <f>C32/(1+O32)</f>
        <v>231.74747938962707</v>
      </c>
      <c r="D33" s="1476">
        <f t="shared" si="87"/>
        <v>231.74747938962707</v>
      </c>
      <c r="E33" s="1476">
        <f t="shared" si="98"/>
        <v>375.35938184826603</v>
      </c>
      <c r="F33" s="1476">
        <f t="shared" si="98"/>
        <v>216.78033510692495</v>
      </c>
      <c r="G33" s="3302"/>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1162</v>
      </c>
      <c r="B34" s="1476">
        <f>B33/(1+N33)</f>
        <v>275.19025476197027</v>
      </c>
      <c r="C34" s="1512">
        <v>232</v>
      </c>
      <c r="D34" s="1512">
        <f t="shared" si="87"/>
        <v>232</v>
      </c>
      <c r="E34" s="1476">
        <f t="shared" si="98"/>
        <v>375.65990977608692</v>
      </c>
      <c r="F34" s="1476">
        <f t="shared" si="98"/>
        <v>214.12518283971252</v>
      </c>
      <c r="G34" s="3303"/>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1163</v>
      </c>
      <c r="B35" s="1468">
        <v>275</v>
      </c>
      <c r="C35" s="1468">
        <v>232</v>
      </c>
      <c r="D35" s="1468">
        <f t="shared" si="87"/>
        <v>232</v>
      </c>
      <c r="E35" s="1468">
        <v>376</v>
      </c>
      <c r="F35" s="1469">
        <v>213</v>
      </c>
      <c r="G35" s="3301">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1164</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2">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1165</v>
      </c>
      <c r="B37" s="1476">
        <f t="shared" si="99"/>
        <v>275.19335084830601</v>
      </c>
      <c r="C37" s="1476">
        <f t="shared" si="99"/>
        <v>230.18088050139744</v>
      </c>
      <c r="D37" s="1476">
        <f t="shared" si="87"/>
        <v>230.18088050139744</v>
      </c>
      <c r="E37" s="1476">
        <f t="shared" si="100"/>
        <v>377.58482925212331</v>
      </c>
      <c r="F37" s="1476">
        <f t="shared" si="100"/>
        <v>210.90687997847917</v>
      </c>
      <c r="G37" s="3302">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1166</v>
      </c>
      <c r="B38" s="1476">
        <f t="shared" si="99"/>
        <v>276.29854502841971</v>
      </c>
      <c r="C38" s="1476">
        <f t="shared" si="99"/>
        <v>229.79023709833027</v>
      </c>
      <c r="D38" s="1476">
        <f t="shared" si="87"/>
        <v>229.79023709833027</v>
      </c>
      <c r="E38" s="1476">
        <f t="shared" si="100"/>
        <v>379.78759731655936</v>
      </c>
      <c r="F38" s="1476">
        <f t="shared" si="100"/>
        <v>211.32953905659235</v>
      </c>
      <c r="G38" s="3303">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1167</v>
      </c>
      <c r="B39" s="1468">
        <v>269</v>
      </c>
      <c r="C39" s="1468">
        <v>221</v>
      </c>
      <c r="D39" s="1468">
        <f t="shared" si="87"/>
        <v>221</v>
      </c>
      <c r="E39" s="1468">
        <v>373</v>
      </c>
      <c r="F39" s="1469">
        <v>196</v>
      </c>
      <c r="G39" s="3301">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1168</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2">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1169</v>
      </c>
      <c r="B41" s="1476">
        <f t="shared" si="101"/>
        <v>242.95398227588385</v>
      </c>
      <c r="C41" s="1476">
        <f t="shared" si="101"/>
        <v>199.59137053614126</v>
      </c>
      <c r="D41" s="1476">
        <f t="shared" si="87"/>
        <v>199.59137053614126</v>
      </c>
      <c r="E41" s="1476">
        <f t="shared" si="102"/>
        <v>335.92189522342125</v>
      </c>
      <c r="F41" s="1476">
        <f t="shared" si="102"/>
        <v>183.10139991109489</v>
      </c>
      <c r="G41" s="3302">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1170</v>
      </c>
      <c r="B42" s="1476">
        <f t="shared" si="101"/>
        <v>232.06990378821649</v>
      </c>
      <c r="C42" s="1476">
        <f t="shared" si="101"/>
        <v>192.74878854286936</v>
      </c>
      <c r="D42" s="1476">
        <f t="shared" si="87"/>
        <v>192.74878854286936</v>
      </c>
      <c r="E42" s="1476">
        <f t="shared" si="102"/>
        <v>319.71247284992984</v>
      </c>
      <c r="F42" s="1476">
        <f t="shared" si="102"/>
        <v>175.67053622862409</v>
      </c>
      <c r="G42" s="3303">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1171</v>
      </c>
      <c r="B43" s="1468">
        <v>220</v>
      </c>
      <c r="C43" s="1468">
        <v>187</v>
      </c>
      <c r="D43" s="1468">
        <f t="shared" si="87"/>
        <v>187</v>
      </c>
      <c r="E43" s="1468">
        <v>301</v>
      </c>
      <c r="F43" s="1469">
        <v>168</v>
      </c>
      <c r="G43" s="3301">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1172</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2">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1173</v>
      </c>
      <c r="B45" s="1476">
        <f t="shared" si="103"/>
        <v>210.630522469011</v>
      </c>
      <c r="C45" s="1476">
        <f t="shared" si="103"/>
        <v>181.69567812247232</v>
      </c>
      <c r="D45" s="1476">
        <f t="shared" si="87"/>
        <v>181.69567812247232</v>
      </c>
      <c r="E45" s="1476">
        <f t="shared" si="104"/>
        <v>286.13517466736738</v>
      </c>
      <c r="F45" s="1476">
        <f t="shared" si="104"/>
        <v>165.47535084591149</v>
      </c>
      <c r="G45" s="3302">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1174</v>
      </c>
      <c r="B46" s="1476">
        <f t="shared" si="103"/>
        <v>208.83454537875372</v>
      </c>
      <c r="C46" s="1476">
        <f t="shared" si="103"/>
        <v>183.77230517090351</v>
      </c>
      <c r="D46" s="1476">
        <f t="shared" si="87"/>
        <v>183.77230517090351</v>
      </c>
      <c r="E46" s="1476">
        <f t="shared" si="104"/>
        <v>281.10342338870947</v>
      </c>
      <c r="F46" s="1476">
        <f t="shared" si="104"/>
        <v>168.97309388942256</v>
      </c>
      <c r="G46" s="3303">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1175</v>
      </c>
      <c r="B47" s="1510">
        <v>214</v>
      </c>
      <c r="C47" s="1510">
        <v>188</v>
      </c>
      <c r="D47" s="1510">
        <f t="shared" si="87"/>
        <v>188</v>
      </c>
      <c r="E47" s="1510">
        <v>289</v>
      </c>
      <c r="F47" s="1511">
        <v>166</v>
      </c>
      <c r="G47" s="3301">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1176</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2">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1177</v>
      </c>
      <c r="B49" s="1476">
        <f t="shared" si="105"/>
        <v>206.31694671589116</v>
      </c>
      <c r="C49" s="1476">
        <f t="shared" si="105"/>
        <v>183.61041121036101</v>
      </c>
      <c r="D49" s="1476">
        <f t="shared" si="87"/>
        <v>183.61041121036101</v>
      </c>
      <c r="E49" s="1476">
        <f t="shared" si="106"/>
        <v>276.66850301795557</v>
      </c>
      <c r="F49" s="1476">
        <f t="shared" si="106"/>
        <v>165.1360938278614</v>
      </c>
      <c r="G49" s="3302">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1178</v>
      </c>
      <c r="B50" s="1513">
        <f t="shared" si="105"/>
        <v>196.62341248059772</v>
      </c>
      <c r="C50" s="1513">
        <f t="shared" si="105"/>
        <v>170.99125648199012</v>
      </c>
      <c r="D50" s="1513">
        <f t="shared" si="87"/>
        <v>170.99125648199012</v>
      </c>
      <c r="E50" s="1513">
        <f t="shared" si="106"/>
        <v>266.07857570490052</v>
      </c>
      <c r="F50" s="1513">
        <f t="shared" si="106"/>
        <v>154.53499328828505</v>
      </c>
      <c r="G50" s="3303">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1179</v>
      </c>
      <c r="B51" s="1468">
        <v>188</v>
      </c>
      <c r="C51" s="1468">
        <v>165</v>
      </c>
      <c r="D51" s="1468">
        <f t="shared" si="87"/>
        <v>165</v>
      </c>
      <c r="E51" s="1468">
        <v>254</v>
      </c>
      <c r="F51" s="1469">
        <v>148</v>
      </c>
      <c r="G51" s="3301">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1180</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2">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1181</v>
      </c>
      <c r="B53" s="1476">
        <f t="shared" si="109"/>
        <v>168.82017748715555</v>
      </c>
      <c r="C53" s="1476">
        <f t="shared" si="109"/>
        <v>148.06267029972753</v>
      </c>
      <c r="D53" s="1476">
        <f t="shared" si="87"/>
        <v>148.06267029972753</v>
      </c>
      <c r="E53" s="1476">
        <f t="shared" si="110"/>
        <v>216.46288379323747</v>
      </c>
      <c r="F53" s="1476">
        <f t="shared" si="110"/>
        <v>134.23529411764704</v>
      </c>
      <c r="G53" s="3302">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1182</v>
      </c>
      <c r="B54" s="1476">
        <f t="shared" si="109"/>
        <v>163.84913591779542</v>
      </c>
      <c r="C54" s="1476">
        <f t="shared" si="109"/>
        <v>145.0283378746594</v>
      </c>
      <c r="D54" s="1476">
        <f t="shared" si="87"/>
        <v>145.0283378746594</v>
      </c>
      <c r="E54" s="1476">
        <f t="shared" si="110"/>
        <v>204.95180722891567</v>
      </c>
      <c r="F54" s="1476">
        <f t="shared" si="110"/>
        <v>125.95920303605313</v>
      </c>
      <c r="G54" s="3303">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1183</v>
      </c>
      <c r="B55" s="1489">
        <v>159</v>
      </c>
      <c r="C55" s="1489">
        <v>141</v>
      </c>
      <c r="D55" s="1489">
        <f t="shared" si="87"/>
        <v>141</v>
      </c>
      <c r="E55" s="1489">
        <v>195</v>
      </c>
      <c r="F55" s="1490">
        <v>122</v>
      </c>
      <c r="G55" s="3301">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1184</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2">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1185</v>
      </c>
      <c r="B57" s="1476">
        <f t="shared" si="113"/>
        <v>146.57412060301507</v>
      </c>
      <c r="C57" s="1476">
        <f t="shared" si="113"/>
        <v>136.46831955922866</v>
      </c>
      <c r="D57" s="1476">
        <f t="shared" si="87"/>
        <v>136.46831955922866</v>
      </c>
      <c r="E57" s="1476">
        <f t="shared" si="114"/>
        <v>166.73864894795128</v>
      </c>
      <c r="F57" s="1476">
        <f t="shared" si="114"/>
        <v>115.05882352941177</v>
      </c>
      <c r="G57" s="3302">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1186</v>
      </c>
      <c r="B58" s="1476">
        <f t="shared" si="113"/>
        <v>144.04145728643215</v>
      </c>
      <c r="C58" s="1476">
        <f t="shared" si="113"/>
        <v>136.12396694214877</v>
      </c>
      <c r="D58" s="1476">
        <f t="shared" si="87"/>
        <v>136.12396694214877</v>
      </c>
      <c r="E58" s="1476">
        <f t="shared" si="114"/>
        <v>158.32225913621264</v>
      </c>
      <c r="F58" s="1476">
        <f t="shared" si="114"/>
        <v>114.04278074866311</v>
      </c>
      <c r="G58" s="3303">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1187</v>
      </c>
      <c r="B59" s="1489">
        <v>138</v>
      </c>
      <c r="C59" s="1489">
        <v>131</v>
      </c>
      <c r="D59" s="1489">
        <f t="shared" si="87"/>
        <v>131</v>
      </c>
      <c r="E59" s="1489">
        <v>155</v>
      </c>
      <c r="F59" s="1490">
        <v>114</v>
      </c>
      <c r="G59" s="3301">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1188</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2">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1189</v>
      </c>
      <c r="B61" s="1476">
        <f t="shared" si="117"/>
        <v>124.29032258064517</v>
      </c>
      <c r="C61" s="1476">
        <f t="shared" si="117"/>
        <v>123.8968609865471</v>
      </c>
      <c r="D61" s="1476">
        <f t="shared" si="87"/>
        <v>123.8968609865471</v>
      </c>
      <c r="E61" s="1476">
        <f t="shared" si="118"/>
        <v>138.00507614213197</v>
      </c>
      <c r="F61" s="1476">
        <f t="shared" si="118"/>
        <v>107.96106557377048</v>
      </c>
      <c r="G61" s="3302">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1190</v>
      </c>
      <c r="B62" s="1476">
        <f t="shared" si="117"/>
        <v>122.57204301075269</v>
      </c>
      <c r="C62" s="1476">
        <f t="shared" si="117"/>
        <v>123.4932735426009</v>
      </c>
      <c r="D62" s="1476">
        <f t="shared" si="87"/>
        <v>123.4932735426009</v>
      </c>
      <c r="E62" s="1476">
        <f t="shared" si="118"/>
        <v>129.82233502538071</v>
      </c>
      <c r="F62" s="1476">
        <f t="shared" si="118"/>
        <v>107.39446721311475</v>
      </c>
      <c r="G62" s="3303">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1191</v>
      </c>
      <c r="B63" s="1510">
        <v>121</v>
      </c>
      <c r="C63" s="1510">
        <v>122</v>
      </c>
      <c r="D63" s="1510">
        <f t="shared" si="87"/>
        <v>122</v>
      </c>
      <c r="E63" s="1510">
        <v>124</v>
      </c>
      <c r="F63" s="1511">
        <v>107</v>
      </c>
      <c r="G63" s="3301">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1192</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2">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1193</v>
      </c>
      <c r="B65" s="1476">
        <f t="shared" si="121"/>
        <v>116.99099099099099</v>
      </c>
      <c r="C65" s="1476">
        <f t="shared" si="121"/>
        <v>118.84848484848486</v>
      </c>
      <c r="D65" s="1476">
        <f t="shared" si="87"/>
        <v>118.84848484848486</v>
      </c>
      <c r="E65" s="1476">
        <f t="shared" si="122"/>
        <v>117.60960960960961</v>
      </c>
      <c r="F65" s="1476">
        <f t="shared" si="122"/>
        <v>104</v>
      </c>
      <c r="G65" s="3302">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1194</v>
      </c>
      <c r="B66" s="1513">
        <f t="shared" si="121"/>
        <v>112.48648648648648</v>
      </c>
      <c r="C66" s="1513">
        <f t="shared" si="121"/>
        <v>115.21212121212122</v>
      </c>
      <c r="D66" s="1513">
        <f t="shared" si="87"/>
        <v>115.21212121212122</v>
      </c>
      <c r="E66" s="1513">
        <f t="shared" si="122"/>
        <v>110.4024024024024</v>
      </c>
      <c r="F66" s="1513">
        <f t="shared" si="122"/>
        <v>104</v>
      </c>
      <c r="G66" s="3303">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1195</v>
      </c>
      <c r="B67" s="1531">
        <v>111</v>
      </c>
      <c r="C67" s="1531">
        <v>114</v>
      </c>
      <c r="D67" s="1531">
        <f t="shared" si="87"/>
        <v>114</v>
      </c>
      <c r="E67" s="1531">
        <v>108</v>
      </c>
      <c r="F67" s="1532">
        <v>104</v>
      </c>
      <c r="G67" s="3301">
        <v>2003</v>
      </c>
      <c r="H67" s="1521">
        <v>4</v>
      </c>
      <c r="I67" s="1533"/>
      <c r="J67" s="1533"/>
      <c r="K67" s="1533"/>
      <c r="L67" s="1533"/>
      <c r="N67" s="1534"/>
      <c r="O67" s="1533"/>
      <c r="P67" s="1533"/>
      <c r="Q67" s="1533"/>
      <c r="S67" s="1534"/>
      <c r="T67" s="1533"/>
      <c r="U67" s="1533"/>
      <c r="V67" s="1533"/>
      <c r="X67" s="1525"/>
      <c r="Y67" s="1525"/>
      <c r="Z67" s="1525"/>
    </row>
    <row r="68" spans="1:26">
      <c r="A68" s="1460" t="s">
        <v>1196</v>
      </c>
      <c r="B68" s="1535">
        <f t="shared" ref="B68:C70" si="123">B69+(B$67-B$71)/4</f>
        <v>109.75</v>
      </c>
      <c r="C68" s="1535">
        <f t="shared" si="123"/>
        <v>112.25</v>
      </c>
      <c r="D68" s="1535">
        <f t="shared" si="87"/>
        <v>112.25</v>
      </c>
      <c r="E68" s="1535">
        <f t="shared" ref="E68:F70" si="124">E69+(E$67-E$71)/4</f>
        <v>107.25</v>
      </c>
      <c r="F68" s="1535">
        <f t="shared" si="124"/>
        <v>103.5</v>
      </c>
      <c r="G68" s="3302">
        <v>2003</v>
      </c>
      <c r="H68" s="1486">
        <v>3</v>
      </c>
      <c r="I68" s="1533"/>
      <c r="J68" s="1533"/>
      <c r="K68" s="1533"/>
      <c r="L68" s="1533"/>
      <c r="X68" s="1525"/>
      <c r="Y68" s="1525"/>
      <c r="Z68" s="1525"/>
    </row>
    <row r="69" spans="1:26">
      <c r="A69" s="1460" t="s">
        <v>1197</v>
      </c>
      <c r="B69" s="1535">
        <f t="shared" si="123"/>
        <v>108.5</v>
      </c>
      <c r="C69" s="1535">
        <f t="shared" si="123"/>
        <v>110.5</v>
      </c>
      <c r="D69" s="1535">
        <f t="shared" si="87"/>
        <v>110.5</v>
      </c>
      <c r="E69" s="1535">
        <f t="shared" si="124"/>
        <v>106.5</v>
      </c>
      <c r="F69" s="1535">
        <f t="shared" si="124"/>
        <v>103</v>
      </c>
      <c r="G69" s="3302">
        <v>2003</v>
      </c>
      <c r="H69" s="1464">
        <v>2</v>
      </c>
      <c r="I69" s="1533"/>
      <c r="J69" s="1533"/>
      <c r="K69" s="1533"/>
      <c r="L69" s="1533"/>
      <c r="X69" s="1525"/>
      <c r="Y69" s="1525"/>
      <c r="Z69" s="1525"/>
    </row>
    <row r="70" spans="1:26" ht="13.5" thickBot="1">
      <c r="A70" s="1460" t="s">
        <v>1198</v>
      </c>
      <c r="B70" s="1535">
        <f t="shared" si="123"/>
        <v>107.25</v>
      </c>
      <c r="C70" s="1535">
        <f t="shared" si="123"/>
        <v>108.75</v>
      </c>
      <c r="D70" s="1535">
        <f t="shared" si="87"/>
        <v>108.75</v>
      </c>
      <c r="E70" s="1535">
        <f t="shared" si="124"/>
        <v>105.75</v>
      </c>
      <c r="F70" s="1535">
        <f t="shared" si="124"/>
        <v>102.5</v>
      </c>
      <c r="G70" s="3303">
        <v>2003</v>
      </c>
      <c r="H70" s="1536">
        <v>1</v>
      </c>
      <c r="I70" s="1533"/>
      <c r="J70" s="1533"/>
      <c r="K70" s="1533"/>
      <c r="L70" s="1533"/>
      <c r="S70" s="1471"/>
      <c r="T70" s="1472"/>
      <c r="U70" s="1472"/>
      <c r="X70" s="1525"/>
      <c r="Y70" s="1525"/>
      <c r="Z70" s="1525"/>
    </row>
    <row r="71" spans="1:26" ht="13.5" thickBot="1">
      <c r="A71" s="1460" t="s">
        <v>1199</v>
      </c>
      <c r="B71" s="1537">
        <v>106</v>
      </c>
      <c r="C71" s="1537">
        <v>107</v>
      </c>
      <c r="D71" s="1537">
        <f t="shared" si="87"/>
        <v>107</v>
      </c>
      <c r="E71" s="1537">
        <v>105</v>
      </c>
      <c r="F71" s="1538">
        <v>102</v>
      </c>
      <c r="G71" s="3301">
        <v>2002</v>
      </c>
      <c r="H71" s="1481">
        <v>4</v>
      </c>
      <c r="I71" s="1533"/>
      <c r="J71" s="1533"/>
      <c r="K71" s="1533"/>
      <c r="L71" s="1533"/>
      <c r="N71" s="1534"/>
      <c r="O71" s="1533"/>
      <c r="P71" s="1533"/>
      <c r="Q71" s="1533"/>
      <c r="S71" s="1534"/>
      <c r="T71" s="1533"/>
      <c r="U71" s="1533"/>
      <c r="V71" s="1533"/>
      <c r="X71" s="1525"/>
      <c r="Y71" s="1525"/>
      <c r="Z71" s="1525"/>
    </row>
    <row r="72" spans="1:26">
      <c r="A72" s="1460" t="s">
        <v>1200</v>
      </c>
      <c r="B72" s="1535">
        <f t="shared" ref="B72:C74" si="125">B73+(B$71-B$75)/4</f>
        <v>105</v>
      </c>
      <c r="C72" s="1535">
        <f t="shared" si="125"/>
        <v>106</v>
      </c>
      <c r="D72" s="1535">
        <f t="shared" si="87"/>
        <v>106</v>
      </c>
      <c r="E72" s="1535">
        <f t="shared" ref="E72:F74" si="126">E73+(E$71-E$75)/4</f>
        <v>104.5</v>
      </c>
      <c r="F72" s="1535">
        <f t="shared" si="126"/>
        <v>101.5</v>
      </c>
      <c r="G72" s="3302">
        <v>2002</v>
      </c>
      <c r="H72" s="1486">
        <v>3</v>
      </c>
      <c r="I72" s="1533"/>
      <c r="J72" s="1533"/>
      <c r="K72" s="1533"/>
      <c r="L72" s="1533"/>
      <c r="X72" s="1525"/>
      <c r="Y72" s="1525"/>
      <c r="Z72" s="1525"/>
    </row>
    <row r="73" spans="1:26">
      <c r="A73" s="1460" t="s">
        <v>1201</v>
      </c>
      <c r="B73" s="1535">
        <f t="shared" si="125"/>
        <v>104</v>
      </c>
      <c r="C73" s="1535">
        <f t="shared" si="125"/>
        <v>105</v>
      </c>
      <c r="D73" s="1535">
        <f t="shared" si="87"/>
        <v>105</v>
      </c>
      <c r="E73" s="1535">
        <f t="shared" si="126"/>
        <v>104</v>
      </c>
      <c r="F73" s="1535">
        <f t="shared" si="126"/>
        <v>101</v>
      </c>
      <c r="G73" s="3302">
        <v>2002</v>
      </c>
      <c r="H73" s="1464">
        <v>2</v>
      </c>
      <c r="I73" s="1533"/>
      <c r="J73" s="1533"/>
      <c r="K73" s="1533"/>
      <c r="L73" s="1533"/>
      <c r="X73" s="1525"/>
      <c r="Y73" s="1525"/>
      <c r="Z73" s="1525"/>
    </row>
    <row r="74" spans="1:26" s="1497" customFormat="1" ht="13.5" thickBot="1">
      <c r="A74" s="1493" t="s">
        <v>1202</v>
      </c>
      <c r="B74" s="1539">
        <f t="shared" si="125"/>
        <v>103</v>
      </c>
      <c r="C74" s="1539">
        <f t="shared" si="125"/>
        <v>104</v>
      </c>
      <c r="D74" s="1539">
        <f t="shared" si="87"/>
        <v>104</v>
      </c>
      <c r="E74" s="1539">
        <f t="shared" si="126"/>
        <v>103.5</v>
      </c>
      <c r="F74" s="1539">
        <f t="shared" si="126"/>
        <v>100.5</v>
      </c>
      <c r="G74" s="3303">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1203</v>
      </c>
      <c r="G77" s="1549"/>
      <c r="N77" s="1549"/>
      <c r="S77" s="1549"/>
    </row>
    <row r="78" spans="1:26" s="1548" customFormat="1">
      <c r="A78" s="1548" t="s">
        <v>1204</v>
      </c>
      <c r="G78" s="1549"/>
      <c r="N78" s="1549"/>
      <c r="S78" s="1549"/>
    </row>
    <row r="79" spans="1:26" s="1548" customFormat="1">
      <c r="A79" s="1548" t="s">
        <v>1205</v>
      </c>
      <c r="G79" s="1549"/>
      <c r="I79" s="1550"/>
      <c r="J79" s="1550"/>
      <c r="K79" s="1550"/>
      <c r="L79" s="1550"/>
      <c r="N79" s="1551"/>
      <c r="O79" s="1550"/>
      <c r="P79" s="1550"/>
      <c r="Q79" s="1550"/>
      <c r="S79" s="1551"/>
      <c r="T79" s="1550"/>
      <c r="U79" s="1550"/>
      <c r="V79" s="1550"/>
    </row>
    <row r="80" spans="1:26" s="1548" customFormat="1">
      <c r="A80" s="1548" t="s">
        <v>1206</v>
      </c>
      <c r="G80" s="1549"/>
      <c r="N80" s="1549"/>
      <c r="S80" s="1549"/>
    </row>
    <row r="87" spans="7:22" ht="13.5" thickBot="1"/>
    <row r="88" spans="7:22">
      <c r="G88" s="1470"/>
      <c r="S88" s="1552" t="s">
        <v>1207</v>
      </c>
      <c r="T88" s="1553" t="s">
        <v>1208</v>
      </c>
      <c r="U88" s="1553" t="s">
        <v>1209</v>
      </c>
      <c r="V88" s="1553" t="s">
        <v>1210</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F8" sqref="F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2959</v>
      </c>
      <c r="C1" s="3313" t="s">
        <v>2960</v>
      </c>
      <c r="D1" s="3314"/>
      <c r="E1" s="3314"/>
      <c r="F1" s="3314"/>
      <c r="G1" s="3314"/>
      <c r="H1" s="3314"/>
      <c r="I1" s="3314"/>
      <c r="J1" s="3314"/>
      <c r="K1" s="3314"/>
      <c r="L1" s="3314"/>
      <c r="M1" s="3314"/>
      <c r="N1" s="3314"/>
      <c r="O1" s="3314"/>
      <c r="P1" s="3314"/>
      <c r="Q1" s="3314"/>
      <c r="R1" s="3314"/>
      <c r="S1" s="3315"/>
      <c r="T1" s="1203" t="s">
        <v>2961</v>
      </c>
    </row>
    <row r="2" spans="1:45" s="706" customFormat="1">
      <c r="A2" s="1204"/>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2963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2964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2965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2966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2967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2968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2969</v>
      </c>
      <c r="B17" s="2906" t="s">
        <v>2970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2971</v>
      </c>
      <c r="E19" s="1791"/>
      <c r="F19" s="1791"/>
      <c r="G19" s="1791"/>
      <c r="H19" s="1279"/>
      <c r="I19" s="168"/>
      <c r="J19" s="168"/>
      <c r="K19" s="168"/>
      <c r="L19" s="168"/>
      <c r="M19" s="168"/>
      <c r="N19" s="168"/>
      <c r="O19" s="168"/>
      <c r="P19" s="168"/>
      <c r="Q19" s="168"/>
      <c r="R19" s="787"/>
      <c r="S19" s="138"/>
    </row>
    <row r="20" spans="1:45" ht="16.5" thickBot="1">
      <c r="A20" s="714" t="s">
        <v>2972</v>
      </c>
      <c r="B20" s="338" t="e">
        <f ca="1">IF(D20="——",S22,S22-F20)</f>
        <v>#REF!</v>
      </c>
      <c r="C20" s="168"/>
      <c r="D20" s="2908" t="s">
        <v>2973</v>
      </c>
      <c r="E20" s="1792"/>
      <c r="F20" s="1203" t="e">
        <f ca="1">SUMIF(INDIRECT("'"&amp;H20&amp;"'"&amp;"!A:A"),"承租人权益价值",INDIRECT("'"&amp;H20&amp;"'"&amp;"!c:c"))</f>
        <v>#REF!</v>
      </c>
      <c r="G20" s="1203" t="s">
        <v>2974</v>
      </c>
      <c r="H20" s="2909"/>
      <c r="I20" s="168"/>
      <c r="J20" s="168"/>
      <c r="K20" s="168"/>
      <c r="L20" s="168"/>
      <c r="M20" s="168"/>
      <c r="N20" s="168"/>
      <c r="O20" s="168"/>
      <c r="P20" s="168"/>
      <c r="Q20" s="168"/>
      <c r="R20" s="787"/>
      <c r="S20" s="138"/>
    </row>
    <row r="21" spans="1:45" ht="15.75">
      <c r="A21" s="714" t="s">
        <v>2975</v>
      </c>
      <c r="B21" s="338">
        <f>R22</f>
        <v>10000</v>
      </c>
      <c r="C21" s="168"/>
      <c r="D21" s="168"/>
      <c r="E21" s="168"/>
      <c r="F21" s="168"/>
      <c r="G21" s="168"/>
      <c r="H21" s="168"/>
      <c r="I21" s="168"/>
      <c r="J21" s="168"/>
      <c r="K21" s="168"/>
      <c r="L21" s="168"/>
      <c r="M21" s="168"/>
      <c r="N21" s="168"/>
      <c r="O21" s="168"/>
      <c r="P21" s="168"/>
      <c r="Q21" s="168"/>
      <c r="R21" s="787"/>
      <c r="S21" s="138"/>
    </row>
    <row r="22" spans="1:45">
      <c r="A22" s="361" t="s">
        <v>2976</v>
      </c>
      <c r="B22" s="24">
        <f>SUM(B24:B10000)</f>
        <v>100</v>
      </c>
      <c r="C22" s="3168" t="s">
        <v>33</v>
      </c>
      <c r="D22" s="3169"/>
      <c r="E22" s="3169"/>
      <c r="F22" s="3169"/>
      <c r="G22" s="3169"/>
      <c r="H22" s="3169"/>
      <c r="I22" s="3169"/>
      <c r="J22" s="3169"/>
      <c r="K22" s="3169"/>
      <c r="L22" s="3169"/>
      <c r="M22" s="3169"/>
      <c r="N22" s="3169"/>
      <c r="O22" s="3169"/>
      <c r="P22" s="3169"/>
      <c r="Q22" s="3312"/>
      <c r="R22" s="715">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30469</v>
      </c>
      <c r="C2" s="2" t="s">
        <v>133</v>
      </c>
      <c r="D2" s="243"/>
      <c r="E2" s="243"/>
      <c r="F2" s="243"/>
      <c r="G2" s="243"/>
    </row>
    <row r="3" spans="1:7" s="244" customFormat="1" ht="18" customHeight="1" thickBot="1">
      <c r="A3" s="247" t="s">
        <v>85</v>
      </c>
      <c r="B3" s="248">
        <f ca="1">ROUND(B2*10000/'数据-汇总表'!E3,0)</f>
        <v>33919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10</v>
      </c>
      <c r="D9" s="1031">
        <f>'数据-汇总表'!E5</f>
        <v>2504.4</v>
      </c>
      <c r="E9" s="269">
        <f>'数据-取费表'!B27</f>
        <v>40</v>
      </c>
      <c r="F9" s="265"/>
      <c r="G9" s="270"/>
    </row>
    <row r="10" spans="1:7" s="258" customFormat="1" ht="13.5" customHeight="1">
      <c r="A10" s="949" t="s">
        <v>800</v>
      </c>
      <c r="B10" s="268" t="s">
        <v>94</v>
      </c>
      <c r="C10" s="269">
        <f>ROUND(D10*E10/10000,0)</f>
        <v>26</v>
      </c>
      <c r="D10" s="1031">
        <f>'数据-汇总表'!E6</f>
        <v>6478.43</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135</v>
      </c>
      <c r="D19" s="1035">
        <f>'数据-汇总表'!E3</f>
        <v>8982.83</v>
      </c>
      <c r="E19" s="255">
        <f>'数据-取费表'!B31</f>
        <v>150</v>
      </c>
      <c r="F19" s="275"/>
      <c r="G19" s="1" t="s">
        <v>1070</v>
      </c>
    </row>
    <row r="20" spans="1:7" s="258" customFormat="1" ht="13.5" customHeight="1">
      <c r="A20" s="947" t="s">
        <v>1053</v>
      </c>
      <c r="B20" s="254" t="s">
        <v>104</v>
      </c>
      <c r="C20" s="276">
        <f>ROUND((C5+C19)*F20,0)</f>
        <v>415</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2037</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2004</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13</v>
      </c>
      <c r="D24" s="282"/>
      <c r="E24" s="282"/>
      <c r="F24" s="283"/>
      <c r="G24" s="284" t="s">
        <v>109</v>
      </c>
    </row>
    <row r="25" spans="1:7" s="258" customFormat="1" ht="24">
      <c r="A25" s="950" t="s">
        <v>792</v>
      </c>
      <c r="B25" s="259" t="s">
        <v>1054</v>
      </c>
      <c r="C25" s="1354">
        <f ca="1">ROUND(IF('数据-取费表'!B22&lt;=1,C20*F22*'数据-取费表'!B23/2,C20*(POWER((1+F22),'数据-取费表'!B23/2)-1)),0)</f>
        <v>20</v>
      </c>
      <c r="D25" s="282"/>
      <c r="E25" s="285"/>
      <c r="F25" s="283"/>
      <c r="G25" s="286" t="s">
        <v>110</v>
      </c>
    </row>
    <row r="26" spans="1:7" s="258" customFormat="1">
      <c r="A26" s="950" t="s">
        <v>794</v>
      </c>
      <c r="B26" s="259" t="s">
        <v>1056</v>
      </c>
      <c r="C26" s="282">
        <f ca="1">ROUND(IF('数据-取费表'!B22&lt;=1,F21*F22*'数据-取费表'!B23/2,F21*(POWER((1+F22),'数据-取费表'!B23/2)-1)),4)</f>
        <v>1E-3</v>
      </c>
      <c r="D26" s="282"/>
      <c r="E26" s="285"/>
      <c r="F26" s="283"/>
      <c r="G26" s="287"/>
    </row>
    <row r="27" spans="1:7" s="258" customFormat="1" ht="24.75">
      <c r="A27" s="947" t="s">
        <v>786</v>
      </c>
      <c r="B27" s="288" t="s">
        <v>112</v>
      </c>
      <c r="C27" s="289">
        <f>C28</f>
        <v>1693</v>
      </c>
      <c r="D27" s="279">
        <f>C29</f>
        <v>1.6000000000000001E-3</v>
      </c>
      <c r="E27" s="280" t="s">
        <v>126</v>
      </c>
      <c r="F27" s="290">
        <f>'数据-取费表'!Q16</f>
        <v>0.08</v>
      </c>
      <c r="G27" s="291" t="s">
        <v>1065</v>
      </c>
    </row>
    <row r="28" spans="1:7" s="258" customFormat="1" ht="13.5" customHeight="1">
      <c r="A28" s="950" t="s">
        <v>793</v>
      </c>
      <c r="B28" s="292" t="s">
        <v>1058</v>
      </c>
      <c r="C28" s="293">
        <f>ROUND((C5+C19+C20)*F27*'数据-取费表'!B21/'数据-取费表'!B20,0)</f>
        <v>1693</v>
      </c>
      <c r="D28" s="279"/>
      <c r="E28" s="280"/>
      <c r="F28" s="290"/>
      <c r="G28" s="291"/>
    </row>
    <row r="29" spans="1:7" s="258" customFormat="1" ht="13.5" customHeight="1">
      <c r="A29" s="950" t="s">
        <v>791</v>
      </c>
      <c r="B29" s="292" t="s">
        <v>1059</v>
      </c>
      <c r="C29" s="282">
        <f>ROUND(C21*F27*'数据-取费表'!B21/'数据-取费表'!B20,4)</f>
        <v>1.6000000000000001E-3</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3080</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2695</v>
      </c>
      <c r="D34" s="261"/>
      <c r="E34" s="264"/>
      <c r="F34" s="301">
        <f>IF('数据-取费表'!B24=0,1,'数据-取费表'!N16)</f>
        <v>1</v>
      </c>
      <c r="G34" s="263" t="s">
        <v>116</v>
      </c>
    </row>
    <row r="35" spans="1:7" ht="13.5" customHeight="1">
      <c r="A35" s="950" t="s">
        <v>795</v>
      </c>
      <c r="B35" s="259" t="s">
        <v>60</v>
      </c>
      <c r="C35" s="264">
        <f>ROUND(C34*F35,0)</f>
        <v>135</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75</v>
      </c>
      <c r="D36" s="264"/>
      <c r="E36" s="264"/>
      <c r="F36" s="303">
        <f>'数据-取费表'!B34</f>
        <v>0.1</v>
      </c>
      <c r="G36" s="304" t="s">
        <v>62</v>
      </c>
    </row>
    <row r="37" spans="1:7" s="302" customFormat="1" ht="13.5" customHeight="1">
      <c r="A37" s="950" t="s">
        <v>797</v>
      </c>
      <c r="B37" s="259" t="s">
        <v>118</v>
      </c>
      <c r="C37" s="293">
        <f>ROUND(E37*D37*F34/10000,0)</f>
        <v>135</v>
      </c>
      <c r="D37" s="261">
        <f>'数据-汇总表'!E3</f>
        <v>8982.83</v>
      </c>
      <c r="E37" s="293">
        <f>'数据-取费表'!B35</f>
        <v>150</v>
      </c>
      <c r="F37" s="303"/>
      <c r="G37" s="305" t="s">
        <v>119</v>
      </c>
    </row>
    <row r="38" spans="1:7" ht="13.5" customHeight="1">
      <c r="A38" s="950" t="s">
        <v>798</v>
      </c>
      <c r="B38" s="259" t="s">
        <v>63</v>
      </c>
      <c r="C38" s="264">
        <f>ROUND(C34*F38,0)</f>
        <v>40</v>
      </c>
      <c r="D38" s="264"/>
      <c r="E38" s="264"/>
      <c r="F38" s="303">
        <f>'数据-取费表'!B36</f>
        <v>1.4999999999999999E-2</v>
      </c>
      <c r="G38" s="263" t="s">
        <v>117</v>
      </c>
    </row>
    <row r="39" spans="1:7" s="258" customFormat="1" ht="13.5" customHeight="1">
      <c r="A39" s="947" t="s">
        <v>782</v>
      </c>
      <c r="B39" s="254" t="s">
        <v>104</v>
      </c>
      <c r="C39" s="276">
        <f>ROUND(C33*F20,0)</f>
        <v>62</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149</v>
      </c>
      <c r="D41" s="279">
        <f ca="1">C44</f>
        <v>1E-3</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146</v>
      </c>
      <c r="D42" s="282"/>
      <c r="E42" s="282"/>
      <c r="F42" s="283"/>
      <c r="G42" s="3173" t="s">
        <v>121</v>
      </c>
    </row>
    <row r="43" spans="1:7" ht="13.5" customHeight="1">
      <c r="A43" s="950" t="s">
        <v>791</v>
      </c>
      <c r="B43" s="259" t="s">
        <v>1060</v>
      </c>
      <c r="C43" s="282">
        <f ca="1">ROUND(IF('数据-取费表'!B22&lt;=1,C39*F22*'数据-取费表'!B21/2,C39*(POWER((1+F22),'数据-取费表'!B21/2)-1)),0)</f>
        <v>3</v>
      </c>
      <c r="D43" s="282"/>
      <c r="E43" s="282"/>
      <c r="F43" s="283"/>
      <c r="G43" s="3174"/>
    </row>
    <row r="44" spans="1:7" ht="13.5" customHeight="1">
      <c r="A44" s="950" t="s">
        <v>792</v>
      </c>
      <c r="B44" s="259" t="s">
        <v>1062</v>
      </c>
      <c r="C44" s="282">
        <f ca="1">ROUND(IF('数据-取费表'!B22&lt;=1,C40*F22*'数据-取费表'!B21/2,C40*(POWER((1+F22),'数据-取费表'!B21/2)-1)),4)</f>
        <v>1E-3</v>
      </c>
      <c r="D44" s="282"/>
      <c r="E44" s="282"/>
      <c r="F44" s="283"/>
      <c r="G44" s="3175"/>
    </row>
    <row r="45" spans="1:7" s="258" customFormat="1" ht="13.5" customHeight="1">
      <c r="A45" s="947" t="s">
        <v>785</v>
      </c>
      <c r="B45" s="288" t="s">
        <v>112</v>
      </c>
      <c r="C45" s="289">
        <f>C46</f>
        <v>251</v>
      </c>
      <c r="D45" s="279">
        <f>C47</f>
        <v>1.6000000000000001E-3</v>
      </c>
      <c r="E45" s="280" t="s">
        <v>129</v>
      </c>
      <c r="F45" s="290"/>
      <c r="G45" s="291" t="s">
        <v>1068</v>
      </c>
    </row>
    <row r="46" spans="1:7" s="258" customFormat="1" ht="13.5" customHeight="1">
      <c r="A46" s="950" t="s">
        <v>793</v>
      </c>
      <c r="B46" s="292" t="s">
        <v>1061</v>
      </c>
      <c r="C46" s="293">
        <f>ROUND((C33+C39)*F27,0)</f>
        <v>251</v>
      </c>
      <c r="D46" s="307"/>
      <c r="E46" s="280"/>
      <c r="F46" s="290"/>
      <c r="G46" s="291"/>
    </row>
    <row r="47" spans="1:7" s="258" customFormat="1" ht="13.5" customHeight="1">
      <c r="A47" s="950" t="s">
        <v>791</v>
      </c>
      <c r="B47" s="292" t="s">
        <v>1063</v>
      </c>
      <c r="C47" s="282">
        <f>ROUND(C40*F27,4)</f>
        <v>1.6000000000000001E-3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3829</v>
      </c>
      <c r="D49" s="276"/>
      <c r="E49" s="276"/>
      <c r="F49" s="308"/>
      <c r="G49" s="278" t="s">
        <v>1069</v>
      </c>
    </row>
    <row r="50" spans="1:7" s="302" customFormat="1" ht="24">
      <c r="A50" s="947" t="s">
        <v>788</v>
      </c>
      <c r="B50" s="254" t="s">
        <v>124</v>
      </c>
      <c r="C50" s="276"/>
      <c r="D50" s="276"/>
      <c r="E50" s="276"/>
      <c r="F50" s="308">
        <f>IF('数据-取费表'!B24=0,'数据-取费表'!N16,1)</f>
        <v>0.93</v>
      </c>
      <c r="G50" s="291" t="s">
        <v>125</v>
      </c>
    </row>
    <row r="51" spans="1:7" ht="16.5" customHeight="1">
      <c r="A51" s="947" t="s">
        <v>789</v>
      </c>
      <c r="B51" s="254" t="s">
        <v>132</v>
      </c>
      <c r="C51" s="276">
        <f ca="1">ROUND(C49*F50,0)</f>
        <v>3561</v>
      </c>
      <c r="D51" s="276"/>
      <c r="E51" s="276"/>
      <c r="F51" s="308"/>
      <c r="G51" s="278" t="s">
        <v>64</v>
      </c>
    </row>
    <row r="52" spans="1:7" s="252" customFormat="1" ht="16.5" thickBot="1">
      <c r="A52" s="309" t="s">
        <v>65</v>
      </c>
      <c r="B52" s="310"/>
      <c r="C52" s="311">
        <f ca="1">C31+C51</f>
        <v>30469</v>
      </c>
      <c r="D52" s="310"/>
      <c r="E52" s="310"/>
      <c r="F52" s="310"/>
      <c r="G52" s="312"/>
    </row>
    <row r="55" spans="1:7" ht="15">
      <c r="B55" s="314" t="s">
        <v>66</v>
      </c>
      <c r="C55" s="315"/>
    </row>
    <row r="56" spans="1:7">
      <c r="B56" s="317" t="s">
        <v>67</v>
      </c>
      <c r="C56" s="318">
        <f ca="1">ROUND(C51/C52,3)</f>
        <v>0.11700000000000001</v>
      </c>
    </row>
    <row r="57" spans="1:7">
      <c r="B57" s="317" t="s">
        <v>68</v>
      </c>
      <c r="C57" s="319">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867</v>
      </c>
      <c r="B1" s="331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43641</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I14" sqref="I14"/>
    </sheetView>
  </sheetViews>
  <sheetFormatPr defaultRowHeight="13.5"/>
  <cols>
    <col min="3" max="3" width="12.875" customWidth="1"/>
    <col min="4" max="4" width="13.25" customWidth="1"/>
    <col min="5" max="5" width="12.25" customWidth="1"/>
  </cols>
  <sheetData>
    <row r="2" spans="2:5">
      <c r="C2" s="2968" t="s">
        <v>3042</v>
      </c>
      <c r="D2" s="2968" t="s">
        <v>3043</v>
      </c>
      <c r="E2" s="2968" t="s">
        <v>3044</v>
      </c>
    </row>
    <row r="3" spans="2:5" ht="18" customHeight="1">
      <c r="B3" s="2968" t="s">
        <v>3040</v>
      </c>
      <c r="C3">
        <f>'数据-汇总表'!D19</f>
        <v>0</v>
      </c>
      <c r="D3">
        <v>195</v>
      </c>
      <c r="E3">
        <f>C3*D3/10000</f>
        <v>0</v>
      </c>
    </row>
    <row r="4" spans="2:5" ht="17.25" customHeight="1">
      <c r="B4" s="2968" t="s">
        <v>3041</v>
      </c>
      <c r="C4">
        <f>'数据-汇总表'!D20</f>
        <v>0</v>
      </c>
      <c r="D4">
        <v>490</v>
      </c>
      <c r="E4">
        <f>C4*D4/10000</f>
        <v>0</v>
      </c>
    </row>
    <row r="5" spans="2:5">
      <c r="B5" s="2968" t="s">
        <v>3045</v>
      </c>
      <c r="C5">
        <f>C3+C4</f>
        <v>0</v>
      </c>
      <c r="E5">
        <f t="shared" ref="E5" si="0">E3+E4</f>
        <v>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14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6"/>
  <sheetViews>
    <sheetView workbookViewId="0">
      <selection activeCell="S32" sqref="S32"/>
    </sheetView>
  </sheetViews>
  <sheetFormatPr defaultRowHeight="13.5"/>
  <sheetData>
    <row r="2" spans="2:5">
      <c r="C2" s="2968" t="s">
        <v>3111</v>
      </c>
      <c r="E2" s="2968" t="s">
        <v>3112</v>
      </c>
    </row>
    <row r="3" spans="2:5">
      <c r="B3" s="2968" t="s">
        <v>3113</v>
      </c>
      <c r="C3">
        <v>20000</v>
      </c>
      <c r="E3">
        <v>2.2000000000000002</v>
      </c>
    </row>
    <row r="4" spans="2:5">
      <c r="B4" s="2968" t="s">
        <v>3114</v>
      </c>
      <c r="C4">
        <f>C3*D4</f>
        <v>12000</v>
      </c>
      <c r="D4">
        <v>0.6</v>
      </c>
      <c r="E4">
        <f>E3*D4</f>
        <v>1.32</v>
      </c>
    </row>
    <row r="5" spans="2:5">
      <c r="B5" s="2968" t="s">
        <v>3115</v>
      </c>
      <c r="C5">
        <f>C3*D5</f>
        <v>10000</v>
      </c>
      <c r="D5">
        <v>0.5</v>
      </c>
      <c r="E5">
        <f>E3*D5</f>
        <v>1.1000000000000001</v>
      </c>
    </row>
    <row r="6" spans="2:5">
      <c r="C6">
        <f>AVERAGE(C3:C5)</f>
        <v>14000</v>
      </c>
      <c r="E6">
        <f>AVERAGE(E3:E5)</f>
        <v>1.5400000000000003</v>
      </c>
    </row>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1633</v>
      </c>
      <c r="B2" s="3008" t="s">
        <v>1634</v>
      </c>
      <c r="C2" s="3008" t="s">
        <v>1635</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3" t="s">
        <v>1630</v>
      </c>
      <c r="E3" s="1043" t="s">
        <v>1636</v>
      </c>
      <c r="F3" s="1043" t="s">
        <v>1630</v>
      </c>
      <c r="G3" s="1043" t="s">
        <v>1631</v>
      </c>
      <c r="H3" s="1043" t="s">
        <v>1630</v>
      </c>
      <c r="I3" s="1043" t="s">
        <v>1631</v>
      </c>
    </row>
    <row r="4" spans="1:9" ht="45">
      <c r="A4" s="1972" t="str">
        <f>项目基本情况!S2</f>
        <v>四川省遂宁市圣莲岛（仁里镇猫儿洲）棚户区改造项目房地产</v>
      </c>
      <c r="B4" s="1043">
        <f>项目基本情况!C17</f>
        <v>8982.83</v>
      </c>
      <c r="C4" s="1043">
        <f>项目基本情况!C18</f>
        <v>0</v>
      </c>
      <c r="D4" s="1043" t="e">
        <f ca="1">结果表!D118</f>
        <v>#REF!</v>
      </c>
      <c r="E4" s="1043" t="e">
        <f ca="1">结果表!E118</f>
        <v>#REF!</v>
      </c>
      <c r="F4" s="1043" t="e">
        <f ca="1">结果表!F118</f>
        <v>#REF!</v>
      </c>
      <c r="G4" s="1043" t="e">
        <f ca="1">结果表!G118</f>
        <v>#REF!</v>
      </c>
      <c r="H4" s="1043">
        <f ca="1">结果表!H118</f>
        <v>1811</v>
      </c>
      <c r="I4" s="1043">
        <f ca="1">结果表!I118</f>
        <v>7231</v>
      </c>
    </row>
    <row r="5" spans="1:9" ht="30" customHeight="1">
      <c r="A5" s="3002" t="s">
        <v>1632</v>
      </c>
      <c r="B5" s="3002"/>
      <c r="C5" s="3002"/>
      <c r="D5" s="3003" t="e">
        <f ca="1">结果表!D119</f>
        <v>#REF!</v>
      </c>
      <c r="E5" s="3003"/>
      <c r="F5" s="3003" t="e">
        <f ca="1">结果表!F119</f>
        <v>#REF!</v>
      </c>
      <c r="G5" s="3003"/>
      <c r="H5" s="3003" t="str">
        <f ca="1">结果表!H119</f>
        <v>壹仟捌佰壹拾壹万元整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1632</v>
      </c>
      <c r="B7" s="3002"/>
      <c r="C7" s="3002"/>
      <c r="D7" s="3004" t="str">
        <f>结果表!D121</f>
        <v>零元整</v>
      </c>
      <c r="E7" s="3005"/>
      <c r="F7" s="3005"/>
      <c r="G7" s="3005"/>
      <c r="H7" s="3005"/>
      <c r="I7" s="3006"/>
    </row>
    <row r="8" spans="1:9" ht="15.75">
      <c r="A8" s="3001" t="str">
        <f>结果表!A122</f>
        <v>房地产抵押价值</v>
      </c>
      <c r="B8" s="3001"/>
      <c r="C8" s="3001"/>
      <c r="D8" s="3001">
        <f ca="1">结果表!D122</f>
        <v>1811</v>
      </c>
      <c r="E8" s="3001"/>
      <c r="F8" s="3001"/>
      <c r="G8" s="3001"/>
      <c r="H8" s="3001"/>
      <c r="I8" s="3001"/>
    </row>
    <row r="9" spans="1:9" ht="15">
      <c r="A9" s="3002" t="s">
        <v>1632</v>
      </c>
      <c r="B9" s="3002"/>
      <c r="C9" s="3002"/>
      <c r="D9" s="3003" t="str">
        <f ca="1">结果表!D123</f>
        <v>壹仟捌佰壹拾壹万元整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1632</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1632</v>
      </c>
      <c r="B13" s="2998"/>
      <c r="C13" s="2998"/>
      <c r="D13" s="2999" t="e">
        <f>结果表!D127</f>
        <v>#VALUE!</v>
      </c>
      <c r="E13" s="2999"/>
      <c r="F13" s="2999"/>
      <c r="G13" s="2999"/>
      <c r="H13" s="2999"/>
      <c r="I13" s="2999"/>
    </row>
    <row r="14" spans="1:9" ht="15" thickTop="1">
      <c r="A14" s="3000" t="s">
        <v>1637</v>
      </c>
      <c r="B14" s="3000"/>
      <c r="C14" s="3000"/>
      <c r="D14" s="3000"/>
      <c r="E14" s="3000"/>
      <c r="F14" s="3000"/>
      <c r="G14" s="3000"/>
      <c r="H14" s="3000"/>
      <c r="I14" s="3000"/>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5" t="s">
        <v>1654</v>
      </c>
      <c r="B1" s="3015"/>
      <c r="C1" s="3015"/>
      <c r="D1" s="3015"/>
    </row>
    <row r="2" spans="1:4" ht="18">
      <c r="A2" s="3016" t="s">
        <v>1638</v>
      </c>
      <c r="B2" s="3016"/>
      <c r="C2" s="3016"/>
      <c r="D2" s="3016"/>
    </row>
    <row r="3" spans="1:4" ht="18.75">
      <c r="A3" s="1976" t="s">
        <v>1639</v>
      </c>
      <c r="B3" s="1976" t="s">
        <v>1640</v>
      </c>
      <c r="C3" s="1976" t="s">
        <v>1641</v>
      </c>
      <c r="D3" s="1976" t="s">
        <v>1642</v>
      </c>
    </row>
    <row r="4" spans="1:4" ht="56.25" customHeight="1">
      <c r="A4" s="1977">
        <f>项目基本情况!B4</f>
        <v>0</v>
      </c>
      <c r="B4" s="1978">
        <f>项目基本情况!C4</f>
        <v>0</v>
      </c>
      <c r="C4" s="1979"/>
      <c r="D4" s="1980" t="s">
        <v>1643</v>
      </c>
    </row>
    <row r="5" spans="1:4" ht="56.25" customHeight="1">
      <c r="A5" s="1977">
        <f>项目基本情况!D4</f>
        <v>0</v>
      </c>
      <c r="B5" s="1978">
        <f>项目基本情况!E4</f>
        <v>0</v>
      </c>
      <c r="C5" s="1981"/>
      <c r="D5" s="1980" t="s">
        <v>1643</v>
      </c>
    </row>
    <row r="6" spans="1:4" ht="18">
      <c r="A6" s="3016" t="s">
        <v>1644</v>
      </c>
      <c r="B6" s="3016"/>
      <c r="C6" s="3016"/>
      <c r="D6" s="3016"/>
    </row>
    <row r="7" spans="1:4" ht="18.75">
      <c r="A7" s="1976" t="s">
        <v>1639</v>
      </c>
      <c r="B7" s="1978" t="s">
        <v>1645</v>
      </c>
      <c r="C7" s="1976" t="s">
        <v>1641</v>
      </c>
      <c r="D7" s="1976" t="s">
        <v>1642</v>
      </c>
    </row>
    <row r="8" spans="1:4" ht="56.25" customHeight="1">
      <c r="A8" s="1982" t="s">
        <v>865</v>
      </c>
      <c r="B8" s="1982" t="s">
        <v>1</v>
      </c>
      <c r="C8" s="1979"/>
      <c r="D8" s="1980" t="s">
        <v>1643</v>
      </c>
    </row>
    <row r="9" spans="1:4">
      <c r="A9" s="727"/>
      <c r="B9" s="727"/>
      <c r="C9" s="727"/>
      <c r="D9" s="727"/>
    </row>
    <row r="10" spans="1:4" ht="18.75">
      <c r="A10" s="1983" t="s">
        <v>1646</v>
      </c>
      <c r="B10" s="727"/>
      <c r="C10" s="727"/>
      <c r="D10" s="727"/>
    </row>
    <row r="11" spans="1:4" ht="30" customHeight="1">
      <c r="A11" s="3017" t="s">
        <v>1647</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1648</v>
      </c>
      <c r="B16" s="3011"/>
      <c r="C16" s="3011"/>
      <c r="D16" s="3011"/>
    </row>
    <row r="17" spans="1:4" ht="144" customHeight="1">
      <c r="A17" s="3011" t="s">
        <v>1649</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1650</v>
      </c>
      <c r="B22" s="3013"/>
      <c r="C22" s="3013"/>
      <c r="D22" s="3013"/>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43644</v>
      </c>
      <c r="C2" s="1018" t="s">
        <v>825</v>
      </c>
      <c r="D2" s="1018"/>
    </row>
    <row r="3" spans="1:6" ht="24" customHeight="1">
      <c r="A3" s="1019" t="s">
        <v>826</v>
      </c>
      <c r="B3" s="1020" t="s">
        <v>827</v>
      </c>
      <c r="C3" s="2344" t="s">
        <v>828</v>
      </c>
      <c r="D3" s="2347" t="s">
        <v>829</v>
      </c>
      <c r="E3" s="1021" t="s">
        <v>830</v>
      </c>
      <c r="F3" s="1020" t="s">
        <v>828</v>
      </c>
    </row>
    <row r="4" spans="1:6" ht="24" customHeight="1">
      <c r="A4" s="1701" t="s">
        <v>831</v>
      </c>
      <c r="B4" s="1021">
        <f ca="1">IF(C4&lt;B2,"已过期",1119970066)</f>
        <v>1119970066</v>
      </c>
      <c r="C4" s="2345">
        <v>43849</v>
      </c>
      <c r="D4" s="2348" t="s">
        <v>831</v>
      </c>
      <c r="E4" s="1021">
        <f ca="1">IF(F4&lt;B2,"已过期",96010014)</f>
        <v>96010014</v>
      </c>
      <c r="F4" s="1029">
        <v>47118</v>
      </c>
    </row>
    <row r="5" spans="1:6" ht="24" customHeight="1">
      <c r="A5" s="1701" t="s">
        <v>832</v>
      </c>
      <c r="B5" s="1021">
        <f ca="1">IF(C5&lt;B2,"已过期",1119970074)</f>
        <v>1119970074</v>
      </c>
      <c r="C5" s="2345">
        <v>43849</v>
      </c>
      <c r="D5" s="2348" t="s">
        <v>832</v>
      </c>
      <c r="E5" s="1021">
        <f ca="1">IF(F5&lt;B2,"已过期",2002110027)</f>
        <v>2002110027</v>
      </c>
      <c r="F5" s="1029">
        <v>46752</v>
      </c>
    </row>
    <row r="6" spans="1:6" ht="24" customHeight="1">
      <c r="A6" s="1701" t="s">
        <v>833</v>
      </c>
      <c r="B6" s="1021">
        <f ca="1">IF(C6&lt;B2,"已过期",1119970111)</f>
        <v>1119970111</v>
      </c>
      <c r="C6" s="2345">
        <v>43849</v>
      </c>
      <c r="D6" s="2348" t="s">
        <v>833</v>
      </c>
      <c r="E6" s="1021">
        <f ca="1">IF(F6&lt;B2,"已过期",94010078)</f>
        <v>94010078</v>
      </c>
      <c r="F6" s="1029">
        <v>46387</v>
      </c>
    </row>
    <row r="7" spans="1:6" ht="24" customHeight="1">
      <c r="A7" s="1701" t="s">
        <v>834</v>
      </c>
      <c r="B7" s="1021">
        <f ca="1">IF(C7&lt;B2,"已过期",1120050019)</f>
        <v>1120050019</v>
      </c>
      <c r="C7" s="2345">
        <v>44395</v>
      </c>
      <c r="D7" s="2348" t="s">
        <v>834</v>
      </c>
      <c r="E7" s="1021">
        <f ca="1">IF(F7&lt;B2,"已过期",2002110030)</f>
        <v>2002110030</v>
      </c>
      <c r="F7" s="1029">
        <v>46387</v>
      </c>
    </row>
    <row r="8" spans="1:6" ht="24" customHeight="1">
      <c r="A8" s="1701" t="s">
        <v>835</v>
      </c>
      <c r="B8" s="1021">
        <f ca="1">IF(C8&lt;B2,"已过期",1120000080)</f>
        <v>1120000080</v>
      </c>
      <c r="C8" s="2345">
        <v>43849</v>
      </c>
      <c r="D8" s="2348" t="s">
        <v>835</v>
      </c>
      <c r="E8" s="1021">
        <f ca="1">IF(F8&lt;B2,"已过期",2000110082)</f>
        <v>2000110082</v>
      </c>
      <c r="F8" s="1029">
        <v>46387</v>
      </c>
    </row>
    <row r="9" spans="1:6" ht="24" customHeight="1">
      <c r="A9" s="1701" t="s">
        <v>836</v>
      </c>
      <c r="B9" s="1021">
        <f ca="1">IF(C9&lt;B2,"已过期",1419970001)</f>
        <v>1419970001</v>
      </c>
      <c r="C9" s="2345">
        <v>43867</v>
      </c>
      <c r="D9" s="2348" t="s">
        <v>836</v>
      </c>
      <c r="E9" s="1021">
        <f ca="1">IF(F9&lt;B2,"已过期",2002110125)</f>
        <v>2002110125</v>
      </c>
      <c r="F9" s="1029">
        <v>47118</v>
      </c>
    </row>
    <row r="10" spans="1:6" ht="24" customHeight="1">
      <c r="A10" s="1701" t="s">
        <v>837</v>
      </c>
      <c r="B10" s="1021" t="str">
        <f ca="1">IF(C10&lt;B2,"已过期",1120060040)</f>
        <v>已过期</v>
      </c>
      <c r="C10" s="2345">
        <v>43483</v>
      </c>
      <c r="D10" s="2348" t="s">
        <v>837</v>
      </c>
      <c r="E10" s="1021">
        <f ca="1">IF(F10&lt;B2,"已过期",2004110096)</f>
        <v>2004110096</v>
      </c>
      <c r="F10" s="1029">
        <v>47118</v>
      </c>
    </row>
    <row r="11" spans="1:6" ht="24" customHeight="1">
      <c r="A11" s="1701" t="s">
        <v>838</v>
      </c>
      <c r="B11" s="1021" t="str">
        <f ca="1">IF(C11&lt;B2,"已过期",1120100036)</f>
        <v>已过期</v>
      </c>
      <c r="C11" s="2345">
        <v>43622</v>
      </c>
      <c r="D11" s="2348" t="s">
        <v>838</v>
      </c>
      <c r="E11" s="1021">
        <f ca="1">IF(F11&lt;B2,"已过期",2010110070)</f>
        <v>2010110070</v>
      </c>
      <c r="F11" s="1029">
        <v>47907</v>
      </c>
    </row>
    <row r="12" spans="1:6" ht="24" customHeight="1">
      <c r="A12" s="1701"/>
      <c r="B12" s="1021"/>
      <c r="C12" s="2925"/>
      <c r="D12" s="1701"/>
      <c r="E12" s="1021"/>
      <c r="F12" s="1029"/>
    </row>
    <row r="13" spans="1:6" ht="24" customHeight="1">
      <c r="A13" s="1701" t="s">
        <v>839</v>
      </c>
      <c r="B13" s="1021">
        <f ca="1">IF(C13&lt;B2,"已过期",1120070131)</f>
        <v>1120070131</v>
      </c>
      <c r="C13" s="2345">
        <v>43814</v>
      </c>
      <c r="D13" s="2348" t="s">
        <v>839</v>
      </c>
      <c r="E13" s="1021">
        <f ca="1">IF(F13&lt;B2,"已过期",2014110011)</f>
        <v>2014110011</v>
      </c>
      <c r="F13" s="1029">
        <v>49302</v>
      </c>
    </row>
    <row r="14" spans="1:6" ht="24" customHeight="1">
      <c r="A14" s="1701" t="s">
        <v>3000</v>
      </c>
      <c r="B14" s="1021">
        <f ca="1">IF(C14&lt;B2,"已过期",1120040230)</f>
        <v>1120040230</v>
      </c>
      <c r="C14" s="2345">
        <v>43835</v>
      </c>
      <c r="D14" s="2348" t="s">
        <v>3000</v>
      </c>
      <c r="E14" s="1021">
        <f ca="1">IF(F14&lt;B2,"已过期",98030020)</f>
        <v>98030020</v>
      </c>
      <c r="F14" s="1029">
        <v>47118</v>
      </c>
    </row>
    <row r="15" spans="1:6" ht="24" customHeight="1">
      <c r="A15" s="1702" t="s">
        <v>3001</v>
      </c>
      <c r="B15" s="1021">
        <f ca="1">IF(C15&lt;B2,"已过期",1120070085)</f>
        <v>1120070085</v>
      </c>
      <c r="C15" s="2345">
        <v>43814</v>
      </c>
      <c r="D15" s="2349" t="s">
        <v>3001</v>
      </c>
      <c r="E15" s="1021">
        <f ca="1">IF(F15&lt;B2,"已过期",2004110128)</f>
        <v>2004110128</v>
      </c>
      <c r="F15" s="1022">
        <v>47118</v>
      </c>
    </row>
    <row r="16" spans="1:6" ht="24" customHeight="1">
      <c r="A16" s="1701" t="s">
        <v>3002</v>
      </c>
      <c r="B16" s="1021">
        <f ca="1">IF(C16&lt;B2,"已过期",1120140022)</f>
        <v>1120140022</v>
      </c>
      <c r="C16" s="2925">
        <v>44029</v>
      </c>
      <c r="D16" s="2348" t="s">
        <v>3002</v>
      </c>
      <c r="E16" s="1021">
        <f ca="1">IF(F16&lt;B2,"已过期",2008110059)</f>
        <v>2008110059</v>
      </c>
      <c r="F16" s="1029">
        <v>47177</v>
      </c>
    </row>
    <row r="17" spans="1:7" ht="24" customHeight="1">
      <c r="A17" s="1701"/>
      <c r="B17" s="1021"/>
      <c r="C17" s="2345"/>
      <c r="D17" s="2348" t="s">
        <v>3003</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840</v>
      </c>
      <c r="E21" s="1021">
        <f ca="1">IF(F21&lt;B2,"已过期",2011110090)</f>
        <v>2011110090</v>
      </c>
      <c r="F21" s="1029">
        <v>48302</v>
      </c>
    </row>
    <row r="22" spans="1:7" ht="24" customHeight="1">
      <c r="A22" s="1701" t="s">
        <v>841</v>
      </c>
      <c r="B22" s="1021">
        <f ca="1">IF(C22&lt;B2,"已过期",1120020033)</f>
        <v>1120020033</v>
      </c>
      <c r="C22" s="2925">
        <v>44339</v>
      </c>
      <c r="D22" s="2348" t="s">
        <v>841</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1325</v>
      </c>
      <c r="B24" s="1702" t="s">
        <v>1325</v>
      </c>
      <c r="C24" s="2346" t="s">
        <v>1325</v>
      </c>
      <c r="D24" s="2349" t="s">
        <v>1325</v>
      </c>
      <c r="E24" s="1702" t="s">
        <v>1325</v>
      </c>
      <c r="F24" s="1702" t="s">
        <v>1325</v>
      </c>
    </row>
    <row r="25" spans="1:7" ht="24" customHeight="1">
      <c r="A25" s="3026" t="s">
        <v>842</v>
      </c>
      <c r="B25" s="3026"/>
      <c r="C25" s="3026"/>
      <c r="D25" s="3026"/>
      <c r="E25" s="3026"/>
      <c r="F25" s="3026"/>
      <c r="G25" s="3026"/>
    </row>
    <row r="26" spans="1:7" s="1024" customFormat="1" ht="24" customHeight="1">
      <c r="A26" s="3027" t="s">
        <v>843</v>
      </c>
      <c r="B26" s="3027"/>
      <c r="C26" s="3028"/>
      <c r="D26" s="3029" t="s">
        <v>844</v>
      </c>
      <c r="E26" s="3027"/>
      <c r="F26" s="3027"/>
    </row>
    <row r="27" spans="1:7" s="1026" customFormat="1" ht="24" customHeight="1">
      <c r="A27" s="1025" t="s">
        <v>845</v>
      </c>
      <c r="B27" s="1020" t="s">
        <v>846</v>
      </c>
      <c r="C27" s="2344" t="s">
        <v>847</v>
      </c>
      <c r="D27" s="2352" t="s">
        <v>845</v>
      </c>
      <c r="E27" s="1020" t="s">
        <v>846</v>
      </c>
      <c r="F27" s="1020" t="s">
        <v>847</v>
      </c>
    </row>
    <row r="28" spans="1:7" s="1026" customFormat="1" ht="24" customHeight="1">
      <c r="A28" s="1027" t="s">
        <v>848</v>
      </c>
      <c r="B28" s="1028" t="s">
        <v>849</v>
      </c>
      <c r="C28" s="2350">
        <v>43725</v>
      </c>
      <c r="D28" s="2353" t="s">
        <v>850</v>
      </c>
      <c r="E28" s="1027" t="s">
        <v>851</v>
      </c>
      <c r="F28" s="1057">
        <v>44377</v>
      </c>
    </row>
    <row r="29" spans="1:7" s="1026" customFormat="1" ht="24" customHeight="1">
      <c r="A29" s="1027"/>
      <c r="B29" s="1027"/>
      <c r="C29" s="2351"/>
      <c r="D29" s="2353"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5"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比较法-住宅</vt:lpstr>
      <vt:lpstr>收益法-住宅</vt:lpstr>
      <vt:lpstr>收益法 (元)</vt:lpstr>
      <vt:lpstr>收益法（汇总）</vt:lpstr>
      <vt:lpstr>酒店收入计算</vt:lpstr>
      <vt:lpstr>比较法-商业</vt:lpstr>
      <vt:lpstr>收益法-商业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扣减值</vt:lpstr>
      <vt:lpstr>现房案例</vt:lpstr>
      <vt:lpstr>商业案例</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2019-06-28T06:16:38Z</dcterms:modified>
</cp:coreProperties>
</file>