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数据-汇总表" sheetId="6" r:id="rId14"/>
    <sheet name="Sheet1" sheetId="77" r:id="rId15"/>
    <sheet name="数据-取费表" sheetId="1" r:id="rId16"/>
    <sheet name="估价对象房地状况" sheetId="20" r:id="rId17"/>
    <sheet name="系统读取表" sheetId="74" r:id="rId18"/>
    <sheet name="结果表" sheetId="9" r:id="rId19"/>
    <sheet name="比较法-办公" sheetId="34" state="hidden" r:id="rId20"/>
    <sheet name="比较法-商业" sheetId="33" r:id="rId21"/>
    <sheet name="典型户型修正 (2)" sheetId="85" r:id="rId22"/>
    <sheet name="成交案例" sheetId="81" r:id="rId23"/>
    <sheet name="成本法" sheetId="68" r:id="rId24"/>
    <sheet name="土地比较法-住宅、综合" sheetId="39" r:id="rId25"/>
    <sheet name="土地案例" sheetId="82" r:id="rId26"/>
    <sheet name="典型户型修正" sheetId="31" r:id="rId27"/>
    <sheet name="收益法" sheetId="15" r:id="rId28"/>
    <sheet name="收益法 (元)" sheetId="67" state="hidden" r:id="rId29"/>
    <sheet name="成本法 (元)" sheetId="69" state="hidden" r:id="rId30"/>
    <sheet name="假设开发法" sheetId="12"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33"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33">'比较法-住宅'!$A$1:$K$54,'比较法-住宅'!$A$57:$M$131</definedName>
    <definedName name="_xlnm.Print_Area" localSheetId="23">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30">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'土地比较法-住宅、综合'!$A$73:$M$73</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1">'典型户型修正 (2)'!$5:$5</definedName>
    <definedName name="一修多修正项2">典型户型修正!$5:$5</definedName>
    <definedName name="一修多修正项3" localSheetId="21">'典型户型修正 (2)'!$7:$7</definedName>
    <definedName name="一修多修正项3">典型户型修正!$7:$7</definedName>
    <definedName name="一修多修正项4" localSheetId="21">'典型户型修正 (2)'!$9:$9</definedName>
    <definedName name="一修多修正项4">典型户型修正!$9:$9</definedName>
    <definedName name="一修多修正项5" localSheetId="21">'典型户型修正 (2)'!$11:$11</definedName>
    <definedName name="一修多修正项5">典型户型修正!$11:$11</definedName>
    <definedName name="一修多修正项6" localSheetId="21">'典型户型修正 (2)'!$13:$13</definedName>
    <definedName name="一修多修正项6">典型户型修正!$13:$13</definedName>
    <definedName name="一修多修正项7" localSheetId="21">'典型户型修正 (2)'!$15:$15</definedName>
    <definedName name="一修多修正项7">典型户型修正!$15:$15</definedName>
    <definedName name="一修多修正项8" localSheetId="21">'典型户型修正 (2)'!$17:$17</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24" i="85" l="1"/>
  <c r="G15" i="77" l="1"/>
  <c r="D4" i="85"/>
  <c r="E4" i="85"/>
  <c r="F4" i="85"/>
  <c r="G4" i="85"/>
  <c r="H4" i="85"/>
  <c r="I4" i="85"/>
  <c r="C4" i="85"/>
  <c r="I3" i="85"/>
  <c r="D3" i="85"/>
  <c r="E3" i="85"/>
  <c r="F3" i="85"/>
  <c r="G3" i="85"/>
  <c r="H3" i="85"/>
  <c r="C3" i="85"/>
  <c r="B25" i="85"/>
  <c r="B26" i="85"/>
  <c r="B24" i="85"/>
  <c r="C33" i="33"/>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R493" i="85"/>
  <c r="S493" i="85" s="1"/>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R479" i="85"/>
  <c r="S479" i="85" s="1"/>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R463" i="85"/>
  <c r="S463" i="85" s="1"/>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R447" i="85"/>
  <c r="S447" i="85" s="1"/>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R440" i="85"/>
  <c r="S440" i="85" s="1"/>
  <c r="Q440" i="85"/>
  <c r="O440" i="85"/>
  <c r="M440" i="85"/>
  <c r="K440" i="85"/>
  <c r="I440" i="85"/>
  <c r="G440" i="85"/>
  <c r="E440" i="85"/>
  <c r="C440" i="85"/>
  <c r="R439" i="85"/>
  <c r="S439" i="85" s="1"/>
  <c r="Q439" i="85"/>
  <c r="O439" i="85"/>
  <c r="M439" i="85"/>
  <c r="K439" i="85"/>
  <c r="I439" i="85"/>
  <c r="G439" i="85"/>
  <c r="E439" i="85"/>
  <c r="C439" i="85"/>
  <c r="R438" i="85"/>
  <c r="S438" i="85" s="1"/>
  <c r="Q438" i="85"/>
  <c r="O438" i="85"/>
  <c r="M438" i="85"/>
  <c r="K438" i="85"/>
  <c r="I438" i="85"/>
  <c r="G438" i="85"/>
  <c r="E438" i="85"/>
  <c r="C438" i="85"/>
  <c r="R437" i="85"/>
  <c r="S437" i="85" s="1"/>
  <c r="Q437" i="85"/>
  <c r="O437" i="85"/>
  <c r="M437" i="85"/>
  <c r="K437" i="85"/>
  <c r="I437" i="85"/>
  <c r="G437" i="85"/>
  <c r="E437" i="85"/>
  <c r="C437" i="85"/>
  <c r="R436" i="85"/>
  <c r="S436" i="85" s="1"/>
  <c r="Q436" i="85"/>
  <c r="O436" i="85"/>
  <c r="M436" i="85"/>
  <c r="K436" i="85"/>
  <c r="I436" i="85"/>
  <c r="G436" i="85"/>
  <c r="E436" i="85"/>
  <c r="C436" i="85"/>
  <c r="R435" i="85"/>
  <c r="S435" i="85" s="1"/>
  <c r="Q435" i="85"/>
  <c r="O435" i="85"/>
  <c r="M435" i="85"/>
  <c r="K435" i="85"/>
  <c r="I435" i="85"/>
  <c r="G435" i="85"/>
  <c r="E435" i="85"/>
  <c r="C435" i="85"/>
  <c r="R434" i="85"/>
  <c r="S434" i="85" s="1"/>
  <c r="Q434" i="85"/>
  <c r="O434" i="85"/>
  <c r="M434" i="85"/>
  <c r="K434" i="85"/>
  <c r="I434" i="85"/>
  <c r="G434" i="85"/>
  <c r="E434" i="85"/>
  <c r="C434" i="85"/>
  <c r="R433" i="85"/>
  <c r="S433" i="85" s="1"/>
  <c r="Q433" i="85"/>
  <c r="O433" i="85"/>
  <c r="M433" i="85"/>
  <c r="K433" i="85"/>
  <c r="I433" i="85"/>
  <c r="G433" i="85"/>
  <c r="E433" i="85"/>
  <c r="C433" i="85"/>
  <c r="R432" i="85"/>
  <c r="S432" i="85" s="1"/>
  <c r="Q432" i="85"/>
  <c r="O432" i="85"/>
  <c r="M432" i="85"/>
  <c r="K432" i="85"/>
  <c r="I432" i="85"/>
  <c r="G432" i="85"/>
  <c r="E432" i="85"/>
  <c r="C432" i="85"/>
  <c r="R431" i="85"/>
  <c r="S431" i="85" s="1"/>
  <c r="Q431" i="85"/>
  <c r="O431" i="85"/>
  <c r="M431" i="85"/>
  <c r="K431" i="85"/>
  <c r="I431" i="85"/>
  <c r="G431" i="85"/>
  <c r="E431" i="85"/>
  <c r="C431" i="85"/>
  <c r="R430" i="85"/>
  <c r="S430" i="85" s="1"/>
  <c r="Q430" i="85"/>
  <c r="O430" i="85"/>
  <c r="M430" i="85"/>
  <c r="K430" i="85"/>
  <c r="I430" i="85"/>
  <c r="G430" i="85"/>
  <c r="E430" i="85"/>
  <c r="C430" i="85"/>
  <c r="R429" i="85"/>
  <c r="S429" i="85" s="1"/>
  <c r="Q429" i="85"/>
  <c r="O429" i="85"/>
  <c r="M429" i="85"/>
  <c r="K429" i="85"/>
  <c r="I429" i="85"/>
  <c r="G429" i="85"/>
  <c r="E429" i="85"/>
  <c r="C429" i="85"/>
  <c r="R428" i="85"/>
  <c r="S428" i="85" s="1"/>
  <c r="Q428" i="85"/>
  <c r="O428" i="85"/>
  <c r="M428" i="85"/>
  <c r="K428" i="85"/>
  <c r="I428" i="85"/>
  <c r="G428" i="85"/>
  <c r="E428" i="85"/>
  <c r="C428" i="85"/>
  <c r="R427" i="85"/>
  <c r="S427" i="85" s="1"/>
  <c r="Q427" i="85"/>
  <c r="O427" i="85"/>
  <c r="M427" i="85"/>
  <c r="K427" i="85"/>
  <c r="I427" i="85"/>
  <c r="G427" i="85"/>
  <c r="E427" i="85"/>
  <c r="C427" i="85"/>
  <c r="R426" i="85"/>
  <c r="S426" i="85" s="1"/>
  <c r="Q426" i="85"/>
  <c r="O426" i="85"/>
  <c r="M426" i="85"/>
  <c r="K426" i="85"/>
  <c r="I426" i="85"/>
  <c r="G426" i="85"/>
  <c r="E426" i="85"/>
  <c r="C426" i="85"/>
  <c r="R425" i="85"/>
  <c r="S425" i="85" s="1"/>
  <c r="Q425" i="85"/>
  <c r="O425" i="85"/>
  <c r="M425" i="85"/>
  <c r="K425" i="85"/>
  <c r="I425" i="85"/>
  <c r="G425" i="85"/>
  <c r="E425" i="85"/>
  <c r="C425" i="85"/>
  <c r="R424" i="85"/>
  <c r="S424" i="85" s="1"/>
  <c r="Q424" i="85"/>
  <c r="O424" i="85"/>
  <c r="M424" i="85"/>
  <c r="K424" i="85"/>
  <c r="I424" i="85"/>
  <c r="G424" i="85"/>
  <c r="E424" i="85"/>
  <c r="C424" i="85"/>
  <c r="R423" i="85"/>
  <c r="S423" i="85" s="1"/>
  <c r="Q423" i="85"/>
  <c r="O423" i="85"/>
  <c r="M423" i="85"/>
  <c r="K423" i="85"/>
  <c r="I423" i="85"/>
  <c r="G423" i="85"/>
  <c r="E423" i="85"/>
  <c r="C423" i="85"/>
  <c r="R422" i="85"/>
  <c r="S422" i="85" s="1"/>
  <c r="Q422" i="85"/>
  <c r="O422" i="85"/>
  <c r="M422" i="85"/>
  <c r="K422" i="85"/>
  <c r="I422" i="85"/>
  <c r="G422" i="85"/>
  <c r="E422" i="85"/>
  <c r="C422" i="85"/>
  <c r="R421" i="85"/>
  <c r="S421" i="85" s="1"/>
  <c r="Q421" i="85"/>
  <c r="O421" i="85"/>
  <c r="M421" i="85"/>
  <c r="K421" i="85"/>
  <c r="I421" i="85"/>
  <c r="G421" i="85"/>
  <c r="E421" i="85"/>
  <c r="C421" i="85"/>
  <c r="R420" i="85"/>
  <c r="S420" i="85" s="1"/>
  <c r="Q420" i="85"/>
  <c r="O420" i="85"/>
  <c r="M420" i="85"/>
  <c r="K420" i="85"/>
  <c r="I420" i="85"/>
  <c r="G420" i="85"/>
  <c r="E420" i="85"/>
  <c r="C420" i="85"/>
  <c r="R419" i="85"/>
  <c r="S419" i="85" s="1"/>
  <c r="Q419" i="85"/>
  <c r="O419" i="85"/>
  <c r="M419" i="85"/>
  <c r="K419" i="85"/>
  <c r="I419" i="85"/>
  <c r="G419" i="85"/>
  <c r="E419" i="85"/>
  <c r="C419" i="85"/>
  <c r="R418" i="85"/>
  <c r="S418" i="85" s="1"/>
  <c r="Q418" i="85"/>
  <c r="O418" i="85"/>
  <c r="M418" i="85"/>
  <c r="K418" i="85"/>
  <c r="I418" i="85"/>
  <c r="G418" i="85"/>
  <c r="E418" i="85"/>
  <c r="C418" i="85"/>
  <c r="R417" i="85"/>
  <c r="S417" i="85" s="1"/>
  <c r="Q417" i="85"/>
  <c r="O417" i="85"/>
  <c r="M417" i="85"/>
  <c r="K417" i="85"/>
  <c r="I417" i="85"/>
  <c r="G417" i="85"/>
  <c r="E417" i="85"/>
  <c r="C417" i="85"/>
  <c r="R416" i="85"/>
  <c r="S416" i="85" s="1"/>
  <c r="Q416" i="85"/>
  <c r="O416" i="85"/>
  <c r="M416" i="85"/>
  <c r="K416" i="85"/>
  <c r="I416" i="85"/>
  <c r="G416" i="85"/>
  <c r="E416" i="85"/>
  <c r="C416" i="85"/>
  <c r="R415" i="85"/>
  <c r="S415" i="85" s="1"/>
  <c r="Q415" i="85"/>
  <c r="O415" i="85"/>
  <c r="M415" i="85"/>
  <c r="K415" i="85"/>
  <c r="I415" i="85"/>
  <c r="G415" i="85"/>
  <c r="E415" i="85"/>
  <c r="C415" i="85"/>
  <c r="R414" i="85"/>
  <c r="S414" i="85" s="1"/>
  <c r="Q414" i="85"/>
  <c r="O414" i="85"/>
  <c r="M414" i="85"/>
  <c r="K414" i="85"/>
  <c r="I414" i="85"/>
  <c r="G414" i="85"/>
  <c r="E414" i="85"/>
  <c r="C414" i="85"/>
  <c r="R413" i="85"/>
  <c r="S413" i="85" s="1"/>
  <c r="Q413" i="85"/>
  <c r="O413" i="85"/>
  <c r="M413" i="85"/>
  <c r="K413" i="85"/>
  <c r="I413" i="85"/>
  <c r="G413" i="85"/>
  <c r="E413" i="85"/>
  <c r="C413" i="85"/>
  <c r="R412" i="85"/>
  <c r="S412" i="85" s="1"/>
  <c r="Q412" i="85"/>
  <c r="O412" i="85"/>
  <c r="M412" i="85"/>
  <c r="K412" i="85"/>
  <c r="I412" i="85"/>
  <c r="G412" i="85"/>
  <c r="E412" i="85"/>
  <c r="C412" i="85"/>
  <c r="R411" i="85"/>
  <c r="S411" i="85" s="1"/>
  <c r="Q411" i="85"/>
  <c r="O411" i="85"/>
  <c r="M411" i="85"/>
  <c r="K411" i="85"/>
  <c r="I411" i="85"/>
  <c r="G411" i="85"/>
  <c r="E411" i="85"/>
  <c r="C411" i="85"/>
  <c r="R410" i="85"/>
  <c r="S410" i="85" s="1"/>
  <c r="Q410" i="85"/>
  <c r="O410" i="85"/>
  <c r="M410" i="85"/>
  <c r="K410" i="85"/>
  <c r="I410" i="85"/>
  <c r="G410" i="85"/>
  <c r="E410" i="85"/>
  <c r="C410" i="85"/>
  <c r="R409" i="85"/>
  <c r="S409" i="85" s="1"/>
  <c r="Q409" i="85"/>
  <c r="O409" i="85"/>
  <c r="M409" i="85"/>
  <c r="K409" i="85"/>
  <c r="I409" i="85"/>
  <c r="G409" i="85"/>
  <c r="E409" i="85"/>
  <c r="C409" i="85"/>
  <c r="R408" i="85"/>
  <c r="S408" i="85" s="1"/>
  <c r="Q408" i="85"/>
  <c r="O408" i="85"/>
  <c r="M408" i="85"/>
  <c r="K408" i="85"/>
  <c r="I408" i="85"/>
  <c r="G408" i="85"/>
  <c r="E408" i="85"/>
  <c r="C408" i="85"/>
  <c r="R407" i="85"/>
  <c r="S407" i="85" s="1"/>
  <c r="Q407" i="85"/>
  <c r="O407" i="85"/>
  <c r="M407" i="85"/>
  <c r="K407" i="85"/>
  <c r="I407" i="85"/>
  <c r="G407" i="85"/>
  <c r="E407" i="85"/>
  <c r="C407" i="85"/>
  <c r="R406" i="85"/>
  <c r="S406" i="85" s="1"/>
  <c r="Q406" i="85"/>
  <c r="O406" i="85"/>
  <c r="M406" i="85"/>
  <c r="K406" i="85"/>
  <c r="I406" i="85"/>
  <c r="G406" i="85"/>
  <c r="E406" i="85"/>
  <c r="C406" i="85"/>
  <c r="R405" i="85"/>
  <c r="S405" i="85" s="1"/>
  <c r="Q405" i="85"/>
  <c r="O405" i="85"/>
  <c r="M405" i="85"/>
  <c r="K405" i="85"/>
  <c r="I405" i="85"/>
  <c r="G405" i="85"/>
  <c r="E405" i="85"/>
  <c r="C405" i="85"/>
  <c r="R404" i="85"/>
  <c r="S404" i="85" s="1"/>
  <c r="Q404" i="85"/>
  <c r="O404" i="85"/>
  <c r="M404" i="85"/>
  <c r="K404" i="85"/>
  <c r="I404" i="85"/>
  <c r="G404" i="85"/>
  <c r="E404" i="85"/>
  <c r="C404" i="85"/>
  <c r="R403" i="85"/>
  <c r="S403" i="85" s="1"/>
  <c r="Q403" i="85"/>
  <c r="O403" i="85"/>
  <c r="M403" i="85"/>
  <c r="K403" i="85"/>
  <c r="I403" i="85"/>
  <c r="G403" i="85"/>
  <c r="E403" i="85"/>
  <c r="C403" i="85"/>
  <c r="R402" i="85"/>
  <c r="S402" i="85" s="1"/>
  <c r="Q402" i="85"/>
  <c r="O402" i="85"/>
  <c r="M402" i="85"/>
  <c r="K402" i="85"/>
  <c r="I402" i="85"/>
  <c r="G402" i="85"/>
  <c r="E402" i="85"/>
  <c r="C402" i="85"/>
  <c r="R401" i="85"/>
  <c r="S401" i="85" s="1"/>
  <c r="Q401" i="85"/>
  <c r="O401" i="85"/>
  <c r="M401" i="85"/>
  <c r="K401" i="85"/>
  <c r="I401" i="85"/>
  <c r="G401" i="85"/>
  <c r="E401" i="85"/>
  <c r="C401" i="85"/>
  <c r="R400" i="85"/>
  <c r="S400" i="85" s="1"/>
  <c r="Q400" i="85"/>
  <c r="O400" i="85"/>
  <c r="M400" i="85"/>
  <c r="K400" i="85"/>
  <c r="I400" i="85"/>
  <c r="G400" i="85"/>
  <c r="E400" i="85"/>
  <c r="C400" i="85"/>
  <c r="R399" i="85"/>
  <c r="S399" i="85" s="1"/>
  <c r="Q399" i="85"/>
  <c r="O399" i="85"/>
  <c r="M399" i="85"/>
  <c r="K399" i="85"/>
  <c r="I399" i="85"/>
  <c r="G399" i="85"/>
  <c r="E399" i="85"/>
  <c r="C399" i="85"/>
  <c r="R398" i="85"/>
  <c r="S398" i="85" s="1"/>
  <c r="Q398" i="85"/>
  <c r="O398" i="85"/>
  <c r="M398" i="85"/>
  <c r="K398" i="85"/>
  <c r="I398" i="85"/>
  <c r="G398" i="85"/>
  <c r="E398" i="85"/>
  <c r="C398" i="85"/>
  <c r="R397" i="85"/>
  <c r="S397" i="85" s="1"/>
  <c r="Q397" i="85"/>
  <c r="O397" i="85"/>
  <c r="M397" i="85"/>
  <c r="K397" i="85"/>
  <c r="I397" i="85"/>
  <c r="G397" i="85"/>
  <c r="E397" i="85"/>
  <c r="C397" i="85"/>
  <c r="R396" i="85"/>
  <c r="S396" i="85" s="1"/>
  <c r="Q396" i="85"/>
  <c r="O396" i="85"/>
  <c r="M396" i="85"/>
  <c r="K396" i="85"/>
  <c r="I396" i="85"/>
  <c r="G396" i="85"/>
  <c r="E396" i="85"/>
  <c r="C396" i="85"/>
  <c r="R395" i="85"/>
  <c r="S395" i="85" s="1"/>
  <c r="Q395" i="85"/>
  <c r="O395" i="85"/>
  <c r="M395" i="85"/>
  <c r="K395" i="85"/>
  <c r="I395" i="85"/>
  <c r="G395" i="85"/>
  <c r="E395" i="85"/>
  <c r="C395" i="85"/>
  <c r="R394" i="85"/>
  <c r="S394" i="85" s="1"/>
  <c r="Q394" i="85"/>
  <c r="O394" i="85"/>
  <c r="M394" i="85"/>
  <c r="K394" i="85"/>
  <c r="I394" i="85"/>
  <c r="G394" i="85"/>
  <c r="E394" i="85"/>
  <c r="C394" i="85"/>
  <c r="R393" i="85"/>
  <c r="S393" i="85" s="1"/>
  <c r="Q393" i="85"/>
  <c r="O393" i="85"/>
  <c r="M393" i="85"/>
  <c r="K393" i="85"/>
  <c r="I393" i="85"/>
  <c r="G393" i="85"/>
  <c r="E393" i="85"/>
  <c r="C393" i="85"/>
  <c r="R392" i="85"/>
  <c r="S392" i="85" s="1"/>
  <c r="Q392" i="85"/>
  <c r="O392" i="85"/>
  <c r="M392" i="85"/>
  <c r="K392" i="85"/>
  <c r="I392" i="85"/>
  <c r="G392" i="85"/>
  <c r="E392" i="85"/>
  <c r="C392" i="85"/>
  <c r="R391" i="85"/>
  <c r="S391" i="85" s="1"/>
  <c r="Q391" i="85"/>
  <c r="O391" i="85"/>
  <c r="M391" i="85"/>
  <c r="K391" i="85"/>
  <c r="I391" i="85"/>
  <c r="G391" i="85"/>
  <c r="E391" i="85"/>
  <c r="C391" i="85"/>
  <c r="R390" i="85"/>
  <c r="S390" i="85" s="1"/>
  <c r="Q390" i="85"/>
  <c r="O390" i="85"/>
  <c r="M390" i="85"/>
  <c r="K390" i="85"/>
  <c r="I390" i="85"/>
  <c r="G390" i="85"/>
  <c r="E390" i="85"/>
  <c r="C390" i="85"/>
  <c r="R389" i="85"/>
  <c r="S389" i="85" s="1"/>
  <c r="Q389" i="85"/>
  <c r="O389" i="85"/>
  <c r="M389" i="85"/>
  <c r="K389" i="85"/>
  <c r="I389" i="85"/>
  <c r="G389" i="85"/>
  <c r="E389" i="85"/>
  <c r="C389" i="85"/>
  <c r="R388" i="85"/>
  <c r="S388" i="85" s="1"/>
  <c r="Q388" i="85"/>
  <c r="O388" i="85"/>
  <c r="M388" i="85"/>
  <c r="K388" i="85"/>
  <c r="I388" i="85"/>
  <c r="G388" i="85"/>
  <c r="E388" i="85"/>
  <c r="C388" i="85"/>
  <c r="R387" i="85"/>
  <c r="S387" i="85" s="1"/>
  <c r="Q387" i="85"/>
  <c r="O387" i="85"/>
  <c r="M387" i="85"/>
  <c r="K387" i="85"/>
  <c r="I387" i="85"/>
  <c r="G387" i="85"/>
  <c r="E387" i="85"/>
  <c r="C387" i="85"/>
  <c r="R386" i="85"/>
  <c r="S386" i="85" s="1"/>
  <c r="Q386" i="85"/>
  <c r="O386" i="85"/>
  <c r="M386" i="85"/>
  <c r="K386" i="85"/>
  <c r="I386" i="85"/>
  <c r="G386" i="85"/>
  <c r="E386" i="85"/>
  <c r="C386" i="85"/>
  <c r="R385" i="85"/>
  <c r="S385" i="85" s="1"/>
  <c r="Q385" i="85"/>
  <c r="O385" i="85"/>
  <c r="M385" i="85"/>
  <c r="K385" i="85"/>
  <c r="I385" i="85"/>
  <c r="G385" i="85"/>
  <c r="E385" i="85"/>
  <c r="C385" i="85"/>
  <c r="R384" i="85"/>
  <c r="S384" i="85" s="1"/>
  <c r="Q384" i="85"/>
  <c r="O384" i="85"/>
  <c r="M384" i="85"/>
  <c r="K384" i="85"/>
  <c r="I384" i="85"/>
  <c r="G384" i="85"/>
  <c r="E384" i="85"/>
  <c r="C384" i="85"/>
  <c r="R383" i="85"/>
  <c r="S383" i="85" s="1"/>
  <c r="Q383" i="85"/>
  <c r="O383" i="85"/>
  <c r="M383" i="85"/>
  <c r="K383" i="85"/>
  <c r="I383" i="85"/>
  <c r="G383" i="85"/>
  <c r="E383" i="85"/>
  <c r="C383" i="85"/>
  <c r="R382" i="85"/>
  <c r="S382" i="85" s="1"/>
  <c r="Q382" i="85"/>
  <c r="O382" i="85"/>
  <c r="M382" i="85"/>
  <c r="K382" i="85"/>
  <c r="I382" i="85"/>
  <c r="G382" i="85"/>
  <c r="E382" i="85"/>
  <c r="C382" i="85"/>
  <c r="R381" i="85"/>
  <c r="S381" i="85" s="1"/>
  <c r="Q381" i="85"/>
  <c r="O381" i="85"/>
  <c r="M381" i="85"/>
  <c r="K381" i="85"/>
  <c r="I381" i="85"/>
  <c r="G381" i="85"/>
  <c r="E381" i="85"/>
  <c r="C381" i="85"/>
  <c r="R380" i="85"/>
  <c r="S380" i="85" s="1"/>
  <c r="Q380" i="85"/>
  <c r="O380" i="85"/>
  <c r="M380" i="85"/>
  <c r="K380" i="85"/>
  <c r="I380" i="85"/>
  <c r="G380" i="85"/>
  <c r="E380" i="85"/>
  <c r="C380" i="85"/>
  <c r="R379" i="85"/>
  <c r="S379" i="85" s="1"/>
  <c r="Q379" i="85"/>
  <c r="O379" i="85"/>
  <c r="M379" i="85"/>
  <c r="K379" i="85"/>
  <c r="I379" i="85"/>
  <c r="G379" i="85"/>
  <c r="E379" i="85"/>
  <c r="C379" i="85"/>
  <c r="R378" i="85"/>
  <c r="S378" i="85" s="1"/>
  <c r="Q378" i="85"/>
  <c r="O378" i="85"/>
  <c r="M378" i="85"/>
  <c r="K378" i="85"/>
  <c r="I378" i="85"/>
  <c r="G378" i="85"/>
  <c r="E378" i="85"/>
  <c r="C378" i="85"/>
  <c r="R377" i="85"/>
  <c r="S377" i="85" s="1"/>
  <c r="Q377" i="85"/>
  <c r="O377" i="85"/>
  <c r="M377" i="85"/>
  <c r="K377" i="85"/>
  <c r="I377" i="85"/>
  <c r="G377" i="85"/>
  <c r="E377" i="85"/>
  <c r="C377" i="85"/>
  <c r="R376" i="85"/>
  <c r="S376" i="85" s="1"/>
  <c r="Q376" i="85"/>
  <c r="O376" i="85"/>
  <c r="M376" i="85"/>
  <c r="K376" i="85"/>
  <c r="I376" i="85"/>
  <c r="G376" i="85"/>
  <c r="E376" i="85"/>
  <c r="C376" i="85"/>
  <c r="R375" i="85"/>
  <c r="S375" i="85" s="1"/>
  <c r="Q375" i="85"/>
  <c r="O375" i="85"/>
  <c r="M375" i="85"/>
  <c r="K375" i="85"/>
  <c r="I375" i="85"/>
  <c r="G375" i="85"/>
  <c r="E375" i="85"/>
  <c r="C375" i="85"/>
  <c r="R374" i="85"/>
  <c r="S374" i="85" s="1"/>
  <c r="Q374" i="85"/>
  <c r="O374" i="85"/>
  <c r="M374" i="85"/>
  <c r="K374" i="85"/>
  <c r="I374" i="85"/>
  <c r="G374" i="85"/>
  <c r="E374" i="85"/>
  <c r="C374" i="85"/>
  <c r="R373" i="85"/>
  <c r="S373" i="85" s="1"/>
  <c r="Q373" i="85"/>
  <c r="O373" i="85"/>
  <c r="M373" i="85"/>
  <c r="K373" i="85"/>
  <c r="I373" i="85"/>
  <c r="G373" i="85"/>
  <c r="E373" i="85"/>
  <c r="C373" i="85"/>
  <c r="R372" i="85"/>
  <c r="S372" i="85" s="1"/>
  <c r="Q372" i="85"/>
  <c r="O372" i="85"/>
  <c r="M372" i="85"/>
  <c r="K372" i="85"/>
  <c r="I372" i="85"/>
  <c r="G372" i="85"/>
  <c r="E372" i="85"/>
  <c r="C372" i="85"/>
  <c r="R371" i="85"/>
  <c r="S371" i="85" s="1"/>
  <c r="Q371" i="85"/>
  <c r="O371" i="85"/>
  <c r="M371" i="85"/>
  <c r="K371" i="85"/>
  <c r="I371" i="85"/>
  <c r="G371" i="85"/>
  <c r="E371" i="85"/>
  <c r="C371" i="85"/>
  <c r="R370" i="85"/>
  <c r="S370" i="85" s="1"/>
  <c r="Q370" i="85"/>
  <c r="O370" i="85"/>
  <c r="M370" i="85"/>
  <c r="K370" i="85"/>
  <c r="I370" i="85"/>
  <c r="G370" i="85"/>
  <c r="E370" i="85"/>
  <c r="C370" i="85"/>
  <c r="R369" i="85"/>
  <c r="S369" i="85" s="1"/>
  <c r="Q369" i="85"/>
  <c r="O369" i="85"/>
  <c r="M369" i="85"/>
  <c r="K369" i="85"/>
  <c r="I369" i="85"/>
  <c r="G369" i="85"/>
  <c r="E369" i="85"/>
  <c r="C369" i="85"/>
  <c r="R368" i="85"/>
  <c r="S368" i="85" s="1"/>
  <c r="Q368" i="85"/>
  <c r="O368" i="85"/>
  <c r="M368" i="85"/>
  <c r="K368" i="85"/>
  <c r="I368" i="85"/>
  <c r="G368" i="85"/>
  <c r="E368" i="85"/>
  <c r="C368" i="85"/>
  <c r="R367" i="85"/>
  <c r="S367" i="85" s="1"/>
  <c r="Q367" i="85"/>
  <c r="O367" i="85"/>
  <c r="M367" i="85"/>
  <c r="K367" i="85"/>
  <c r="I367" i="85"/>
  <c r="G367" i="85"/>
  <c r="E367" i="85"/>
  <c r="C367" i="85"/>
  <c r="R366" i="85"/>
  <c r="S366" i="85" s="1"/>
  <c r="Q366" i="85"/>
  <c r="O366" i="85"/>
  <c r="M366" i="85"/>
  <c r="K366" i="85"/>
  <c r="I366" i="85"/>
  <c r="G366" i="85"/>
  <c r="E366" i="85"/>
  <c r="C366" i="85"/>
  <c r="R365" i="85"/>
  <c r="S365" i="85" s="1"/>
  <c r="Q365" i="85"/>
  <c r="O365" i="85"/>
  <c r="M365" i="85"/>
  <c r="K365" i="85"/>
  <c r="I365" i="85"/>
  <c r="G365" i="85"/>
  <c r="E365" i="85"/>
  <c r="C365" i="85"/>
  <c r="R364" i="85"/>
  <c r="S364" i="85" s="1"/>
  <c r="Q364" i="85"/>
  <c r="O364" i="85"/>
  <c r="M364" i="85"/>
  <c r="K364" i="85"/>
  <c r="I364" i="85"/>
  <c r="G364" i="85"/>
  <c r="E364" i="85"/>
  <c r="C364" i="85"/>
  <c r="R363" i="85"/>
  <c r="S363" i="85" s="1"/>
  <c r="Q363" i="85"/>
  <c r="O363" i="85"/>
  <c r="M363" i="85"/>
  <c r="K363" i="85"/>
  <c r="I363" i="85"/>
  <c r="G363" i="85"/>
  <c r="E363" i="85"/>
  <c r="C363" i="85"/>
  <c r="R362" i="85"/>
  <c r="S362" i="85" s="1"/>
  <c r="Q362" i="85"/>
  <c r="O362" i="85"/>
  <c r="M362" i="85"/>
  <c r="K362" i="85"/>
  <c r="I362" i="85"/>
  <c r="G362" i="85"/>
  <c r="E362" i="85"/>
  <c r="C362" i="85"/>
  <c r="R361" i="85"/>
  <c r="S361" i="85" s="1"/>
  <c r="Q361" i="85"/>
  <c r="O361" i="85"/>
  <c r="M361" i="85"/>
  <c r="K361" i="85"/>
  <c r="I361" i="85"/>
  <c r="G361" i="85"/>
  <c r="E361" i="85"/>
  <c r="C361" i="85"/>
  <c r="R360" i="85"/>
  <c r="S360" i="85" s="1"/>
  <c r="Q360" i="85"/>
  <c r="O360" i="85"/>
  <c r="M360" i="85"/>
  <c r="K360" i="85"/>
  <c r="I360" i="85"/>
  <c r="G360" i="85"/>
  <c r="E360" i="85"/>
  <c r="C360" i="85"/>
  <c r="R359" i="85"/>
  <c r="S359" i="85" s="1"/>
  <c r="Q359" i="85"/>
  <c r="O359" i="85"/>
  <c r="M359" i="85"/>
  <c r="K359" i="85"/>
  <c r="I359" i="85"/>
  <c r="G359" i="85"/>
  <c r="E359" i="85"/>
  <c r="C359" i="85"/>
  <c r="R358" i="85"/>
  <c r="S358" i="85" s="1"/>
  <c r="Q358" i="85"/>
  <c r="O358" i="85"/>
  <c r="M358" i="85"/>
  <c r="K358" i="85"/>
  <c r="I358" i="85"/>
  <c r="G358" i="85"/>
  <c r="E358" i="85"/>
  <c r="C358" i="85"/>
  <c r="R357" i="85"/>
  <c r="S357" i="85" s="1"/>
  <c r="Q357" i="85"/>
  <c r="O357" i="85"/>
  <c r="M357" i="85"/>
  <c r="K357" i="85"/>
  <c r="I357" i="85"/>
  <c r="G357" i="85"/>
  <c r="E357" i="85"/>
  <c r="C357" i="85"/>
  <c r="R356" i="85"/>
  <c r="S356" i="85" s="1"/>
  <c r="Q356" i="85"/>
  <c r="O356" i="85"/>
  <c r="M356" i="85"/>
  <c r="K356" i="85"/>
  <c r="I356" i="85"/>
  <c r="G356" i="85"/>
  <c r="E356" i="85"/>
  <c r="C356" i="85"/>
  <c r="R355" i="85"/>
  <c r="S355" i="85" s="1"/>
  <c r="Q355" i="85"/>
  <c r="O355" i="85"/>
  <c r="M355" i="85"/>
  <c r="K355" i="85"/>
  <c r="I355" i="85"/>
  <c r="G355" i="85"/>
  <c r="E355" i="85"/>
  <c r="C355" i="85"/>
  <c r="R354" i="85"/>
  <c r="S354" i="85" s="1"/>
  <c r="Q354" i="85"/>
  <c r="O354" i="85"/>
  <c r="M354" i="85"/>
  <c r="K354" i="85"/>
  <c r="I354" i="85"/>
  <c r="G354" i="85"/>
  <c r="E354" i="85"/>
  <c r="C354" i="85"/>
  <c r="R353" i="85"/>
  <c r="S353" i="85" s="1"/>
  <c r="Q353" i="85"/>
  <c r="O353" i="85"/>
  <c r="M353" i="85"/>
  <c r="K353" i="85"/>
  <c r="I353" i="85"/>
  <c r="G353" i="85"/>
  <c r="E353" i="85"/>
  <c r="C353" i="85"/>
  <c r="R352" i="85"/>
  <c r="S352" i="85" s="1"/>
  <c r="Q352" i="85"/>
  <c r="O352" i="85"/>
  <c r="M352" i="85"/>
  <c r="K352" i="85"/>
  <c r="I352" i="85"/>
  <c r="G352" i="85"/>
  <c r="E352" i="85"/>
  <c r="C352" i="85"/>
  <c r="R351" i="85"/>
  <c r="S351" i="85" s="1"/>
  <c r="Q351" i="85"/>
  <c r="O351" i="85"/>
  <c r="M351" i="85"/>
  <c r="K351" i="85"/>
  <c r="I351" i="85"/>
  <c r="G351" i="85"/>
  <c r="E351" i="85"/>
  <c r="C351" i="85"/>
  <c r="R350" i="85"/>
  <c r="S350" i="85" s="1"/>
  <c r="Q350" i="85"/>
  <c r="O350" i="85"/>
  <c r="M350" i="85"/>
  <c r="K350" i="85"/>
  <c r="I350" i="85"/>
  <c r="G350" i="85"/>
  <c r="E350" i="85"/>
  <c r="C350" i="85"/>
  <c r="R349" i="85"/>
  <c r="S349" i="85" s="1"/>
  <c r="Q349" i="85"/>
  <c r="O349" i="85"/>
  <c r="M349" i="85"/>
  <c r="K349" i="85"/>
  <c r="I349" i="85"/>
  <c r="G349" i="85"/>
  <c r="E349" i="85"/>
  <c r="C349" i="85"/>
  <c r="R348" i="85"/>
  <c r="S348" i="85" s="1"/>
  <c r="Q348" i="85"/>
  <c r="O348" i="85"/>
  <c r="M348" i="85"/>
  <c r="K348" i="85"/>
  <c r="I348" i="85"/>
  <c r="G348" i="85"/>
  <c r="E348" i="85"/>
  <c r="C348" i="85"/>
  <c r="R347" i="85"/>
  <c r="S347" i="85" s="1"/>
  <c r="Q347" i="85"/>
  <c r="O347" i="85"/>
  <c r="M347" i="85"/>
  <c r="K347" i="85"/>
  <c r="I347" i="85"/>
  <c r="G347" i="85"/>
  <c r="E347" i="85"/>
  <c r="C347" i="85"/>
  <c r="R346" i="85"/>
  <c r="S346" i="85" s="1"/>
  <c r="Q346" i="85"/>
  <c r="O346" i="85"/>
  <c r="M346" i="85"/>
  <c r="K346" i="85"/>
  <c r="I346" i="85"/>
  <c r="G346" i="85"/>
  <c r="E346" i="85"/>
  <c r="C346" i="85"/>
  <c r="R345" i="85"/>
  <c r="S345" i="85" s="1"/>
  <c r="Q345" i="85"/>
  <c r="O345" i="85"/>
  <c r="M345" i="85"/>
  <c r="K345" i="85"/>
  <c r="I345" i="85"/>
  <c r="G345" i="85"/>
  <c r="E345" i="85"/>
  <c r="C345" i="85"/>
  <c r="R344" i="85"/>
  <c r="S344" i="85" s="1"/>
  <c r="Q344" i="85"/>
  <c r="O344" i="85"/>
  <c r="M344" i="85"/>
  <c r="K344" i="85"/>
  <c r="I344" i="85"/>
  <c r="G344" i="85"/>
  <c r="E344" i="85"/>
  <c r="C344" i="85"/>
  <c r="R343" i="85"/>
  <c r="S343" i="85" s="1"/>
  <c r="Q343" i="85"/>
  <c r="O343" i="85"/>
  <c r="M343" i="85"/>
  <c r="K343" i="85"/>
  <c r="I343" i="85"/>
  <c r="G343" i="85"/>
  <c r="E343" i="85"/>
  <c r="C343" i="85"/>
  <c r="R342" i="85"/>
  <c r="S342" i="85" s="1"/>
  <c r="Q342" i="85"/>
  <c r="O342" i="85"/>
  <c r="M342" i="85"/>
  <c r="K342" i="85"/>
  <c r="I342" i="85"/>
  <c r="G342" i="85"/>
  <c r="E342" i="85"/>
  <c r="C342" i="85"/>
  <c r="R341" i="85"/>
  <c r="S341" i="85" s="1"/>
  <c r="Q341" i="85"/>
  <c r="O341" i="85"/>
  <c r="M341" i="85"/>
  <c r="K341" i="85"/>
  <c r="I341" i="85"/>
  <c r="G341" i="85"/>
  <c r="E341" i="85"/>
  <c r="C341" i="85"/>
  <c r="R340" i="85"/>
  <c r="S340" i="85" s="1"/>
  <c r="Q340" i="85"/>
  <c r="O340" i="85"/>
  <c r="M340" i="85"/>
  <c r="K340" i="85"/>
  <c r="I340" i="85"/>
  <c r="G340" i="85"/>
  <c r="E340" i="85"/>
  <c r="C340" i="85"/>
  <c r="R339" i="85"/>
  <c r="S339" i="85" s="1"/>
  <c r="Q339" i="85"/>
  <c r="O339" i="85"/>
  <c r="M339" i="85"/>
  <c r="K339" i="85"/>
  <c r="I339" i="85"/>
  <c r="G339" i="85"/>
  <c r="E339" i="85"/>
  <c r="C339" i="85"/>
  <c r="R338" i="85"/>
  <c r="S338" i="85" s="1"/>
  <c r="Q338" i="85"/>
  <c r="O338" i="85"/>
  <c r="M338" i="85"/>
  <c r="K338" i="85"/>
  <c r="I338" i="85"/>
  <c r="G338" i="85"/>
  <c r="E338" i="85"/>
  <c r="C338" i="85"/>
  <c r="R337" i="85"/>
  <c r="S337" i="85" s="1"/>
  <c r="Q337" i="85"/>
  <c r="O337" i="85"/>
  <c r="M337" i="85"/>
  <c r="K337" i="85"/>
  <c r="I337" i="85"/>
  <c r="G337" i="85"/>
  <c r="E337" i="85"/>
  <c r="C337" i="85"/>
  <c r="R336" i="85"/>
  <c r="S336" i="85" s="1"/>
  <c r="Q336" i="85"/>
  <c r="O336" i="85"/>
  <c r="M336" i="85"/>
  <c r="K336" i="85"/>
  <c r="I336" i="85"/>
  <c r="G336" i="85"/>
  <c r="E336" i="85"/>
  <c r="C336" i="85"/>
  <c r="R335" i="85"/>
  <c r="S335" i="85" s="1"/>
  <c r="Q335" i="85"/>
  <c r="O335" i="85"/>
  <c r="M335" i="85"/>
  <c r="K335" i="85"/>
  <c r="I335" i="85"/>
  <c r="G335" i="85"/>
  <c r="E335" i="85"/>
  <c r="C335" i="85"/>
  <c r="R334" i="85"/>
  <c r="S334" i="85" s="1"/>
  <c r="Q334" i="85"/>
  <c r="O334" i="85"/>
  <c r="M334" i="85"/>
  <c r="K334" i="85"/>
  <c r="I334" i="85"/>
  <c r="G334" i="85"/>
  <c r="E334" i="85"/>
  <c r="C334" i="85"/>
  <c r="R333" i="85"/>
  <c r="S333" i="85" s="1"/>
  <c r="Q333" i="85"/>
  <c r="O333" i="85"/>
  <c r="M333" i="85"/>
  <c r="K333" i="85"/>
  <c r="I333" i="85"/>
  <c r="G333" i="85"/>
  <c r="E333" i="85"/>
  <c r="C333" i="85"/>
  <c r="R332" i="85"/>
  <c r="S332" i="85" s="1"/>
  <c r="Q332" i="85"/>
  <c r="O332" i="85"/>
  <c r="M332" i="85"/>
  <c r="K332" i="85"/>
  <c r="I332" i="85"/>
  <c r="G332" i="85"/>
  <c r="E332" i="85"/>
  <c r="C332" i="85"/>
  <c r="R331" i="85"/>
  <c r="S331" i="85" s="1"/>
  <c r="Q331" i="85"/>
  <c r="O331" i="85"/>
  <c r="M331" i="85"/>
  <c r="K331" i="85"/>
  <c r="I331" i="85"/>
  <c r="G331" i="85"/>
  <c r="E331" i="85"/>
  <c r="C331" i="85"/>
  <c r="R330" i="85"/>
  <c r="S330" i="85" s="1"/>
  <c r="Q330" i="85"/>
  <c r="O330" i="85"/>
  <c r="M330" i="85"/>
  <c r="K330" i="85"/>
  <c r="I330" i="85"/>
  <c r="G330" i="85"/>
  <c r="E330" i="85"/>
  <c r="C330" i="85"/>
  <c r="R329" i="85"/>
  <c r="S329" i="85" s="1"/>
  <c r="Q329" i="85"/>
  <c r="O329" i="85"/>
  <c r="M329" i="85"/>
  <c r="K329" i="85"/>
  <c r="I329" i="85"/>
  <c r="G329" i="85"/>
  <c r="E329" i="85"/>
  <c r="C329" i="85"/>
  <c r="R328" i="85"/>
  <c r="S328" i="85" s="1"/>
  <c r="Q328" i="85"/>
  <c r="O328" i="85"/>
  <c r="M328" i="85"/>
  <c r="K328" i="85"/>
  <c r="I328" i="85"/>
  <c r="G328" i="85"/>
  <c r="E328" i="85"/>
  <c r="C328" i="85"/>
  <c r="R327" i="85"/>
  <c r="S327" i="85" s="1"/>
  <c r="Q327" i="85"/>
  <c r="O327" i="85"/>
  <c r="M327" i="85"/>
  <c r="K327" i="85"/>
  <c r="I327" i="85"/>
  <c r="G327" i="85"/>
  <c r="E327" i="85"/>
  <c r="C327" i="85"/>
  <c r="R326" i="85"/>
  <c r="S326" i="85" s="1"/>
  <c r="Q326" i="85"/>
  <c r="O326" i="85"/>
  <c r="M326" i="85"/>
  <c r="K326" i="85"/>
  <c r="I326" i="85"/>
  <c r="G326" i="85"/>
  <c r="E326" i="85"/>
  <c r="C326" i="85"/>
  <c r="R325" i="85"/>
  <c r="S325" i="85" s="1"/>
  <c r="Q325" i="85"/>
  <c r="O325" i="85"/>
  <c r="M325" i="85"/>
  <c r="K325" i="85"/>
  <c r="I325" i="85"/>
  <c r="G325" i="85"/>
  <c r="E325" i="85"/>
  <c r="C325" i="85"/>
  <c r="R324" i="85"/>
  <c r="S324" i="85" s="1"/>
  <c r="Q324" i="85"/>
  <c r="O324" i="85"/>
  <c r="M324" i="85"/>
  <c r="K324" i="85"/>
  <c r="I324" i="85"/>
  <c r="G324" i="85"/>
  <c r="E324" i="85"/>
  <c r="C324" i="85"/>
  <c r="R323" i="85"/>
  <c r="S323" i="85" s="1"/>
  <c r="Q323" i="85"/>
  <c r="O323" i="85"/>
  <c r="M323" i="85"/>
  <c r="K323" i="85"/>
  <c r="I323" i="85"/>
  <c r="G323" i="85"/>
  <c r="E323" i="85"/>
  <c r="C323" i="85"/>
  <c r="R322" i="85"/>
  <c r="S322" i="85" s="1"/>
  <c r="Q322" i="85"/>
  <c r="O322" i="85"/>
  <c r="M322" i="85"/>
  <c r="K322" i="85"/>
  <c r="I322" i="85"/>
  <c r="G322" i="85"/>
  <c r="E322" i="85"/>
  <c r="C322" i="85"/>
  <c r="R321" i="85"/>
  <c r="S321" i="85" s="1"/>
  <c r="Q321" i="85"/>
  <c r="O321" i="85"/>
  <c r="M321" i="85"/>
  <c r="K321" i="85"/>
  <c r="I321" i="85"/>
  <c r="G321" i="85"/>
  <c r="E321" i="85"/>
  <c r="C321" i="85"/>
  <c r="R320" i="85"/>
  <c r="S320" i="85" s="1"/>
  <c r="Q320" i="85"/>
  <c r="O320" i="85"/>
  <c r="M320" i="85"/>
  <c r="K320" i="85"/>
  <c r="I320" i="85"/>
  <c r="G320" i="85"/>
  <c r="E320" i="85"/>
  <c r="C320" i="85"/>
  <c r="R319" i="85"/>
  <c r="S319" i="85" s="1"/>
  <c r="Q319" i="85"/>
  <c r="O319" i="85"/>
  <c r="M319" i="85"/>
  <c r="K319" i="85"/>
  <c r="I319" i="85"/>
  <c r="G319" i="85"/>
  <c r="E319" i="85"/>
  <c r="C319" i="85"/>
  <c r="R318" i="85"/>
  <c r="S318" i="85" s="1"/>
  <c r="Q318" i="85"/>
  <c r="O318" i="85"/>
  <c r="M318" i="85"/>
  <c r="K318" i="85"/>
  <c r="I318" i="85"/>
  <c r="G318" i="85"/>
  <c r="E318" i="85"/>
  <c r="C318" i="85"/>
  <c r="R317" i="85"/>
  <c r="S317" i="85" s="1"/>
  <c r="Q317" i="85"/>
  <c r="O317" i="85"/>
  <c r="M317" i="85"/>
  <c r="K317" i="85"/>
  <c r="I317" i="85"/>
  <c r="G317" i="85"/>
  <c r="E317" i="85"/>
  <c r="C317" i="85"/>
  <c r="R316" i="85"/>
  <c r="S316" i="85" s="1"/>
  <c r="Q316" i="85"/>
  <c r="O316" i="85"/>
  <c r="M316" i="85"/>
  <c r="K316" i="85"/>
  <c r="I316" i="85"/>
  <c r="G316" i="85"/>
  <c r="E316" i="85"/>
  <c r="C316" i="85"/>
  <c r="R315" i="85"/>
  <c r="S315" i="85" s="1"/>
  <c r="Q315" i="85"/>
  <c r="O315" i="85"/>
  <c r="M315" i="85"/>
  <c r="K315" i="85"/>
  <c r="I315" i="85"/>
  <c r="G315" i="85"/>
  <c r="E315" i="85"/>
  <c r="C315" i="85"/>
  <c r="R314" i="85"/>
  <c r="S314" i="85" s="1"/>
  <c r="Q314" i="85"/>
  <c r="O314" i="85"/>
  <c r="M314" i="85"/>
  <c r="K314" i="85"/>
  <c r="I314" i="85"/>
  <c r="G314" i="85"/>
  <c r="E314" i="85"/>
  <c r="C314" i="85"/>
  <c r="R313" i="85"/>
  <c r="S313" i="85" s="1"/>
  <c r="Q313" i="85"/>
  <c r="O313" i="85"/>
  <c r="M313" i="85"/>
  <c r="K313" i="85"/>
  <c r="I313" i="85"/>
  <c r="G313" i="85"/>
  <c r="E313" i="85"/>
  <c r="C313" i="85"/>
  <c r="R312" i="85"/>
  <c r="S312" i="85" s="1"/>
  <c r="Q312" i="85"/>
  <c r="O312" i="85"/>
  <c r="M312" i="85"/>
  <c r="K312" i="85"/>
  <c r="I312" i="85"/>
  <c r="G312" i="85"/>
  <c r="E312" i="85"/>
  <c r="C312" i="85"/>
  <c r="R311" i="85"/>
  <c r="S311" i="85" s="1"/>
  <c r="Q311" i="85"/>
  <c r="O311" i="85"/>
  <c r="M311" i="85"/>
  <c r="K311" i="85"/>
  <c r="I311" i="85"/>
  <c r="G311" i="85"/>
  <c r="E311" i="85"/>
  <c r="C311" i="85"/>
  <c r="R310" i="85"/>
  <c r="S310" i="85" s="1"/>
  <c r="Q310" i="85"/>
  <c r="O310" i="85"/>
  <c r="M310" i="85"/>
  <c r="K310" i="85"/>
  <c r="I310" i="85"/>
  <c r="G310" i="85"/>
  <c r="E310" i="85"/>
  <c r="C310" i="85"/>
  <c r="R309" i="85"/>
  <c r="S309" i="85" s="1"/>
  <c r="Q309" i="85"/>
  <c r="O309" i="85"/>
  <c r="M309" i="85"/>
  <c r="K309" i="85"/>
  <c r="I309" i="85"/>
  <c r="G309" i="85"/>
  <c r="E309" i="85"/>
  <c r="C309" i="85"/>
  <c r="R308" i="85"/>
  <c r="S308" i="85" s="1"/>
  <c r="Q308" i="85"/>
  <c r="O308" i="85"/>
  <c r="M308" i="85"/>
  <c r="K308" i="85"/>
  <c r="I308" i="85"/>
  <c r="G308" i="85"/>
  <c r="E308" i="85"/>
  <c r="C308" i="85"/>
  <c r="R307" i="85"/>
  <c r="S307" i="85" s="1"/>
  <c r="Q307" i="85"/>
  <c r="O307" i="85"/>
  <c r="M307" i="85"/>
  <c r="K307" i="85"/>
  <c r="I307" i="85"/>
  <c r="G307" i="85"/>
  <c r="E307" i="85"/>
  <c r="C307" i="85"/>
  <c r="R306" i="85"/>
  <c r="S306" i="85" s="1"/>
  <c r="Q306" i="85"/>
  <c r="O306" i="85"/>
  <c r="M306" i="85"/>
  <c r="K306" i="85"/>
  <c r="I306" i="85"/>
  <c r="G306" i="85"/>
  <c r="E306" i="85"/>
  <c r="C306" i="85"/>
  <c r="R305" i="85"/>
  <c r="S305" i="85" s="1"/>
  <c r="Q305" i="85"/>
  <c r="O305" i="85"/>
  <c r="M305" i="85"/>
  <c r="K305" i="85"/>
  <c r="I305" i="85"/>
  <c r="G305" i="85"/>
  <c r="E305" i="85"/>
  <c r="C305" i="85"/>
  <c r="R304" i="85"/>
  <c r="S304" i="85" s="1"/>
  <c r="Q304" i="85"/>
  <c r="O304" i="85"/>
  <c r="M304" i="85"/>
  <c r="K304" i="85"/>
  <c r="I304" i="85"/>
  <c r="G304" i="85"/>
  <c r="E304" i="85"/>
  <c r="C304" i="85"/>
  <c r="R303" i="85"/>
  <c r="S303" i="85" s="1"/>
  <c r="Q303" i="85"/>
  <c r="O303" i="85"/>
  <c r="M303" i="85"/>
  <c r="K303" i="85"/>
  <c r="I303" i="85"/>
  <c r="G303" i="85"/>
  <c r="E303" i="85"/>
  <c r="C303" i="85"/>
  <c r="R302" i="85"/>
  <c r="S302" i="85" s="1"/>
  <c r="Q302" i="85"/>
  <c r="O302" i="85"/>
  <c r="M302" i="85"/>
  <c r="K302" i="85"/>
  <c r="I302" i="85"/>
  <c r="G302" i="85"/>
  <c r="E302" i="85"/>
  <c r="C302" i="85"/>
  <c r="R301" i="85"/>
  <c r="S301" i="85" s="1"/>
  <c r="Q301" i="85"/>
  <c r="O301" i="85"/>
  <c r="M301" i="85"/>
  <c r="K301" i="85"/>
  <c r="I301" i="85"/>
  <c r="G301" i="85"/>
  <c r="E301" i="85"/>
  <c r="C301" i="85"/>
  <c r="R300" i="85"/>
  <c r="S300" i="85" s="1"/>
  <c r="Q300" i="85"/>
  <c r="O300" i="85"/>
  <c r="M300" i="85"/>
  <c r="K300" i="85"/>
  <c r="I300" i="85"/>
  <c r="G300" i="85"/>
  <c r="E300" i="85"/>
  <c r="C300" i="85"/>
  <c r="R299" i="85"/>
  <c r="S299" i="85" s="1"/>
  <c r="Q299" i="85"/>
  <c r="O299" i="85"/>
  <c r="M299" i="85"/>
  <c r="K299" i="85"/>
  <c r="I299" i="85"/>
  <c r="G299" i="85"/>
  <c r="E299" i="85"/>
  <c r="C299" i="85"/>
  <c r="R298" i="85"/>
  <c r="S298" i="85" s="1"/>
  <c r="Q298" i="85"/>
  <c r="O298" i="85"/>
  <c r="M298" i="85"/>
  <c r="K298" i="85"/>
  <c r="I298" i="85"/>
  <c r="G298" i="85"/>
  <c r="E298" i="85"/>
  <c r="C298" i="85"/>
  <c r="R297" i="85"/>
  <c r="S297" i="85" s="1"/>
  <c r="Q297" i="85"/>
  <c r="O297" i="85"/>
  <c r="M297" i="85"/>
  <c r="K297" i="85"/>
  <c r="I297" i="85"/>
  <c r="G297" i="85"/>
  <c r="E297" i="85"/>
  <c r="C297" i="85"/>
  <c r="R296" i="85"/>
  <c r="S296" i="85" s="1"/>
  <c r="Q296" i="85"/>
  <c r="O296" i="85"/>
  <c r="M296" i="85"/>
  <c r="K296" i="85"/>
  <c r="I296" i="85"/>
  <c r="G296" i="85"/>
  <c r="E296" i="85"/>
  <c r="C296" i="85"/>
  <c r="R295" i="85"/>
  <c r="S295" i="85" s="1"/>
  <c r="Q295" i="85"/>
  <c r="O295" i="85"/>
  <c r="M295" i="85"/>
  <c r="K295" i="85"/>
  <c r="I295" i="85"/>
  <c r="G295" i="85"/>
  <c r="E295" i="85"/>
  <c r="C295" i="85"/>
  <c r="R294" i="85"/>
  <c r="S294" i="85" s="1"/>
  <c r="Q294" i="85"/>
  <c r="O294" i="85"/>
  <c r="M294" i="85"/>
  <c r="K294" i="85"/>
  <c r="I294" i="85"/>
  <c r="G294" i="85"/>
  <c r="E294" i="85"/>
  <c r="C294" i="85"/>
  <c r="R293" i="85"/>
  <c r="S293" i="85" s="1"/>
  <c r="Q293" i="85"/>
  <c r="O293" i="85"/>
  <c r="M293" i="85"/>
  <c r="K293" i="85"/>
  <c r="I293" i="85"/>
  <c r="G293" i="85"/>
  <c r="E293" i="85"/>
  <c r="C293" i="85"/>
  <c r="R292" i="85"/>
  <c r="S292" i="85" s="1"/>
  <c r="Q292" i="85"/>
  <c r="O292" i="85"/>
  <c r="M292" i="85"/>
  <c r="K292" i="85"/>
  <c r="I292" i="85"/>
  <c r="G292" i="85"/>
  <c r="E292" i="85"/>
  <c r="C292" i="85"/>
  <c r="R291" i="85"/>
  <c r="S291" i="85" s="1"/>
  <c r="Q291" i="85"/>
  <c r="O291" i="85"/>
  <c r="M291" i="85"/>
  <c r="K291" i="85"/>
  <c r="I291" i="85"/>
  <c r="G291" i="85"/>
  <c r="E291" i="85"/>
  <c r="C291" i="85"/>
  <c r="R290" i="85"/>
  <c r="S290" i="85" s="1"/>
  <c r="Q290" i="85"/>
  <c r="O290" i="85"/>
  <c r="M290" i="85"/>
  <c r="K290" i="85"/>
  <c r="I290" i="85"/>
  <c r="G290" i="85"/>
  <c r="E290" i="85"/>
  <c r="C290" i="85"/>
  <c r="R289" i="85"/>
  <c r="S289" i="85" s="1"/>
  <c r="Q289" i="85"/>
  <c r="O289" i="85"/>
  <c r="M289" i="85"/>
  <c r="K289" i="85"/>
  <c r="I289" i="85"/>
  <c r="G289" i="85"/>
  <c r="E289" i="85"/>
  <c r="C289" i="85"/>
  <c r="R288" i="85"/>
  <c r="S288" i="85" s="1"/>
  <c r="Q288" i="85"/>
  <c r="O288" i="85"/>
  <c r="M288" i="85"/>
  <c r="K288" i="85"/>
  <c r="I288" i="85"/>
  <c r="G288" i="85"/>
  <c r="E288" i="85"/>
  <c r="C288" i="85"/>
  <c r="R287" i="85"/>
  <c r="S287" i="85" s="1"/>
  <c r="Q287" i="85"/>
  <c r="O287" i="85"/>
  <c r="M287" i="85"/>
  <c r="K287" i="85"/>
  <c r="I287" i="85"/>
  <c r="G287" i="85"/>
  <c r="E287" i="85"/>
  <c r="C287" i="85"/>
  <c r="R286" i="85"/>
  <c r="S286" i="85" s="1"/>
  <c r="Q286" i="85"/>
  <c r="O286" i="85"/>
  <c r="M286" i="85"/>
  <c r="K286" i="85"/>
  <c r="I286" i="85"/>
  <c r="G286" i="85"/>
  <c r="E286" i="85"/>
  <c r="C286" i="85"/>
  <c r="R285" i="85"/>
  <c r="S285" i="85" s="1"/>
  <c r="Q285" i="85"/>
  <c r="O285" i="85"/>
  <c r="M285" i="85"/>
  <c r="K285" i="85"/>
  <c r="I285" i="85"/>
  <c r="G285" i="85"/>
  <c r="E285" i="85"/>
  <c r="C285" i="85"/>
  <c r="R284" i="85"/>
  <c r="S284" i="85" s="1"/>
  <c r="Q284" i="85"/>
  <c r="O284" i="85"/>
  <c r="M284" i="85"/>
  <c r="K284" i="85"/>
  <c r="I284" i="85"/>
  <c r="G284" i="85"/>
  <c r="E284" i="85"/>
  <c r="C284" i="85"/>
  <c r="R283" i="85"/>
  <c r="S283" i="85" s="1"/>
  <c r="Q283" i="85"/>
  <c r="O283" i="85"/>
  <c r="M283" i="85"/>
  <c r="K283" i="85"/>
  <c r="I283" i="85"/>
  <c r="G283" i="85"/>
  <c r="E283" i="85"/>
  <c r="C283" i="85"/>
  <c r="R282" i="85"/>
  <c r="S282" i="85" s="1"/>
  <c r="Q282" i="85"/>
  <c r="O282" i="85"/>
  <c r="M282" i="85"/>
  <c r="K282" i="85"/>
  <c r="I282" i="85"/>
  <c r="G282" i="85"/>
  <c r="E282" i="85"/>
  <c r="C282" i="85"/>
  <c r="R281" i="85"/>
  <c r="S281" i="85" s="1"/>
  <c r="Q281" i="85"/>
  <c r="O281" i="85"/>
  <c r="M281" i="85"/>
  <c r="K281" i="85"/>
  <c r="I281" i="85"/>
  <c r="G281" i="85"/>
  <c r="E281" i="85"/>
  <c r="C281" i="85"/>
  <c r="R280" i="85"/>
  <c r="S280" i="85" s="1"/>
  <c r="Q280" i="85"/>
  <c r="O280" i="85"/>
  <c r="M280" i="85"/>
  <c r="K280" i="85"/>
  <c r="I280" i="85"/>
  <c r="G280" i="85"/>
  <c r="E280" i="85"/>
  <c r="C280" i="85"/>
  <c r="R279" i="85"/>
  <c r="S279" i="85" s="1"/>
  <c r="Q279" i="85"/>
  <c r="O279" i="85"/>
  <c r="M279" i="85"/>
  <c r="K279" i="85"/>
  <c r="I279" i="85"/>
  <c r="G279" i="85"/>
  <c r="E279" i="85"/>
  <c r="C279" i="85"/>
  <c r="R278" i="85"/>
  <c r="S278" i="85" s="1"/>
  <c r="Q278" i="85"/>
  <c r="O278" i="85"/>
  <c r="M278" i="85"/>
  <c r="K278" i="85"/>
  <c r="I278" i="85"/>
  <c r="G278" i="85"/>
  <c r="E278" i="85"/>
  <c r="C278" i="85"/>
  <c r="R277" i="85"/>
  <c r="S277" i="85" s="1"/>
  <c r="Q277" i="85"/>
  <c r="O277" i="85"/>
  <c r="M277" i="85"/>
  <c r="K277" i="85"/>
  <c r="I277" i="85"/>
  <c r="G277" i="85"/>
  <c r="E277" i="85"/>
  <c r="C277" i="85"/>
  <c r="R276" i="85"/>
  <c r="S276" i="85" s="1"/>
  <c r="Q276" i="85"/>
  <c r="O276" i="85"/>
  <c r="M276" i="85"/>
  <c r="K276" i="85"/>
  <c r="I276" i="85"/>
  <c r="G276" i="85"/>
  <c r="E276" i="85"/>
  <c r="C276" i="85"/>
  <c r="R275" i="85"/>
  <c r="S275" i="85" s="1"/>
  <c r="Q275" i="85"/>
  <c r="O275" i="85"/>
  <c r="M275" i="85"/>
  <c r="K275" i="85"/>
  <c r="I275" i="85"/>
  <c r="G275" i="85"/>
  <c r="E275" i="85"/>
  <c r="C275" i="85"/>
  <c r="R274" i="85"/>
  <c r="S274" i="85" s="1"/>
  <c r="Q274" i="85"/>
  <c r="O274" i="85"/>
  <c r="M274" i="85"/>
  <c r="K274" i="85"/>
  <c r="I274" i="85"/>
  <c r="G274" i="85"/>
  <c r="E274" i="85"/>
  <c r="C274" i="85"/>
  <c r="R273" i="85"/>
  <c r="S273" i="85" s="1"/>
  <c r="Q273" i="85"/>
  <c r="O273" i="85"/>
  <c r="M273" i="85"/>
  <c r="K273" i="85"/>
  <c r="I273" i="85"/>
  <c r="G273" i="85"/>
  <c r="E273" i="85"/>
  <c r="C273" i="85"/>
  <c r="R272" i="85"/>
  <c r="S272" i="85" s="1"/>
  <c r="Q272" i="85"/>
  <c r="O272" i="85"/>
  <c r="M272" i="85"/>
  <c r="K272" i="85"/>
  <c r="I272" i="85"/>
  <c r="G272" i="85"/>
  <c r="E272" i="85"/>
  <c r="C272" i="85"/>
  <c r="R271" i="85"/>
  <c r="S271" i="85" s="1"/>
  <c r="Q271" i="85"/>
  <c r="O271" i="85"/>
  <c r="M271" i="85"/>
  <c r="K271" i="85"/>
  <c r="I271" i="85"/>
  <c r="G271" i="85"/>
  <c r="E271" i="85"/>
  <c r="C271" i="85"/>
  <c r="R270" i="85"/>
  <c r="S270" i="85" s="1"/>
  <c r="Q270" i="85"/>
  <c r="O270" i="85"/>
  <c r="M270" i="85"/>
  <c r="K270" i="85"/>
  <c r="I270" i="85"/>
  <c r="G270" i="85"/>
  <c r="E270" i="85"/>
  <c r="C270" i="85"/>
  <c r="R269" i="85"/>
  <c r="S269" i="85" s="1"/>
  <c r="Q269" i="85"/>
  <c r="O269" i="85"/>
  <c r="M269" i="85"/>
  <c r="K269" i="85"/>
  <c r="I269" i="85"/>
  <c r="G269" i="85"/>
  <c r="E269" i="85"/>
  <c r="C269" i="85"/>
  <c r="R268" i="85"/>
  <c r="S268" i="85" s="1"/>
  <c r="Q268" i="85"/>
  <c r="O268" i="85"/>
  <c r="M268" i="85"/>
  <c r="K268" i="85"/>
  <c r="I268" i="85"/>
  <c r="G268" i="85"/>
  <c r="E268" i="85"/>
  <c r="C268" i="85"/>
  <c r="R267" i="85"/>
  <c r="S267" i="85" s="1"/>
  <c r="Q267" i="85"/>
  <c r="O267" i="85"/>
  <c r="M267" i="85"/>
  <c r="K267" i="85"/>
  <c r="I267" i="85"/>
  <c r="G267" i="85"/>
  <c r="E267" i="85"/>
  <c r="C267" i="85"/>
  <c r="R266" i="85"/>
  <c r="S266" i="85" s="1"/>
  <c r="Q266" i="85"/>
  <c r="O266" i="85"/>
  <c r="M266" i="85"/>
  <c r="K266" i="85"/>
  <c r="I266" i="85"/>
  <c r="G266" i="85"/>
  <c r="E266" i="85"/>
  <c r="C266" i="85"/>
  <c r="R265" i="85"/>
  <c r="S265" i="85" s="1"/>
  <c r="Q265" i="85"/>
  <c r="O265" i="85"/>
  <c r="M265" i="85"/>
  <c r="K265" i="85"/>
  <c r="I265" i="85"/>
  <c r="G265" i="85"/>
  <c r="E265" i="85"/>
  <c r="C265" i="85"/>
  <c r="R264" i="85"/>
  <c r="S264" i="85" s="1"/>
  <c r="Q264" i="85"/>
  <c r="O264" i="85"/>
  <c r="M264" i="85"/>
  <c r="K264" i="85"/>
  <c r="I264" i="85"/>
  <c r="G264" i="85"/>
  <c r="E264" i="85"/>
  <c r="C264" i="85"/>
  <c r="R263" i="85"/>
  <c r="S263" i="85" s="1"/>
  <c r="Q263" i="85"/>
  <c r="O263" i="85"/>
  <c r="M263" i="85"/>
  <c r="K263" i="85"/>
  <c r="I263" i="85"/>
  <c r="G263" i="85"/>
  <c r="E263" i="85"/>
  <c r="C263" i="85"/>
  <c r="R262" i="85"/>
  <c r="S262" i="85" s="1"/>
  <c r="Q262" i="85"/>
  <c r="O262" i="85"/>
  <c r="M262" i="85"/>
  <c r="K262" i="85"/>
  <c r="I262" i="85"/>
  <c r="G262" i="85"/>
  <c r="E262" i="85"/>
  <c r="C262" i="85"/>
  <c r="R261" i="85"/>
  <c r="S261" i="85" s="1"/>
  <c r="Q261" i="85"/>
  <c r="O261" i="85"/>
  <c r="M261" i="85"/>
  <c r="K261" i="85"/>
  <c r="I261" i="85"/>
  <c r="G261" i="85"/>
  <c r="E261" i="85"/>
  <c r="C261" i="85"/>
  <c r="R260" i="85"/>
  <c r="S260" i="85" s="1"/>
  <c r="Q260" i="85"/>
  <c r="O260" i="85"/>
  <c r="M260" i="85"/>
  <c r="K260" i="85"/>
  <c r="I260" i="85"/>
  <c r="G260" i="85"/>
  <c r="E260" i="85"/>
  <c r="C260" i="85"/>
  <c r="R259" i="85"/>
  <c r="S259" i="85" s="1"/>
  <c r="Q259" i="85"/>
  <c r="O259" i="85"/>
  <c r="M259" i="85"/>
  <c r="K259" i="85"/>
  <c r="I259" i="85"/>
  <c r="G259" i="85"/>
  <c r="E259" i="85"/>
  <c r="C259" i="85"/>
  <c r="R258" i="85"/>
  <c r="S258" i="85" s="1"/>
  <c r="Q258" i="85"/>
  <c r="O258" i="85"/>
  <c r="M258" i="85"/>
  <c r="K258" i="85"/>
  <c r="I258" i="85"/>
  <c r="G258" i="85"/>
  <c r="E258" i="85"/>
  <c r="C258" i="85"/>
  <c r="R257" i="85"/>
  <c r="S257" i="85" s="1"/>
  <c r="Q257" i="85"/>
  <c r="O257" i="85"/>
  <c r="M257" i="85"/>
  <c r="K257" i="85"/>
  <c r="I257" i="85"/>
  <c r="G257" i="85"/>
  <c r="E257" i="85"/>
  <c r="C257" i="85"/>
  <c r="R256" i="85"/>
  <c r="S256" i="85" s="1"/>
  <c r="Q256" i="85"/>
  <c r="O256" i="85"/>
  <c r="M256" i="85"/>
  <c r="K256" i="85"/>
  <c r="I256" i="85"/>
  <c r="G256" i="85"/>
  <c r="E256" i="85"/>
  <c r="C256" i="85"/>
  <c r="R255" i="85"/>
  <c r="S255" i="85" s="1"/>
  <c r="Q255" i="85"/>
  <c r="O255" i="85"/>
  <c r="M255" i="85"/>
  <c r="K255" i="85"/>
  <c r="I255" i="85"/>
  <c r="G255" i="85"/>
  <c r="E255" i="85"/>
  <c r="C255" i="85"/>
  <c r="R254" i="85"/>
  <c r="S254" i="85" s="1"/>
  <c r="Q254" i="85"/>
  <c r="O254" i="85"/>
  <c r="M254" i="85"/>
  <c r="K254" i="85"/>
  <c r="I254" i="85"/>
  <c r="G254" i="85"/>
  <c r="E254" i="85"/>
  <c r="C254" i="85"/>
  <c r="R253" i="85"/>
  <c r="S253" i="85" s="1"/>
  <c r="Q253" i="85"/>
  <c r="O253" i="85"/>
  <c r="M253" i="85"/>
  <c r="K253" i="85"/>
  <c r="I253" i="85"/>
  <c r="G253" i="85"/>
  <c r="E253" i="85"/>
  <c r="C253" i="85"/>
  <c r="R252" i="85"/>
  <c r="S252" i="85" s="1"/>
  <c r="Q252" i="85"/>
  <c r="O252" i="85"/>
  <c r="M252" i="85"/>
  <c r="K252" i="85"/>
  <c r="I252" i="85"/>
  <c r="G252" i="85"/>
  <c r="E252" i="85"/>
  <c r="C252" i="85"/>
  <c r="R251" i="85"/>
  <c r="S251" i="85" s="1"/>
  <c r="Q251" i="85"/>
  <c r="O251" i="85"/>
  <c r="M251" i="85"/>
  <c r="K251" i="85"/>
  <c r="I251" i="85"/>
  <c r="G251" i="85"/>
  <c r="E251" i="85"/>
  <c r="C251" i="85"/>
  <c r="R250" i="85"/>
  <c r="S250" i="85" s="1"/>
  <c r="Q250" i="85"/>
  <c r="O250" i="85"/>
  <c r="M250" i="85"/>
  <c r="K250" i="85"/>
  <c r="I250" i="85"/>
  <c r="G250" i="85"/>
  <c r="E250" i="85"/>
  <c r="C250" i="85"/>
  <c r="R249" i="85"/>
  <c r="S249" i="85" s="1"/>
  <c r="Q249" i="85"/>
  <c r="O249" i="85"/>
  <c r="M249" i="85"/>
  <c r="K249" i="85"/>
  <c r="I249" i="85"/>
  <c r="G249" i="85"/>
  <c r="E249" i="85"/>
  <c r="C249" i="85"/>
  <c r="R248" i="85"/>
  <c r="S248" i="85" s="1"/>
  <c r="Q248" i="85"/>
  <c r="O248" i="85"/>
  <c r="M248" i="85"/>
  <c r="K248" i="85"/>
  <c r="I248" i="85"/>
  <c r="G248" i="85"/>
  <c r="E248" i="85"/>
  <c r="C248" i="85"/>
  <c r="R247" i="85"/>
  <c r="S247" i="85" s="1"/>
  <c r="Q247" i="85"/>
  <c r="O247" i="85"/>
  <c r="M247" i="85"/>
  <c r="K247" i="85"/>
  <c r="I247" i="85"/>
  <c r="G247" i="85"/>
  <c r="E247" i="85"/>
  <c r="C247" i="85"/>
  <c r="R246" i="85"/>
  <c r="S246" i="85" s="1"/>
  <c r="Q246" i="85"/>
  <c r="O246" i="85"/>
  <c r="M246" i="85"/>
  <c r="K246" i="85"/>
  <c r="I246" i="85"/>
  <c r="G246" i="85"/>
  <c r="E246" i="85"/>
  <c r="C246" i="85"/>
  <c r="R245" i="85"/>
  <c r="S245" i="85" s="1"/>
  <c r="Q245" i="85"/>
  <c r="O245" i="85"/>
  <c r="M245" i="85"/>
  <c r="K245" i="85"/>
  <c r="I245" i="85"/>
  <c r="G245" i="85"/>
  <c r="E245" i="85"/>
  <c r="C245" i="85"/>
  <c r="R244" i="85"/>
  <c r="S244" i="85" s="1"/>
  <c r="Q244" i="85"/>
  <c r="O244" i="85"/>
  <c r="M244" i="85"/>
  <c r="K244" i="85"/>
  <c r="I244" i="85"/>
  <c r="G244" i="85"/>
  <c r="E244" i="85"/>
  <c r="C244" i="85"/>
  <c r="R243" i="85"/>
  <c r="S243" i="85" s="1"/>
  <c r="Q243" i="85"/>
  <c r="O243" i="85"/>
  <c r="M243" i="85"/>
  <c r="K243" i="85"/>
  <c r="I243" i="85"/>
  <c r="G243" i="85"/>
  <c r="E243" i="85"/>
  <c r="C243" i="85"/>
  <c r="R242" i="85"/>
  <c r="S242" i="85" s="1"/>
  <c r="Q242" i="85"/>
  <c r="O242" i="85"/>
  <c r="M242" i="85"/>
  <c r="K242" i="85"/>
  <c r="I242" i="85"/>
  <c r="G242" i="85"/>
  <c r="E242" i="85"/>
  <c r="C242" i="85"/>
  <c r="R241" i="85"/>
  <c r="S241" i="85" s="1"/>
  <c r="Q241" i="85"/>
  <c r="O241" i="85"/>
  <c r="M241" i="85"/>
  <c r="K241" i="85"/>
  <c r="I241" i="85"/>
  <c r="G241" i="85"/>
  <c r="E241" i="85"/>
  <c r="C241" i="85"/>
  <c r="R240" i="85"/>
  <c r="S240" i="85" s="1"/>
  <c r="Q240" i="85"/>
  <c r="O240" i="85"/>
  <c r="M240" i="85"/>
  <c r="K240" i="85"/>
  <c r="I240" i="85"/>
  <c r="G240" i="85"/>
  <c r="E240" i="85"/>
  <c r="C240" i="85"/>
  <c r="R239" i="85"/>
  <c r="S239" i="85" s="1"/>
  <c r="Q239" i="85"/>
  <c r="O239" i="85"/>
  <c r="M239" i="85"/>
  <c r="K239" i="85"/>
  <c r="I239" i="85"/>
  <c r="G239" i="85"/>
  <c r="E239" i="85"/>
  <c r="C239" i="85"/>
  <c r="R238" i="85"/>
  <c r="S238" i="85" s="1"/>
  <c r="Q238" i="85"/>
  <c r="O238" i="85"/>
  <c r="M238" i="85"/>
  <c r="K238" i="85"/>
  <c r="I238" i="85"/>
  <c r="G238" i="85"/>
  <c r="E238" i="85"/>
  <c r="C238" i="85"/>
  <c r="R237" i="85"/>
  <c r="S237" i="85" s="1"/>
  <c r="Q237" i="85"/>
  <c r="O237" i="85"/>
  <c r="M237" i="85"/>
  <c r="K237" i="85"/>
  <c r="I237" i="85"/>
  <c r="G237" i="85"/>
  <c r="E237" i="85"/>
  <c r="C237" i="85"/>
  <c r="R236" i="85"/>
  <c r="S236" i="85" s="1"/>
  <c r="Q236" i="85"/>
  <c r="O236" i="85"/>
  <c r="M236" i="85"/>
  <c r="K236" i="85"/>
  <c r="I236" i="85"/>
  <c r="G236" i="85"/>
  <c r="E236" i="85"/>
  <c r="C236" i="85"/>
  <c r="R235" i="85"/>
  <c r="S235" i="85" s="1"/>
  <c r="Q235" i="85"/>
  <c r="O235" i="85"/>
  <c r="M235" i="85"/>
  <c r="K235" i="85"/>
  <c r="I235" i="85"/>
  <c r="G235" i="85"/>
  <c r="E235" i="85"/>
  <c r="C235" i="85"/>
  <c r="R234" i="85"/>
  <c r="S234" i="85" s="1"/>
  <c r="Q234" i="85"/>
  <c r="O234" i="85"/>
  <c r="M234" i="85"/>
  <c r="K234" i="85"/>
  <c r="I234" i="85"/>
  <c r="G234" i="85"/>
  <c r="E234" i="85"/>
  <c r="C234" i="85"/>
  <c r="R233" i="85"/>
  <c r="S233" i="85" s="1"/>
  <c r="Q233" i="85"/>
  <c r="O233" i="85"/>
  <c r="M233" i="85"/>
  <c r="K233" i="85"/>
  <c r="I233" i="85"/>
  <c r="G233" i="85"/>
  <c r="E233" i="85"/>
  <c r="C233" i="85"/>
  <c r="R232" i="85"/>
  <c r="S232" i="85" s="1"/>
  <c r="Q232" i="85"/>
  <c r="O232" i="85"/>
  <c r="M232" i="85"/>
  <c r="K232" i="85"/>
  <c r="I232" i="85"/>
  <c r="G232" i="85"/>
  <c r="E232" i="85"/>
  <c r="C232" i="85"/>
  <c r="R231" i="85"/>
  <c r="S231" i="85" s="1"/>
  <c r="Q231" i="85"/>
  <c r="O231" i="85"/>
  <c r="M231" i="85"/>
  <c r="K231" i="85"/>
  <c r="I231" i="85"/>
  <c r="G231" i="85"/>
  <c r="E231" i="85"/>
  <c r="C231" i="85"/>
  <c r="R230" i="85"/>
  <c r="S230" i="85" s="1"/>
  <c r="Q230" i="85"/>
  <c r="O230" i="85"/>
  <c r="M230" i="85"/>
  <c r="K230" i="85"/>
  <c r="I230" i="85"/>
  <c r="G230" i="85"/>
  <c r="E230" i="85"/>
  <c r="C230" i="85"/>
  <c r="R229" i="85"/>
  <c r="S229" i="85" s="1"/>
  <c r="Q229" i="85"/>
  <c r="O229" i="85"/>
  <c r="M229" i="85"/>
  <c r="K229" i="85"/>
  <c r="I229" i="85"/>
  <c r="G229" i="85"/>
  <c r="E229" i="85"/>
  <c r="C229" i="85"/>
  <c r="R228" i="85"/>
  <c r="S228" i="85" s="1"/>
  <c r="Q228" i="85"/>
  <c r="O228" i="85"/>
  <c r="M228" i="85"/>
  <c r="K228" i="85"/>
  <c r="I228" i="85"/>
  <c r="G228" i="85"/>
  <c r="E228" i="85"/>
  <c r="C228" i="85"/>
  <c r="R227" i="85"/>
  <c r="S227" i="85" s="1"/>
  <c r="Q227" i="85"/>
  <c r="O227" i="85"/>
  <c r="M227" i="85"/>
  <c r="K227" i="85"/>
  <c r="I227" i="85"/>
  <c r="G227" i="85"/>
  <c r="E227" i="85"/>
  <c r="C227" i="85"/>
  <c r="R226" i="85"/>
  <c r="S226" i="85" s="1"/>
  <c r="Q226" i="85"/>
  <c r="O226" i="85"/>
  <c r="M226" i="85"/>
  <c r="K226" i="85"/>
  <c r="I226" i="85"/>
  <c r="G226" i="85"/>
  <c r="E226" i="85"/>
  <c r="C226" i="85"/>
  <c r="R225" i="85"/>
  <c r="S225" i="85" s="1"/>
  <c r="Q225" i="85"/>
  <c r="O225" i="85"/>
  <c r="M225" i="85"/>
  <c r="K225" i="85"/>
  <c r="I225" i="85"/>
  <c r="G225" i="85"/>
  <c r="E225" i="85"/>
  <c r="C225" i="85"/>
  <c r="R224" i="85"/>
  <c r="S224" i="85" s="1"/>
  <c r="Q224" i="85"/>
  <c r="O224" i="85"/>
  <c r="M224" i="85"/>
  <c r="K224" i="85"/>
  <c r="I224" i="85"/>
  <c r="G224" i="85"/>
  <c r="E224" i="85"/>
  <c r="C224" i="85"/>
  <c r="R223" i="85"/>
  <c r="S223" i="85" s="1"/>
  <c r="Q223" i="85"/>
  <c r="O223" i="85"/>
  <c r="M223" i="85"/>
  <c r="K223" i="85"/>
  <c r="I223" i="85"/>
  <c r="G223" i="85"/>
  <c r="E223" i="85"/>
  <c r="C223" i="85"/>
  <c r="R222" i="85"/>
  <c r="S222" i="85" s="1"/>
  <c r="Q222" i="85"/>
  <c r="O222" i="85"/>
  <c r="M222" i="85"/>
  <c r="K222" i="85"/>
  <c r="I222" i="85"/>
  <c r="G222" i="85"/>
  <c r="E222" i="85"/>
  <c r="C222" i="85"/>
  <c r="R221" i="85"/>
  <c r="S221" i="85" s="1"/>
  <c r="Q221" i="85"/>
  <c r="O221" i="85"/>
  <c r="M221" i="85"/>
  <c r="K221" i="85"/>
  <c r="I221" i="85"/>
  <c r="G221" i="85"/>
  <c r="E221" i="85"/>
  <c r="C221" i="85"/>
  <c r="R220" i="85"/>
  <c r="S220" i="85" s="1"/>
  <c r="Q220" i="85"/>
  <c r="O220" i="85"/>
  <c r="M220" i="85"/>
  <c r="K220" i="85"/>
  <c r="I220" i="85"/>
  <c r="G220" i="85"/>
  <c r="E220" i="85"/>
  <c r="C220" i="85"/>
  <c r="R219" i="85"/>
  <c r="S219" i="85" s="1"/>
  <c r="Q219" i="85"/>
  <c r="O219" i="85"/>
  <c r="M219" i="85"/>
  <c r="K219" i="85"/>
  <c r="I219" i="85"/>
  <c r="G219" i="85"/>
  <c r="E219" i="85"/>
  <c r="C219" i="85"/>
  <c r="R218" i="85"/>
  <c r="S218" i="85" s="1"/>
  <c r="Q218" i="85"/>
  <c r="O218" i="85"/>
  <c r="M218" i="85"/>
  <c r="K218" i="85"/>
  <c r="I218" i="85"/>
  <c r="G218" i="85"/>
  <c r="E218" i="85"/>
  <c r="C218" i="85"/>
  <c r="R217" i="85"/>
  <c r="S217" i="85" s="1"/>
  <c r="Q217" i="85"/>
  <c r="O217" i="85"/>
  <c r="M217" i="85"/>
  <c r="K217" i="85"/>
  <c r="I217" i="85"/>
  <c r="G217" i="85"/>
  <c r="E217" i="85"/>
  <c r="C217" i="85"/>
  <c r="R216" i="85"/>
  <c r="S216" i="85" s="1"/>
  <c r="Q216" i="85"/>
  <c r="O216" i="85"/>
  <c r="M216" i="85"/>
  <c r="K216" i="85"/>
  <c r="I216" i="85"/>
  <c r="G216" i="85"/>
  <c r="E216" i="85"/>
  <c r="C216" i="85"/>
  <c r="R215" i="85"/>
  <c r="S215" i="85" s="1"/>
  <c r="Q215" i="85"/>
  <c r="O215" i="85"/>
  <c r="M215" i="85"/>
  <c r="K215" i="85"/>
  <c r="I215" i="85"/>
  <c r="G215" i="85"/>
  <c r="E215" i="85"/>
  <c r="C215" i="85"/>
  <c r="R214" i="85"/>
  <c r="S214" i="85" s="1"/>
  <c r="Q214" i="85"/>
  <c r="O214" i="85"/>
  <c r="M214" i="85"/>
  <c r="K214" i="85"/>
  <c r="I214" i="85"/>
  <c r="G214" i="85"/>
  <c r="E214" i="85"/>
  <c r="C214" i="85"/>
  <c r="R213" i="85"/>
  <c r="S213" i="85" s="1"/>
  <c r="Q213" i="85"/>
  <c r="O213" i="85"/>
  <c r="M213" i="85"/>
  <c r="K213" i="85"/>
  <c r="I213" i="85"/>
  <c r="G213" i="85"/>
  <c r="E213" i="85"/>
  <c r="C213" i="85"/>
  <c r="R212" i="85"/>
  <c r="S212" i="85" s="1"/>
  <c r="Q212" i="85"/>
  <c r="O212" i="85"/>
  <c r="M212" i="85"/>
  <c r="K212" i="85"/>
  <c r="I212" i="85"/>
  <c r="G212" i="85"/>
  <c r="E212" i="85"/>
  <c r="C212" i="85"/>
  <c r="R211" i="85"/>
  <c r="S211" i="85" s="1"/>
  <c r="Q211" i="85"/>
  <c r="O211" i="85"/>
  <c r="M211" i="85"/>
  <c r="K211" i="85"/>
  <c r="I211" i="85"/>
  <c r="G211" i="85"/>
  <c r="E211" i="85"/>
  <c r="C211" i="85"/>
  <c r="R210" i="85"/>
  <c r="S210" i="85" s="1"/>
  <c r="Q210" i="85"/>
  <c r="O210" i="85"/>
  <c r="M210" i="85"/>
  <c r="K210" i="85"/>
  <c r="I210" i="85"/>
  <c r="G210" i="85"/>
  <c r="E210" i="85"/>
  <c r="C210" i="85"/>
  <c r="R209" i="85"/>
  <c r="S209" i="85" s="1"/>
  <c r="Q209" i="85"/>
  <c r="O209" i="85"/>
  <c r="M209" i="85"/>
  <c r="K209" i="85"/>
  <c r="I209" i="85"/>
  <c r="G209" i="85"/>
  <c r="E209" i="85"/>
  <c r="C209" i="85"/>
  <c r="R208" i="85"/>
  <c r="S208" i="85" s="1"/>
  <c r="Q208" i="85"/>
  <c r="O208" i="85"/>
  <c r="M208" i="85"/>
  <c r="K208" i="85"/>
  <c r="I208" i="85"/>
  <c r="G208" i="85"/>
  <c r="E208" i="85"/>
  <c r="C208" i="85"/>
  <c r="R207" i="85"/>
  <c r="S207" i="85" s="1"/>
  <c r="Q207" i="85"/>
  <c r="O207" i="85"/>
  <c r="M207" i="85"/>
  <c r="K207" i="85"/>
  <c r="I207" i="85"/>
  <c r="G207" i="85"/>
  <c r="E207" i="85"/>
  <c r="C207" i="85"/>
  <c r="R206" i="85"/>
  <c r="S206" i="85" s="1"/>
  <c r="Q206" i="85"/>
  <c r="O206" i="85"/>
  <c r="M206" i="85"/>
  <c r="K206" i="85"/>
  <c r="I206" i="85"/>
  <c r="G206" i="85"/>
  <c r="E206" i="85"/>
  <c r="C206" i="85"/>
  <c r="R205" i="85"/>
  <c r="S205" i="85" s="1"/>
  <c r="Q205" i="85"/>
  <c r="O205" i="85"/>
  <c r="M205" i="85"/>
  <c r="K205" i="85"/>
  <c r="I205" i="85"/>
  <c r="G205" i="85"/>
  <c r="E205" i="85"/>
  <c r="C205" i="85"/>
  <c r="R204" i="85"/>
  <c r="S204" i="85" s="1"/>
  <c r="Q204" i="85"/>
  <c r="O204" i="85"/>
  <c r="M204" i="85"/>
  <c r="K204" i="85"/>
  <c r="I204" i="85"/>
  <c r="G204" i="85"/>
  <c r="E204" i="85"/>
  <c r="C204" i="85"/>
  <c r="R203" i="85"/>
  <c r="S203" i="85" s="1"/>
  <c r="Q203" i="85"/>
  <c r="O203" i="85"/>
  <c r="M203" i="85"/>
  <c r="K203" i="85"/>
  <c r="I203" i="85"/>
  <c r="G203" i="85"/>
  <c r="E203" i="85"/>
  <c r="C203" i="85"/>
  <c r="R202" i="85"/>
  <c r="S202" i="85" s="1"/>
  <c r="Q202" i="85"/>
  <c r="O202" i="85"/>
  <c r="M202" i="85"/>
  <c r="K202" i="85"/>
  <c r="I202" i="85"/>
  <c r="G202" i="85"/>
  <c r="E202" i="85"/>
  <c r="C202" i="85"/>
  <c r="R201" i="85"/>
  <c r="S201" i="85" s="1"/>
  <c r="Q201" i="85"/>
  <c r="O201" i="85"/>
  <c r="M201" i="85"/>
  <c r="K201" i="85"/>
  <c r="I201" i="85"/>
  <c r="G201" i="85"/>
  <c r="E201" i="85"/>
  <c r="C201" i="85"/>
  <c r="R200" i="85"/>
  <c r="S200" i="85" s="1"/>
  <c r="Q200" i="85"/>
  <c r="O200" i="85"/>
  <c r="M200" i="85"/>
  <c r="K200" i="85"/>
  <c r="I200" i="85"/>
  <c r="G200" i="85"/>
  <c r="E200" i="85"/>
  <c r="C200" i="85"/>
  <c r="R199" i="85"/>
  <c r="S199" i="85" s="1"/>
  <c r="Q199" i="85"/>
  <c r="O199" i="85"/>
  <c r="M199" i="85"/>
  <c r="K199" i="85"/>
  <c r="I199" i="85"/>
  <c r="G199" i="85"/>
  <c r="E199" i="85"/>
  <c r="C199" i="85"/>
  <c r="R198" i="85"/>
  <c r="S198" i="85" s="1"/>
  <c r="Q198" i="85"/>
  <c r="O198" i="85"/>
  <c r="M198" i="85"/>
  <c r="K198" i="85"/>
  <c r="I198" i="85"/>
  <c r="G198" i="85"/>
  <c r="E198" i="85"/>
  <c r="C198" i="85"/>
  <c r="R197" i="85"/>
  <c r="S197" i="85" s="1"/>
  <c r="Q197" i="85"/>
  <c r="O197" i="85"/>
  <c r="M197" i="85"/>
  <c r="K197" i="85"/>
  <c r="I197" i="85"/>
  <c r="G197" i="85"/>
  <c r="E197" i="85"/>
  <c r="C197" i="85"/>
  <c r="R196" i="85"/>
  <c r="S196" i="85" s="1"/>
  <c r="Q196" i="85"/>
  <c r="O196" i="85"/>
  <c r="M196" i="85"/>
  <c r="K196" i="85"/>
  <c r="I196" i="85"/>
  <c r="G196" i="85"/>
  <c r="E196" i="85"/>
  <c r="C196" i="85"/>
  <c r="R195" i="85"/>
  <c r="S195" i="85" s="1"/>
  <c r="Q195" i="85"/>
  <c r="O195" i="85"/>
  <c r="M195" i="85"/>
  <c r="K195" i="85"/>
  <c r="I195" i="85"/>
  <c r="G195" i="85"/>
  <c r="E195" i="85"/>
  <c r="C195" i="85"/>
  <c r="R194" i="85"/>
  <c r="S194" i="85" s="1"/>
  <c r="Q194" i="85"/>
  <c r="O194" i="85"/>
  <c r="M194" i="85"/>
  <c r="K194" i="85"/>
  <c r="I194" i="85"/>
  <c r="G194" i="85"/>
  <c r="E194" i="85"/>
  <c r="C194" i="85"/>
  <c r="R193" i="85"/>
  <c r="S193" i="85" s="1"/>
  <c r="Q193" i="85"/>
  <c r="O193" i="85"/>
  <c r="M193" i="85"/>
  <c r="K193" i="85"/>
  <c r="I193" i="85"/>
  <c r="G193" i="85"/>
  <c r="E193" i="85"/>
  <c r="C193" i="85"/>
  <c r="R192" i="85"/>
  <c r="S192" i="85" s="1"/>
  <c r="Q192" i="85"/>
  <c r="O192" i="85"/>
  <c r="M192" i="85"/>
  <c r="K192" i="85"/>
  <c r="I192" i="85"/>
  <c r="G192" i="85"/>
  <c r="E192" i="85"/>
  <c r="C192" i="85"/>
  <c r="R191" i="85"/>
  <c r="S191" i="85" s="1"/>
  <c r="Q191" i="85"/>
  <c r="O191" i="85"/>
  <c r="M191" i="85"/>
  <c r="K191" i="85"/>
  <c r="I191" i="85"/>
  <c r="G191" i="85"/>
  <c r="E191" i="85"/>
  <c r="C191" i="85"/>
  <c r="R190" i="85"/>
  <c r="S190" i="85" s="1"/>
  <c r="Q190" i="85"/>
  <c r="O190" i="85"/>
  <c r="M190" i="85"/>
  <c r="K190" i="85"/>
  <c r="I190" i="85"/>
  <c r="G190" i="85"/>
  <c r="E190" i="85"/>
  <c r="C190" i="85"/>
  <c r="R189" i="85"/>
  <c r="S189" i="85" s="1"/>
  <c r="Q189" i="85"/>
  <c r="O189" i="85"/>
  <c r="M189" i="85"/>
  <c r="K189" i="85"/>
  <c r="I189" i="85"/>
  <c r="G189" i="85"/>
  <c r="E189" i="85"/>
  <c r="C189" i="85"/>
  <c r="R188" i="85"/>
  <c r="S188" i="85" s="1"/>
  <c r="Q188" i="85"/>
  <c r="O188" i="85"/>
  <c r="M188" i="85"/>
  <c r="K188" i="85"/>
  <c r="I188" i="85"/>
  <c r="G188" i="85"/>
  <c r="E188" i="85"/>
  <c r="C188" i="85"/>
  <c r="R187" i="85"/>
  <c r="S187" i="85" s="1"/>
  <c r="Q187" i="85"/>
  <c r="O187" i="85"/>
  <c r="M187" i="85"/>
  <c r="K187" i="85"/>
  <c r="I187" i="85"/>
  <c r="G187" i="85"/>
  <c r="E187" i="85"/>
  <c r="C187" i="85"/>
  <c r="R186" i="85"/>
  <c r="S186" i="85" s="1"/>
  <c r="Q186" i="85"/>
  <c r="O186" i="85"/>
  <c r="M186" i="85"/>
  <c r="K186" i="85"/>
  <c r="I186" i="85"/>
  <c r="G186" i="85"/>
  <c r="E186" i="85"/>
  <c r="C186" i="85"/>
  <c r="R185" i="85"/>
  <c r="S185" i="85" s="1"/>
  <c r="Q185" i="85"/>
  <c r="O185" i="85"/>
  <c r="M185" i="85"/>
  <c r="K185" i="85"/>
  <c r="I185" i="85"/>
  <c r="G185" i="85"/>
  <c r="E185" i="85"/>
  <c r="C185" i="85"/>
  <c r="R184" i="85"/>
  <c r="S184" i="85" s="1"/>
  <c r="Q184" i="85"/>
  <c r="O184" i="85"/>
  <c r="M184" i="85"/>
  <c r="K184" i="85"/>
  <c r="I184" i="85"/>
  <c r="G184" i="85"/>
  <c r="E184" i="85"/>
  <c r="C184" i="85"/>
  <c r="R183" i="85"/>
  <c r="S183" i="85" s="1"/>
  <c r="Q183" i="85"/>
  <c r="O183" i="85"/>
  <c r="M183" i="85"/>
  <c r="K183" i="85"/>
  <c r="I183" i="85"/>
  <c r="G183" i="85"/>
  <c r="E183" i="85"/>
  <c r="C183" i="85"/>
  <c r="R182" i="85"/>
  <c r="S182" i="85" s="1"/>
  <c r="Q182" i="85"/>
  <c r="O182" i="85"/>
  <c r="M182" i="85"/>
  <c r="K182" i="85"/>
  <c r="I182" i="85"/>
  <c r="G182" i="85"/>
  <c r="E182" i="85"/>
  <c r="C182" i="85"/>
  <c r="R181" i="85"/>
  <c r="S181" i="85" s="1"/>
  <c r="Q181" i="85"/>
  <c r="O181" i="85"/>
  <c r="M181" i="85"/>
  <c r="K181" i="85"/>
  <c r="I181" i="85"/>
  <c r="G181" i="85"/>
  <c r="E181" i="85"/>
  <c r="C181" i="85"/>
  <c r="R180" i="85"/>
  <c r="S180" i="85" s="1"/>
  <c r="Q180" i="85"/>
  <c r="O180" i="85"/>
  <c r="M180" i="85"/>
  <c r="K180" i="85"/>
  <c r="I180" i="85"/>
  <c r="G180" i="85"/>
  <c r="E180" i="85"/>
  <c r="C180" i="85"/>
  <c r="R179" i="85"/>
  <c r="S179" i="85" s="1"/>
  <c r="Q179" i="85"/>
  <c r="O179" i="85"/>
  <c r="M179" i="85"/>
  <c r="K179" i="85"/>
  <c r="I179" i="85"/>
  <c r="G179" i="85"/>
  <c r="E179" i="85"/>
  <c r="C179" i="85"/>
  <c r="R178" i="85"/>
  <c r="S178" i="85" s="1"/>
  <c r="Q178" i="85"/>
  <c r="O178" i="85"/>
  <c r="M178" i="85"/>
  <c r="K178" i="85"/>
  <c r="I178" i="85"/>
  <c r="G178" i="85"/>
  <c r="E178" i="85"/>
  <c r="C178" i="85"/>
  <c r="R177" i="85"/>
  <c r="S177" i="85" s="1"/>
  <c r="Q177" i="85"/>
  <c r="O177" i="85"/>
  <c r="M177" i="85"/>
  <c r="K177" i="85"/>
  <c r="I177" i="85"/>
  <c r="G177" i="85"/>
  <c r="E177" i="85"/>
  <c r="C177" i="85"/>
  <c r="R176" i="85"/>
  <c r="S176" i="85" s="1"/>
  <c r="Q176" i="85"/>
  <c r="O176" i="85"/>
  <c r="M176" i="85"/>
  <c r="K176" i="85"/>
  <c r="I176" i="85"/>
  <c r="G176" i="85"/>
  <c r="E176" i="85"/>
  <c r="C176" i="85"/>
  <c r="R175" i="85"/>
  <c r="S175" i="85" s="1"/>
  <c r="Q175" i="85"/>
  <c r="O175" i="85"/>
  <c r="M175" i="85"/>
  <c r="K175" i="85"/>
  <c r="I175" i="85"/>
  <c r="G175" i="85"/>
  <c r="E175" i="85"/>
  <c r="C175" i="85"/>
  <c r="R174" i="85"/>
  <c r="S174" i="85" s="1"/>
  <c r="Q174" i="85"/>
  <c r="O174" i="85"/>
  <c r="M174" i="85"/>
  <c r="K174" i="85"/>
  <c r="I174" i="85"/>
  <c r="G174" i="85"/>
  <c r="E174" i="85"/>
  <c r="C174" i="85"/>
  <c r="R173" i="85"/>
  <c r="S173" i="85" s="1"/>
  <c r="Q173" i="85"/>
  <c r="O173" i="85"/>
  <c r="M173" i="85"/>
  <c r="K173" i="85"/>
  <c r="I173" i="85"/>
  <c r="G173" i="85"/>
  <c r="E173" i="85"/>
  <c r="C173" i="85"/>
  <c r="R172" i="85"/>
  <c r="S172" i="85" s="1"/>
  <c r="Q172" i="85"/>
  <c r="O172" i="85"/>
  <c r="M172" i="85"/>
  <c r="K172" i="85"/>
  <c r="I172" i="85"/>
  <c r="G172" i="85"/>
  <c r="E172" i="85"/>
  <c r="C172" i="85"/>
  <c r="R171" i="85"/>
  <c r="S171" i="85" s="1"/>
  <c r="Q171" i="85"/>
  <c r="O171" i="85"/>
  <c r="M171" i="85"/>
  <c r="K171" i="85"/>
  <c r="I171" i="85"/>
  <c r="G171" i="85"/>
  <c r="E171" i="85"/>
  <c r="C171" i="85"/>
  <c r="R170" i="85"/>
  <c r="S170" i="85" s="1"/>
  <c r="Q170" i="85"/>
  <c r="O170" i="85"/>
  <c r="M170" i="85"/>
  <c r="K170" i="85"/>
  <c r="I170" i="85"/>
  <c r="G170" i="85"/>
  <c r="E170" i="85"/>
  <c r="C170" i="85"/>
  <c r="R169" i="85"/>
  <c r="S169" i="85" s="1"/>
  <c r="Q169" i="85"/>
  <c r="O169" i="85"/>
  <c r="M169" i="85"/>
  <c r="K169" i="85"/>
  <c r="I169" i="85"/>
  <c r="G169" i="85"/>
  <c r="E169" i="85"/>
  <c r="C169" i="85"/>
  <c r="R168" i="85"/>
  <c r="S168" i="85" s="1"/>
  <c r="Q168" i="85"/>
  <c r="O168" i="85"/>
  <c r="M168" i="85"/>
  <c r="K168" i="85"/>
  <c r="I168" i="85"/>
  <c r="G168" i="85"/>
  <c r="E168" i="85"/>
  <c r="C168" i="85"/>
  <c r="R167" i="85"/>
  <c r="S167" i="85" s="1"/>
  <c r="Q167" i="85"/>
  <c r="O167" i="85"/>
  <c r="M167" i="85"/>
  <c r="K167" i="85"/>
  <c r="I167" i="85"/>
  <c r="G167" i="85"/>
  <c r="E167" i="85"/>
  <c r="C167" i="85"/>
  <c r="R166" i="85"/>
  <c r="S166" i="85" s="1"/>
  <c r="Q166" i="85"/>
  <c r="O166" i="85"/>
  <c r="M166" i="85"/>
  <c r="K166" i="85"/>
  <c r="I166" i="85"/>
  <c r="G166" i="85"/>
  <c r="E166" i="85"/>
  <c r="C166" i="85"/>
  <c r="R165" i="85"/>
  <c r="S165" i="85" s="1"/>
  <c r="Q165" i="85"/>
  <c r="O165" i="85"/>
  <c r="M165" i="85"/>
  <c r="K165" i="85"/>
  <c r="I165" i="85"/>
  <c r="G165" i="85"/>
  <c r="E165" i="85"/>
  <c r="C165" i="85"/>
  <c r="R164" i="85"/>
  <c r="S164" i="85" s="1"/>
  <c r="Q164" i="85"/>
  <c r="O164" i="85"/>
  <c r="M164" i="85"/>
  <c r="K164" i="85"/>
  <c r="I164" i="85"/>
  <c r="G164" i="85"/>
  <c r="E164" i="85"/>
  <c r="C164" i="85"/>
  <c r="R163" i="85"/>
  <c r="S163" i="85" s="1"/>
  <c r="Q163" i="85"/>
  <c r="O163" i="85"/>
  <c r="M163" i="85"/>
  <c r="K163" i="85"/>
  <c r="I163" i="85"/>
  <c r="G163" i="85"/>
  <c r="E163" i="85"/>
  <c r="C163" i="85"/>
  <c r="R162" i="85"/>
  <c r="S162" i="85" s="1"/>
  <c r="Q162" i="85"/>
  <c r="O162" i="85"/>
  <c r="M162" i="85"/>
  <c r="K162" i="85"/>
  <c r="I162" i="85"/>
  <c r="G162" i="85"/>
  <c r="E162" i="85"/>
  <c r="C162" i="85"/>
  <c r="R161" i="85"/>
  <c r="S161" i="85" s="1"/>
  <c r="Q161" i="85"/>
  <c r="O161" i="85"/>
  <c r="M161" i="85"/>
  <c r="K161" i="85"/>
  <c r="I161" i="85"/>
  <c r="G161" i="85"/>
  <c r="E161" i="85"/>
  <c r="C161" i="85"/>
  <c r="R160" i="85"/>
  <c r="S160" i="85" s="1"/>
  <c r="Q160" i="85"/>
  <c r="O160" i="85"/>
  <c r="M160" i="85"/>
  <c r="K160" i="85"/>
  <c r="I160" i="85"/>
  <c r="G160" i="85"/>
  <c r="E160" i="85"/>
  <c r="C160" i="85"/>
  <c r="R159" i="85"/>
  <c r="S159" i="85" s="1"/>
  <c r="Q159" i="85"/>
  <c r="O159" i="85"/>
  <c r="M159" i="85"/>
  <c r="K159" i="85"/>
  <c r="I159" i="85"/>
  <c r="G159" i="85"/>
  <c r="E159" i="85"/>
  <c r="C159" i="85"/>
  <c r="R158" i="85"/>
  <c r="S158" i="85" s="1"/>
  <c r="Q158" i="85"/>
  <c r="O158" i="85"/>
  <c r="M158" i="85"/>
  <c r="K158" i="85"/>
  <c r="I158" i="85"/>
  <c r="G158" i="85"/>
  <c r="E158" i="85"/>
  <c r="C158" i="85"/>
  <c r="R157" i="85"/>
  <c r="S157" i="85" s="1"/>
  <c r="Q157" i="85"/>
  <c r="O157" i="85"/>
  <c r="M157" i="85"/>
  <c r="K157" i="85"/>
  <c r="I157" i="85"/>
  <c r="G157" i="85"/>
  <c r="E157" i="85"/>
  <c r="C157" i="85"/>
  <c r="R156" i="85"/>
  <c r="S156" i="85" s="1"/>
  <c r="Q156" i="85"/>
  <c r="O156" i="85"/>
  <c r="M156" i="85"/>
  <c r="K156" i="85"/>
  <c r="I156" i="85"/>
  <c r="G156" i="85"/>
  <c r="E156" i="85"/>
  <c r="C156" i="85"/>
  <c r="R155" i="85"/>
  <c r="S155" i="85" s="1"/>
  <c r="Q155" i="85"/>
  <c r="O155" i="85"/>
  <c r="M155" i="85"/>
  <c r="K155" i="85"/>
  <c r="I155" i="85"/>
  <c r="G155" i="85"/>
  <c r="E155" i="85"/>
  <c r="C155" i="85"/>
  <c r="R154" i="85"/>
  <c r="S154" i="85" s="1"/>
  <c r="Q154" i="85"/>
  <c r="O154" i="85"/>
  <c r="M154" i="85"/>
  <c r="K154" i="85"/>
  <c r="I154" i="85"/>
  <c r="G154" i="85"/>
  <c r="E154" i="85"/>
  <c r="C154" i="85"/>
  <c r="R153" i="85"/>
  <c r="S153" i="85" s="1"/>
  <c r="Q153" i="85"/>
  <c r="O153" i="85"/>
  <c r="M153" i="85"/>
  <c r="K153" i="85"/>
  <c r="I153" i="85"/>
  <c r="G153" i="85"/>
  <c r="E153" i="85"/>
  <c r="C153" i="85"/>
  <c r="R152" i="85"/>
  <c r="S152" i="85" s="1"/>
  <c r="Q152" i="85"/>
  <c r="O152" i="85"/>
  <c r="M152" i="85"/>
  <c r="K152" i="85"/>
  <c r="I152" i="85"/>
  <c r="G152" i="85"/>
  <c r="E152" i="85"/>
  <c r="C152" i="85"/>
  <c r="R151" i="85"/>
  <c r="S151" i="85" s="1"/>
  <c r="Q151" i="85"/>
  <c r="O151" i="85"/>
  <c r="M151" i="85"/>
  <c r="K151" i="85"/>
  <c r="I151" i="85"/>
  <c r="G151" i="85"/>
  <c r="E151" i="85"/>
  <c r="C151" i="85"/>
  <c r="R150" i="85"/>
  <c r="S150" i="85" s="1"/>
  <c r="Q150" i="85"/>
  <c r="O150" i="85"/>
  <c r="M150" i="85"/>
  <c r="K150" i="85"/>
  <c r="I150" i="85"/>
  <c r="G150" i="85"/>
  <c r="E150" i="85"/>
  <c r="C150" i="85"/>
  <c r="R149" i="85"/>
  <c r="S149" i="85" s="1"/>
  <c r="Q149" i="85"/>
  <c r="O149" i="85"/>
  <c r="M149" i="85"/>
  <c r="K149" i="85"/>
  <c r="I149" i="85"/>
  <c r="G149" i="85"/>
  <c r="E149" i="85"/>
  <c r="C149" i="85"/>
  <c r="R148" i="85"/>
  <c r="S148" i="85" s="1"/>
  <c r="Q148" i="85"/>
  <c r="O148" i="85"/>
  <c r="M148" i="85"/>
  <c r="K148" i="85"/>
  <c r="I148" i="85"/>
  <c r="G148" i="85"/>
  <c r="E148" i="85"/>
  <c r="C148" i="85"/>
  <c r="R147" i="85"/>
  <c r="S147" i="85" s="1"/>
  <c r="Q147" i="85"/>
  <c r="O147" i="85"/>
  <c r="M147" i="85"/>
  <c r="K147" i="85"/>
  <c r="I147" i="85"/>
  <c r="G147" i="85"/>
  <c r="E147" i="85"/>
  <c r="C147" i="85"/>
  <c r="R146" i="85"/>
  <c r="S146" i="85" s="1"/>
  <c r="Q146" i="85"/>
  <c r="O146" i="85"/>
  <c r="M146" i="85"/>
  <c r="K146" i="85"/>
  <c r="I146" i="85"/>
  <c r="G146" i="85"/>
  <c r="E146" i="85"/>
  <c r="C146" i="85"/>
  <c r="R145" i="85"/>
  <c r="S145" i="85" s="1"/>
  <c r="Q145" i="85"/>
  <c r="O145" i="85"/>
  <c r="M145" i="85"/>
  <c r="K145" i="85"/>
  <c r="I145" i="85"/>
  <c r="G145" i="85"/>
  <c r="E145" i="85"/>
  <c r="C145" i="85"/>
  <c r="R144" i="85"/>
  <c r="S144" i="85" s="1"/>
  <c r="Q144" i="85"/>
  <c r="O144" i="85"/>
  <c r="M144" i="85"/>
  <c r="K144" i="85"/>
  <c r="I144" i="85"/>
  <c r="G144" i="85"/>
  <c r="E144" i="85"/>
  <c r="C144" i="85"/>
  <c r="R143" i="85"/>
  <c r="S143" i="85" s="1"/>
  <c r="Q143" i="85"/>
  <c r="O143" i="85"/>
  <c r="M143" i="85"/>
  <c r="K143" i="85"/>
  <c r="I143" i="85"/>
  <c r="G143" i="85"/>
  <c r="E143" i="85"/>
  <c r="C143" i="85"/>
  <c r="R142" i="85"/>
  <c r="S142" i="85" s="1"/>
  <c r="Q142" i="85"/>
  <c r="O142" i="85"/>
  <c r="M142" i="85"/>
  <c r="K142" i="85"/>
  <c r="I142" i="85"/>
  <c r="G142" i="85"/>
  <c r="E142" i="85"/>
  <c r="C142" i="85"/>
  <c r="R141" i="85"/>
  <c r="S141" i="85" s="1"/>
  <c r="Q141" i="85"/>
  <c r="O141" i="85"/>
  <c r="M141" i="85"/>
  <c r="K141" i="85"/>
  <c r="I141" i="85"/>
  <c r="G141" i="85"/>
  <c r="E141" i="85"/>
  <c r="C141" i="85"/>
  <c r="R140" i="85"/>
  <c r="S140" i="85" s="1"/>
  <c r="Q140" i="85"/>
  <c r="O140" i="85"/>
  <c r="M140" i="85"/>
  <c r="K140" i="85"/>
  <c r="I140" i="85"/>
  <c r="G140" i="85"/>
  <c r="E140" i="85"/>
  <c r="C140" i="85"/>
  <c r="R139" i="85"/>
  <c r="S139" i="85" s="1"/>
  <c r="Q139" i="85"/>
  <c r="O139" i="85"/>
  <c r="M139" i="85"/>
  <c r="K139" i="85"/>
  <c r="I139" i="85"/>
  <c r="G139" i="85"/>
  <c r="E139" i="85"/>
  <c r="C139" i="85"/>
  <c r="R138" i="85"/>
  <c r="S138" i="85" s="1"/>
  <c r="Q138" i="85"/>
  <c r="O138" i="85"/>
  <c r="M138" i="85"/>
  <c r="K138" i="85"/>
  <c r="I138" i="85"/>
  <c r="G138" i="85"/>
  <c r="E138" i="85"/>
  <c r="C138" i="85"/>
  <c r="R137" i="85"/>
  <c r="S137" i="85" s="1"/>
  <c r="Q137" i="85"/>
  <c r="O137" i="85"/>
  <c r="M137" i="85"/>
  <c r="K137" i="85"/>
  <c r="I137" i="85"/>
  <c r="G137" i="85"/>
  <c r="E137" i="85"/>
  <c r="C137" i="85"/>
  <c r="R136" i="85"/>
  <c r="S136" i="85" s="1"/>
  <c r="Q136" i="85"/>
  <c r="O136" i="85"/>
  <c r="M136" i="85"/>
  <c r="K136" i="85"/>
  <c r="I136" i="85"/>
  <c r="G136" i="85"/>
  <c r="E136" i="85"/>
  <c r="C136" i="85"/>
  <c r="R135" i="85"/>
  <c r="S135" i="85" s="1"/>
  <c r="Q135" i="85"/>
  <c r="O135" i="85"/>
  <c r="M135" i="85"/>
  <c r="K135" i="85"/>
  <c r="I135" i="85"/>
  <c r="G135" i="85"/>
  <c r="E135" i="85"/>
  <c r="C135" i="85"/>
  <c r="R134" i="85"/>
  <c r="S134" i="85" s="1"/>
  <c r="Q134" i="85"/>
  <c r="O134" i="85"/>
  <c r="M134" i="85"/>
  <c r="K134" i="85"/>
  <c r="I134" i="85"/>
  <c r="G134" i="85"/>
  <c r="E134" i="85"/>
  <c r="C134" i="85"/>
  <c r="R133" i="85"/>
  <c r="S133" i="85" s="1"/>
  <c r="Q133" i="85"/>
  <c r="O133" i="85"/>
  <c r="M133" i="85"/>
  <c r="K133" i="85"/>
  <c r="I133" i="85"/>
  <c r="G133" i="85"/>
  <c r="E133" i="85"/>
  <c r="C133" i="85"/>
  <c r="R132" i="85"/>
  <c r="S132" i="85" s="1"/>
  <c r="Q132" i="85"/>
  <c r="O132" i="85"/>
  <c r="M132" i="85"/>
  <c r="K132" i="85"/>
  <c r="I132" i="85"/>
  <c r="G132" i="85"/>
  <c r="E132" i="85"/>
  <c r="C132" i="85"/>
  <c r="R131" i="85"/>
  <c r="S131" i="85" s="1"/>
  <c r="Q131" i="85"/>
  <c r="O131" i="85"/>
  <c r="M131" i="85"/>
  <c r="K131" i="85"/>
  <c r="I131" i="85"/>
  <c r="G131" i="85"/>
  <c r="E131" i="85"/>
  <c r="C131" i="85"/>
  <c r="R130" i="85"/>
  <c r="S130" i="85" s="1"/>
  <c r="Q130" i="85"/>
  <c r="O130" i="85"/>
  <c r="M130" i="85"/>
  <c r="K130" i="85"/>
  <c r="I130" i="85"/>
  <c r="G130" i="85"/>
  <c r="E130" i="85"/>
  <c r="C130" i="85"/>
  <c r="R129" i="85"/>
  <c r="S129" i="85" s="1"/>
  <c r="Q129" i="85"/>
  <c r="O129" i="85"/>
  <c r="M129" i="85"/>
  <c r="K129" i="85"/>
  <c r="I129" i="85"/>
  <c r="G129" i="85"/>
  <c r="E129" i="85"/>
  <c r="C129" i="85"/>
  <c r="R128" i="85"/>
  <c r="S128" i="85" s="1"/>
  <c r="Q128" i="85"/>
  <c r="O128" i="85"/>
  <c r="M128" i="85"/>
  <c r="K128" i="85"/>
  <c r="I128" i="85"/>
  <c r="G128" i="85"/>
  <c r="E128" i="85"/>
  <c r="C128" i="85"/>
  <c r="R127" i="85"/>
  <c r="S127" i="85" s="1"/>
  <c r="Q127" i="85"/>
  <c r="O127" i="85"/>
  <c r="M127" i="85"/>
  <c r="K127" i="85"/>
  <c r="I127" i="85"/>
  <c r="G127" i="85"/>
  <c r="E127" i="85"/>
  <c r="C127" i="85"/>
  <c r="R126" i="85"/>
  <c r="S126" i="85" s="1"/>
  <c r="Q126" i="85"/>
  <c r="O126" i="85"/>
  <c r="M126" i="85"/>
  <c r="K126" i="85"/>
  <c r="I126" i="85"/>
  <c r="G126" i="85"/>
  <c r="E126" i="85"/>
  <c r="C126" i="85"/>
  <c r="R125" i="85"/>
  <c r="S125" i="85" s="1"/>
  <c r="Q125" i="85"/>
  <c r="O125" i="85"/>
  <c r="M125" i="85"/>
  <c r="K125" i="85"/>
  <c r="I125" i="85"/>
  <c r="G125" i="85"/>
  <c r="E125" i="85"/>
  <c r="C125" i="85"/>
  <c r="R124" i="85"/>
  <c r="S124" i="85" s="1"/>
  <c r="Q124" i="85"/>
  <c r="O124" i="85"/>
  <c r="M124" i="85"/>
  <c r="K124" i="85"/>
  <c r="I124" i="85"/>
  <c r="G124" i="85"/>
  <c r="E124" i="85"/>
  <c r="C124" i="85"/>
  <c r="R123" i="85"/>
  <c r="S123" i="85" s="1"/>
  <c r="Q123" i="85"/>
  <c r="O123" i="85"/>
  <c r="M123" i="85"/>
  <c r="K123" i="85"/>
  <c r="I123" i="85"/>
  <c r="G123" i="85"/>
  <c r="E123" i="85"/>
  <c r="C123" i="85"/>
  <c r="R122" i="85"/>
  <c r="S122" i="85" s="1"/>
  <c r="Q122" i="85"/>
  <c r="O122" i="85"/>
  <c r="M122" i="85"/>
  <c r="K122" i="85"/>
  <c r="I122" i="85"/>
  <c r="G122" i="85"/>
  <c r="E122" i="85"/>
  <c r="C122" i="85"/>
  <c r="R121" i="85"/>
  <c r="S121" i="85" s="1"/>
  <c r="Q121" i="85"/>
  <c r="O121" i="85"/>
  <c r="M121" i="85"/>
  <c r="K121" i="85"/>
  <c r="I121" i="85"/>
  <c r="G121" i="85"/>
  <c r="E121" i="85"/>
  <c r="C121" i="85"/>
  <c r="R120" i="85"/>
  <c r="S120" i="85" s="1"/>
  <c r="Q120" i="85"/>
  <c r="O120" i="85"/>
  <c r="M120" i="85"/>
  <c r="K120" i="85"/>
  <c r="I120" i="85"/>
  <c r="G120" i="85"/>
  <c r="E120" i="85"/>
  <c r="C120" i="85"/>
  <c r="R119" i="85"/>
  <c r="S119" i="85" s="1"/>
  <c r="Q119" i="85"/>
  <c r="O119" i="85"/>
  <c r="M119" i="85"/>
  <c r="K119" i="85"/>
  <c r="I119" i="85"/>
  <c r="G119" i="85"/>
  <c r="E119" i="85"/>
  <c r="C119" i="85"/>
  <c r="R118" i="85"/>
  <c r="S118" i="85" s="1"/>
  <c r="Q118" i="85"/>
  <c r="O118" i="85"/>
  <c r="M118" i="85"/>
  <c r="K118" i="85"/>
  <c r="I118" i="85"/>
  <c r="G118" i="85"/>
  <c r="E118" i="85"/>
  <c r="C118" i="85"/>
  <c r="R117" i="85"/>
  <c r="S117" i="85" s="1"/>
  <c r="Q117" i="85"/>
  <c r="O117" i="85"/>
  <c r="M117" i="85"/>
  <c r="K117" i="85"/>
  <c r="I117" i="85"/>
  <c r="G117" i="85"/>
  <c r="E117" i="85"/>
  <c r="C117" i="85"/>
  <c r="R116" i="85"/>
  <c r="S116" i="85" s="1"/>
  <c r="Q116" i="85"/>
  <c r="O116" i="85"/>
  <c r="M116" i="85"/>
  <c r="K116" i="85"/>
  <c r="I116" i="85"/>
  <c r="G116" i="85"/>
  <c r="E116" i="85"/>
  <c r="C116" i="85"/>
  <c r="R115" i="85"/>
  <c r="S115" i="85" s="1"/>
  <c r="Q115" i="85"/>
  <c r="O115" i="85"/>
  <c r="M115" i="85"/>
  <c r="K115" i="85"/>
  <c r="I115" i="85"/>
  <c r="G115" i="85"/>
  <c r="E115" i="85"/>
  <c r="C115" i="85"/>
  <c r="R114" i="85"/>
  <c r="S114" i="85" s="1"/>
  <c r="Q114" i="85"/>
  <c r="O114" i="85"/>
  <c r="M114" i="85"/>
  <c r="K114" i="85"/>
  <c r="I114" i="85"/>
  <c r="G114" i="85"/>
  <c r="E114" i="85"/>
  <c r="C114" i="85"/>
  <c r="R113" i="85"/>
  <c r="S113" i="85" s="1"/>
  <c r="Q113" i="85"/>
  <c r="O113" i="85"/>
  <c r="M113" i="85"/>
  <c r="K113" i="85"/>
  <c r="I113" i="85"/>
  <c r="G113" i="85"/>
  <c r="E113" i="85"/>
  <c r="C113" i="85"/>
  <c r="R112" i="85"/>
  <c r="S112" i="85" s="1"/>
  <c r="Q112" i="85"/>
  <c r="O112" i="85"/>
  <c r="M112" i="85"/>
  <c r="K112" i="85"/>
  <c r="I112" i="85"/>
  <c r="G112" i="85"/>
  <c r="E112" i="85"/>
  <c r="C112" i="85"/>
  <c r="R111" i="85"/>
  <c r="S111" i="85" s="1"/>
  <c r="Q111" i="85"/>
  <c r="O111" i="85"/>
  <c r="M111" i="85"/>
  <c r="K111" i="85"/>
  <c r="I111" i="85"/>
  <c r="G111" i="85"/>
  <c r="E111" i="85"/>
  <c r="C111" i="85"/>
  <c r="R110" i="85"/>
  <c r="S110" i="85" s="1"/>
  <c r="Q110" i="85"/>
  <c r="O110" i="85"/>
  <c r="M110" i="85"/>
  <c r="K110" i="85"/>
  <c r="I110" i="85"/>
  <c r="G110" i="85"/>
  <c r="E110" i="85"/>
  <c r="C110" i="85"/>
  <c r="R109" i="85"/>
  <c r="S109" i="85" s="1"/>
  <c r="Q109" i="85"/>
  <c r="O109" i="85"/>
  <c r="M109" i="85"/>
  <c r="K109" i="85"/>
  <c r="I109" i="85"/>
  <c r="G109" i="85"/>
  <c r="E109" i="85"/>
  <c r="C109" i="85"/>
  <c r="R108" i="85"/>
  <c r="S108" i="85" s="1"/>
  <c r="Q108" i="85"/>
  <c r="O108" i="85"/>
  <c r="M108" i="85"/>
  <c r="K108" i="85"/>
  <c r="I108" i="85"/>
  <c r="G108" i="85"/>
  <c r="E108" i="85"/>
  <c r="C108" i="85"/>
  <c r="R107" i="85"/>
  <c r="S107" i="85" s="1"/>
  <c r="Q107" i="85"/>
  <c r="O107" i="85"/>
  <c r="M107" i="85"/>
  <c r="K107" i="85"/>
  <c r="I107" i="85"/>
  <c r="G107" i="85"/>
  <c r="E107" i="85"/>
  <c r="C107" i="85"/>
  <c r="R106" i="85"/>
  <c r="S106" i="85" s="1"/>
  <c r="Q106" i="85"/>
  <c r="O106" i="85"/>
  <c r="M106" i="85"/>
  <c r="K106" i="85"/>
  <c r="I106" i="85"/>
  <c r="G106" i="85"/>
  <c r="E106" i="85"/>
  <c r="C106" i="85"/>
  <c r="R105" i="85"/>
  <c r="S105" i="85" s="1"/>
  <c r="Q105" i="85"/>
  <c r="O105" i="85"/>
  <c r="M105" i="85"/>
  <c r="K105" i="85"/>
  <c r="I105" i="85"/>
  <c r="G105" i="85"/>
  <c r="E105" i="85"/>
  <c r="C105" i="85"/>
  <c r="R104" i="85"/>
  <c r="S104" i="85" s="1"/>
  <c r="Q104" i="85"/>
  <c r="O104" i="85"/>
  <c r="M104" i="85"/>
  <c r="K104" i="85"/>
  <c r="I104" i="85"/>
  <c r="G104" i="85"/>
  <c r="E104" i="85"/>
  <c r="C104" i="85"/>
  <c r="R103" i="85"/>
  <c r="S103" i="85" s="1"/>
  <c r="Q103" i="85"/>
  <c r="O103" i="85"/>
  <c r="M103" i="85"/>
  <c r="K103" i="85"/>
  <c r="I103" i="85"/>
  <c r="G103" i="85"/>
  <c r="E103" i="85"/>
  <c r="C103" i="85"/>
  <c r="R102" i="85"/>
  <c r="S102" i="85" s="1"/>
  <c r="Q102" i="85"/>
  <c r="O102" i="85"/>
  <c r="M102" i="85"/>
  <c r="K102" i="85"/>
  <c r="I102" i="85"/>
  <c r="G102" i="85"/>
  <c r="E102" i="85"/>
  <c r="C102" i="85"/>
  <c r="R101" i="85"/>
  <c r="S101" i="85" s="1"/>
  <c r="Q101" i="85"/>
  <c r="O101" i="85"/>
  <c r="M101" i="85"/>
  <c r="K101" i="85"/>
  <c r="I101" i="85"/>
  <c r="G101" i="85"/>
  <c r="E101" i="85"/>
  <c r="C101" i="85"/>
  <c r="R100" i="85"/>
  <c r="S100" i="85" s="1"/>
  <c r="Q100" i="85"/>
  <c r="O100" i="85"/>
  <c r="M100" i="85"/>
  <c r="K100" i="85"/>
  <c r="I100" i="85"/>
  <c r="G100" i="85"/>
  <c r="E100" i="85"/>
  <c r="C100" i="85"/>
  <c r="R99" i="85"/>
  <c r="S99" i="85" s="1"/>
  <c r="Q99" i="85"/>
  <c r="O99" i="85"/>
  <c r="M99" i="85"/>
  <c r="K99" i="85"/>
  <c r="I99" i="85"/>
  <c r="G99" i="85"/>
  <c r="E99" i="85"/>
  <c r="C99" i="85"/>
  <c r="R98" i="85"/>
  <c r="S98" i="85" s="1"/>
  <c r="Q98" i="85"/>
  <c r="O98" i="85"/>
  <c r="M98" i="85"/>
  <c r="K98" i="85"/>
  <c r="I98" i="85"/>
  <c r="G98" i="85"/>
  <c r="E98" i="85"/>
  <c r="C98" i="85"/>
  <c r="R97" i="85"/>
  <c r="S97" i="85" s="1"/>
  <c r="Q97" i="85"/>
  <c r="O97" i="85"/>
  <c r="M97" i="85"/>
  <c r="K97" i="85"/>
  <c r="I97" i="85"/>
  <c r="G97" i="85"/>
  <c r="E97" i="85"/>
  <c r="C97" i="85"/>
  <c r="R96" i="85"/>
  <c r="S96" i="85" s="1"/>
  <c r="Q96" i="85"/>
  <c r="O96" i="85"/>
  <c r="M96" i="85"/>
  <c r="K96" i="85"/>
  <c r="I96" i="85"/>
  <c r="G96" i="85"/>
  <c r="E96" i="85"/>
  <c r="C96" i="85"/>
  <c r="R95" i="85"/>
  <c r="S95" i="85" s="1"/>
  <c r="Q95" i="85"/>
  <c r="O95" i="85"/>
  <c r="M95" i="85"/>
  <c r="K95" i="85"/>
  <c r="I95" i="85"/>
  <c r="G95" i="85"/>
  <c r="E95" i="85"/>
  <c r="C95" i="85"/>
  <c r="R94" i="85"/>
  <c r="S94" i="85" s="1"/>
  <c r="Q94" i="85"/>
  <c r="O94" i="85"/>
  <c r="M94" i="85"/>
  <c r="K94" i="85"/>
  <c r="I94" i="85"/>
  <c r="G94" i="85"/>
  <c r="E94" i="85"/>
  <c r="C94" i="85"/>
  <c r="R93" i="85"/>
  <c r="S93" i="85" s="1"/>
  <c r="Q93" i="85"/>
  <c r="O93" i="85"/>
  <c r="M93" i="85"/>
  <c r="K93" i="85"/>
  <c r="I93" i="85"/>
  <c r="G93" i="85"/>
  <c r="E93" i="85"/>
  <c r="C93" i="85"/>
  <c r="R92" i="85"/>
  <c r="S92" i="85" s="1"/>
  <c r="Q92" i="85"/>
  <c r="O92" i="85"/>
  <c r="M92" i="85"/>
  <c r="K92" i="85"/>
  <c r="I92" i="85"/>
  <c r="G92" i="85"/>
  <c r="E92" i="85"/>
  <c r="C92" i="85"/>
  <c r="R91" i="85"/>
  <c r="S91" i="85" s="1"/>
  <c r="Q91" i="85"/>
  <c r="O91" i="85"/>
  <c r="M91" i="85"/>
  <c r="K91" i="85"/>
  <c r="I91" i="85"/>
  <c r="G91" i="85"/>
  <c r="E91" i="85"/>
  <c r="C91" i="85"/>
  <c r="R90" i="85"/>
  <c r="S90" i="85" s="1"/>
  <c r="Q90" i="85"/>
  <c r="O90" i="85"/>
  <c r="M90" i="85"/>
  <c r="K90" i="85"/>
  <c r="I90" i="85"/>
  <c r="G90" i="85"/>
  <c r="E90" i="85"/>
  <c r="C90" i="85"/>
  <c r="R89" i="85"/>
  <c r="S89" i="85" s="1"/>
  <c r="Q89" i="85"/>
  <c r="O89" i="85"/>
  <c r="M89" i="85"/>
  <c r="K89" i="85"/>
  <c r="I89" i="85"/>
  <c r="G89" i="85"/>
  <c r="E89" i="85"/>
  <c r="C89" i="85"/>
  <c r="R88" i="85"/>
  <c r="S88" i="85" s="1"/>
  <c r="Q88" i="85"/>
  <c r="O88" i="85"/>
  <c r="M88" i="85"/>
  <c r="K88" i="85"/>
  <c r="I88" i="85"/>
  <c r="G88" i="85"/>
  <c r="E88" i="85"/>
  <c r="C88" i="85"/>
  <c r="R87" i="85"/>
  <c r="S87" i="85" s="1"/>
  <c r="Q87" i="85"/>
  <c r="O87" i="85"/>
  <c r="M87" i="85"/>
  <c r="K87" i="85"/>
  <c r="I87" i="85"/>
  <c r="G87" i="85"/>
  <c r="E87" i="85"/>
  <c r="C87" i="85"/>
  <c r="R86" i="85"/>
  <c r="S86" i="85" s="1"/>
  <c r="Q86" i="85"/>
  <c r="O86" i="85"/>
  <c r="M86" i="85"/>
  <c r="K86" i="85"/>
  <c r="I86" i="85"/>
  <c r="G86" i="85"/>
  <c r="E86" i="85"/>
  <c r="C86" i="85"/>
  <c r="R85" i="85"/>
  <c r="S85" i="85" s="1"/>
  <c r="Q85" i="85"/>
  <c r="O85" i="85"/>
  <c r="M85" i="85"/>
  <c r="K85" i="85"/>
  <c r="I85" i="85"/>
  <c r="G85" i="85"/>
  <c r="E85" i="85"/>
  <c r="C85" i="85"/>
  <c r="R84" i="85"/>
  <c r="S84" i="85" s="1"/>
  <c r="Q84" i="85"/>
  <c r="O84" i="85"/>
  <c r="M84" i="85"/>
  <c r="K84" i="85"/>
  <c r="I84" i="85"/>
  <c r="G84" i="85"/>
  <c r="E84" i="85"/>
  <c r="C84" i="85"/>
  <c r="R83" i="85"/>
  <c r="S83" i="85" s="1"/>
  <c r="Q83" i="85"/>
  <c r="O83" i="85"/>
  <c r="M83" i="85"/>
  <c r="K83" i="85"/>
  <c r="I83" i="85"/>
  <c r="G83" i="85"/>
  <c r="E83" i="85"/>
  <c r="C83" i="85"/>
  <c r="R82" i="85"/>
  <c r="S82" i="85" s="1"/>
  <c r="Q82" i="85"/>
  <c r="O82" i="85"/>
  <c r="M82" i="85"/>
  <c r="K82" i="85"/>
  <c r="I82" i="85"/>
  <c r="G82" i="85"/>
  <c r="E82" i="85"/>
  <c r="C82" i="85"/>
  <c r="R81" i="85"/>
  <c r="S81" i="85" s="1"/>
  <c r="Q81" i="85"/>
  <c r="O81" i="85"/>
  <c r="M81" i="85"/>
  <c r="K81" i="85"/>
  <c r="I81" i="85"/>
  <c r="G81" i="85"/>
  <c r="E81" i="85"/>
  <c r="C81" i="85"/>
  <c r="R80" i="85"/>
  <c r="S80" i="85" s="1"/>
  <c r="Q80" i="85"/>
  <c r="O80" i="85"/>
  <c r="M80" i="85"/>
  <c r="K80" i="85"/>
  <c r="I80" i="85"/>
  <c r="G80" i="85"/>
  <c r="E80" i="85"/>
  <c r="C80" i="85"/>
  <c r="R79" i="85"/>
  <c r="S79" i="85" s="1"/>
  <c r="Q79" i="85"/>
  <c r="O79" i="85"/>
  <c r="M79" i="85"/>
  <c r="K79" i="85"/>
  <c r="I79" i="85"/>
  <c r="G79" i="85"/>
  <c r="E79" i="85"/>
  <c r="C79" i="85"/>
  <c r="R78" i="85"/>
  <c r="S78" i="85" s="1"/>
  <c r="Q78" i="85"/>
  <c r="O78" i="85"/>
  <c r="M78" i="85"/>
  <c r="K78" i="85"/>
  <c r="I78" i="85"/>
  <c r="G78" i="85"/>
  <c r="E78" i="85"/>
  <c r="C78" i="85"/>
  <c r="R77" i="85"/>
  <c r="S77" i="85" s="1"/>
  <c r="Q77" i="85"/>
  <c r="O77" i="85"/>
  <c r="M77" i="85"/>
  <c r="K77" i="85"/>
  <c r="I77" i="85"/>
  <c r="G77" i="85"/>
  <c r="E77" i="85"/>
  <c r="C77" i="85"/>
  <c r="R76" i="85"/>
  <c r="S76" i="85" s="1"/>
  <c r="Q76" i="85"/>
  <c r="O76" i="85"/>
  <c r="M76" i="85"/>
  <c r="K76" i="85"/>
  <c r="I76" i="85"/>
  <c r="G76" i="85"/>
  <c r="E76" i="85"/>
  <c r="C76" i="85"/>
  <c r="R75" i="85"/>
  <c r="S75" i="85" s="1"/>
  <c r="Q75" i="85"/>
  <c r="O75" i="85"/>
  <c r="M75" i="85"/>
  <c r="K75" i="85"/>
  <c r="I75" i="85"/>
  <c r="G75" i="85"/>
  <c r="E75" i="85"/>
  <c r="C75" i="85"/>
  <c r="R74" i="85"/>
  <c r="S74" i="85" s="1"/>
  <c r="Q74" i="85"/>
  <c r="O74" i="85"/>
  <c r="M74" i="85"/>
  <c r="K74" i="85"/>
  <c r="I74" i="85"/>
  <c r="G74" i="85"/>
  <c r="E74" i="85"/>
  <c r="C74" i="85"/>
  <c r="R73" i="85"/>
  <c r="S73" i="85" s="1"/>
  <c r="Q73" i="85"/>
  <c r="O73" i="85"/>
  <c r="M73" i="85"/>
  <c r="K73" i="85"/>
  <c r="I73" i="85"/>
  <c r="G73" i="85"/>
  <c r="E73" i="85"/>
  <c r="C73" i="85"/>
  <c r="R72" i="85"/>
  <c r="S72" i="85" s="1"/>
  <c r="Q72" i="85"/>
  <c r="O72" i="85"/>
  <c r="M72" i="85"/>
  <c r="K72" i="85"/>
  <c r="I72" i="85"/>
  <c r="G72" i="85"/>
  <c r="E72" i="85"/>
  <c r="C72" i="85"/>
  <c r="R71" i="85"/>
  <c r="S71" i="85" s="1"/>
  <c r="Q71" i="85"/>
  <c r="O71" i="85"/>
  <c r="M71" i="85"/>
  <c r="K71" i="85"/>
  <c r="I71" i="85"/>
  <c r="G71" i="85"/>
  <c r="E71" i="85"/>
  <c r="C71" i="85"/>
  <c r="R70" i="85"/>
  <c r="S70" i="85" s="1"/>
  <c r="Q70" i="85"/>
  <c r="O70" i="85"/>
  <c r="M70" i="85"/>
  <c r="K70" i="85"/>
  <c r="I70" i="85"/>
  <c r="G70" i="85"/>
  <c r="E70" i="85"/>
  <c r="C70" i="85"/>
  <c r="R69" i="85"/>
  <c r="S69" i="85" s="1"/>
  <c r="Q69" i="85"/>
  <c r="O69" i="85"/>
  <c r="M69" i="85"/>
  <c r="K69" i="85"/>
  <c r="I69" i="85"/>
  <c r="G69" i="85"/>
  <c r="E69" i="85"/>
  <c r="C69" i="85"/>
  <c r="R68" i="85"/>
  <c r="S68" i="85" s="1"/>
  <c r="Q68" i="85"/>
  <c r="O68" i="85"/>
  <c r="M68" i="85"/>
  <c r="K68" i="85"/>
  <c r="I68" i="85"/>
  <c r="G68" i="85"/>
  <c r="E68" i="85"/>
  <c r="C68" i="85"/>
  <c r="R67" i="85"/>
  <c r="S67" i="85" s="1"/>
  <c r="Q67" i="85"/>
  <c r="O67" i="85"/>
  <c r="M67" i="85"/>
  <c r="K67" i="85"/>
  <c r="I67" i="85"/>
  <c r="G67" i="85"/>
  <c r="E67" i="85"/>
  <c r="C67" i="85"/>
  <c r="R66" i="85"/>
  <c r="S66" i="85" s="1"/>
  <c r="Q66" i="85"/>
  <c r="O66" i="85"/>
  <c r="M66" i="85"/>
  <c r="K66" i="85"/>
  <c r="I66" i="85"/>
  <c r="G66" i="85"/>
  <c r="E66" i="85"/>
  <c r="C66" i="85"/>
  <c r="R65" i="85"/>
  <c r="S65" i="85" s="1"/>
  <c r="Q65" i="85"/>
  <c r="O65" i="85"/>
  <c r="M65" i="85"/>
  <c r="K65" i="85"/>
  <c r="I65" i="85"/>
  <c r="G65" i="85"/>
  <c r="E65" i="85"/>
  <c r="C65" i="85"/>
  <c r="R64" i="85"/>
  <c r="S64" i="85" s="1"/>
  <c r="Q64" i="85"/>
  <c r="O64" i="85"/>
  <c r="M64" i="85"/>
  <c r="K64" i="85"/>
  <c r="I64" i="85"/>
  <c r="G64" i="85"/>
  <c r="E64" i="85"/>
  <c r="C64" i="85"/>
  <c r="R63" i="85"/>
  <c r="S63" i="85" s="1"/>
  <c r="Q63" i="85"/>
  <c r="O63" i="85"/>
  <c r="M63" i="85"/>
  <c r="K63" i="85"/>
  <c r="I63" i="85"/>
  <c r="G63" i="85"/>
  <c r="E63" i="85"/>
  <c r="C63" i="85"/>
  <c r="R62" i="85"/>
  <c r="S62" i="85" s="1"/>
  <c r="Q62" i="85"/>
  <c r="O62" i="85"/>
  <c r="M62" i="85"/>
  <c r="K62" i="85"/>
  <c r="I62" i="85"/>
  <c r="G62" i="85"/>
  <c r="E62" i="85"/>
  <c r="C62" i="85"/>
  <c r="R61" i="85"/>
  <c r="S61" i="85" s="1"/>
  <c r="Q61" i="85"/>
  <c r="O61" i="85"/>
  <c r="M61" i="85"/>
  <c r="K61" i="85"/>
  <c r="I61" i="85"/>
  <c r="G61" i="85"/>
  <c r="E61" i="85"/>
  <c r="C61" i="85"/>
  <c r="R60" i="85"/>
  <c r="S60" i="85" s="1"/>
  <c r="Q60" i="85"/>
  <c r="O60" i="85"/>
  <c r="M60" i="85"/>
  <c r="K60" i="85"/>
  <c r="I60" i="85"/>
  <c r="G60" i="85"/>
  <c r="E60" i="85"/>
  <c r="C60" i="85"/>
  <c r="R59" i="85"/>
  <c r="S59" i="85" s="1"/>
  <c r="Q59" i="85"/>
  <c r="O59" i="85"/>
  <c r="M59" i="85"/>
  <c r="K59" i="85"/>
  <c r="I59" i="85"/>
  <c r="G59" i="85"/>
  <c r="E59" i="85"/>
  <c r="C59" i="85"/>
  <c r="R58" i="85"/>
  <c r="S58" i="85" s="1"/>
  <c r="Q58" i="85"/>
  <c r="O58" i="85"/>
  <c r="M58" i="85"/>
  <c r="K58" i="85"/>
  <c r="I58" i="85"/>
  <c r="G58" i="85"/>
  <c r="E58" i="85"/>
  <c r="C58" i="85"/>
  <c r="R57" i="85"/>
  <c r="S57" i="85" s="1"/>
  <c r="Q57" i="85"/>
  <c r="O57" i="85"/>
  <c r="M57" i="85"/>
  <c r="K57" i="85"/>
  <c r="I57" i="85"/>
  <c r="G57" i="85"/>
  <c r="E57" i="85"/>
  <c r="C57" i="85"/>
  <c r="R56" i="85"/>
  <c r="S56" i="85" s="1"/>
  <c r="Q56" i="85"/>
  <c r="O56" i="85"/>
  <c r="M56" i="85"/>
  <c r="K56" i="85"/>
  <c r="I56" i="85"/>
  <c r="G56" i="85"/>
  <c r="E56" i="85"/>
  <c r="C56" i="85"/>
  <c r="R55" i="85"/>
  <c r="S55" i="85" s="1"/>
  <c r="Q55" i="85"/>
  <c r="O55" i="85"/>
  <c r="M55" i="85"/>
  <c r="K55" i="85"/>
  <c r="I55" i="85"/>
  <c r="G55" i="85"/>
  <c r="E55" i="85"/>
  <c r="C55" i="85"/>
  <c r="R54" i="85"/>
  <c r="S54" i="85" s="1"/>
  <c r="Q54" i="85"/>
  <c r="O54" i="85"/>
  <c r="M54" i="85"/>
  <c r="K54" i="85"/>
  <c r="I54" i="85"/>
  <c r="G54" i="85"/>
  <c r="E54" i="85"/>
  <c r="C54" i="85"/>
  <c r="R53" i="85"/>
  <c r="S53" i="85" s="1"/>
  <c r="Q53" i="85"/>
  <c r="O53" i="85"/>
  <c r="M53" i="85"/>
  <c r="K53" i="85"/>
  <c r="I53" i="85"/>
  <c r="G53" i="85"/>
  <c r="E53" i="85"/>
  <c r="C53" i="85"/>
  <c r="R52" i="85"/>
  <c r="S52" i="85" s="1"/>
  <c r="Q52" i="85"/>
  <c r="O52" i="85"/>
  <c r="M52" i="85"/>
  <c r="K52" i="85"/>
  <c r="I52" i="85"/>
  <c r="G52" i="85"/>
  <c r="E52" i="85"/>
  <c r="C52" i="85"/>
  <c r="R51" i="85"/>
  <c r="S51" i="85" s="1"/>
  <c r="Q51" i="85"/>
  <c r="O51" i="85"/>
  <c r="M51" i="85"/>
  <c r="K51" i="85"/>
  <c r="I51" i="85"/>
  <c r="G51" i="85"/>
  <c r="E51" i="85"/>
  <c r="C51" i="85"/>
  <c r="R50" i="85"/>
  <c r="S50" i="85" s="1"/>
  <c r="Q50" i="85"/>
  <c r="O50" i="85"/>
  <c r="M50" i="85"/>
  <c r="K50" i="85"/>
  <c r="I50" i="85"/>
  <c r="G50" i="85"/>
  <c r="E50" i="85"/>
  <c r="C50" i="85"/>
  <c r="R49" i="85"/>
  <c r="S49" i="85" s="1"/>
  <c r="Q49" i="85"/>
  <c r="O49" i="85"/>
  <c r="M49" i="85"/>
  <c r="K49" i="85"/>
  <c r="I49" i="85"/>
  <c r="G49" i="85"/>
  <c r="E49" i="85"/>
  <c r="C49" i="85"/>
  <c r="R48" i="85"/>
  <c r="S48" i="85" s="1"/>
  <c r="Q48" i="85"/>
  <c r="O48" i="85"/>
  <c r="M48" i="85"/>
  <c r="K48" i="85"/>
  <c r="I48" i="85"/>
  <c r="G48" i="85"/>
  <c r="E48" i="85"/>
  <c r="C48" i="85"/>
  <c r="R47" i="85"/>
  <c r="S47" i="85" s="1"/>
  <c r="Q47" i="85"/>
  <c r="O47" i="85"/>
  <c r="M47" i="85"/>
  <c r="K47" i="85"/>
  <c r="I47" i="85"/>
  <c r="G47" i="85"/>
  <c r="E47" i="85"/>
  <c r="C47" i="85"/>
  <c r="R46" i="85"/>
  <c r="S46" i="85" s="1"/>
  <c r="Q46" i="85"/>
  <c r="O46" i="85"/>
  <c r="M46" i="85"/>
  <c r="K46" i="85"/>
  <c r="I46" i="85"/>
  <c r="G46" i="85"/>
  <c r="E46" i="85"/>
  <c r="C46" i="85"/>
  <c r="R45" i="85"/>
  <c r="S45" i="85" s="1"/>
  <c r="Q45" i="85"/>
  <c r="O45" i="85"/>
  <c r="M45" i="85"/>
  <c r="K45" i="85"/>
  <c r="I45" i="85"/>
  <c r="G45" i="85"/>
  <c r="E45" i="85"/>
  <c r="C45" i="85"/>
  <c r="R44" i="85"/>
  <c r="S44" i="85" s="1"/>
  <c r="Q44" i="85"/>
  <c r="O44" i="85"/>
  <c r="M44" i="85"/>
  <c r="K44" i="85"/>
  <c r="I44" i="85"/>
  <c r="G44" i="85"/>
  <c r="E44" i="85"/>
  <c r="C44" i="85"/>
  <c r="R43" i="85"/>
  <c r="S43" i="85" s="1"/>
  <c r="Q43" i="85"/>
  <c r="O43" i="85"/>
  <c r="M43" i="85"/>
  <c r="K43" i="85"/>
  <c r="I43" i="85"/>
  <c r="G43" i="85"/>
  <c r="E43" i="85"/>
  <c r="C43" i="85"/>
  <c r="R42" i="85"/>
  <c r="S42" i="85" s="1"/>
  <c r="Q42" i="85"/>
  <c r="O42" i="85"/>
  <c r="M42" i="85"/>
  <c r="K42" i="85"/>
  <c r="I42" i="85"/>
  <c r="G42" i="85"/>
  <c r="E42" i="85"/>
  <c r="C42" i="85"/>
  <c r="R41" i="85"/>
  <c r="S41" i="85" s="1"/>
  <c r="Q41" i="85"/>
  <c r="O41" i="85"/>
  <c r="M41" i="85"/>
  <c r="K41" i="85"/>
  <c r="I41" i="85"/>
  <c r="G41" i="85"/>
  <c r="E41" i="85"/>
  <c r="C41" i="85"/>
  <c r="R40" i="85"/>
  <c r="S40" i="85" s="1"/>
  <c r="Q40" i="85"/>
  <c r="O40" i="85"/>
  <c r="M40" i="85"/>
  <c r="K40" i="85"/>
  <c r="I40" i="85"/>
  <c r="G40" i="85"/>
  <c r="E40" i="85"/>
  <c r="C40" i="85"/>
  <c r="R39" i="85"/>
  <c r="S39" i="85" s="1"/>
  <c r="Q39" i="85"/>
  <c r="O39" i="85"/>
  <c r="M39" i="85"/>
  <c r="K39" i="85"/>
  <c r="I39" i="85"/>
  <c r="G39" i="85"/>
  <c r="E39" i="85"/>
  <c r="C39" i="85"/>
  <c r="R38" i="85"/>
  <c r="S38" i="85" s="1"/>
  <c r="Q38" i="85"/>
  <c r="O38" i="85"/>
  <c r="M38" i="85"/>
  <c r="K38" i="85"/>
  <c r="I38" i="85"/>
  <c r="G38" i="85"/>
  <c r="E38" i="85"/>
  <c r="C38" i="85"/>
  <c r="R37" i="85"/>
  <c r="S37" i="85" s="1"/>
  <c r="Q37" i="85"/>
  <c r="O37" i="85"/>
  <c r="M37" i="85"/>
  <c r="K37" i="85"/>
  <c r="I37" i="85"/>
  <c r="G37" i="85"/>
  <c r="E37" i="85"/>
  <c r="C37" i="85"/>
  <c r="R36" i="85"/>
  <c r="S36" i="85" s="1"/>
  <c r="Q36" i="85"/>
  <c r="O36" i="85"/>
  <c r="M36" i="85"/>
  <c r="K36" i="85"/>
  <c r="I36" i="85"/>
  <c r="G36" i="85"/>
  <c r="E36" i="85"/>
  <c r="C36" i="85"/>
  <c r="R35" i="85"/>
  <c r="S35" i="85" s="1"/>
  <c r="Q35" i="85"/>
  <c r="O35" i="85"/>
  <c r="M35" i="85"/>
  <c r="K35" i="85"/>
  <c r="I35" i="85"/>
  <c r="G35" i="85"/>
  <c r="E35" i="85"/>
  <c r="C35" i="85"/>
  <c r="R34" i="85"/>
  <c r="S34" i="85" s="1"/>
  <c r="Q34" i="85"/>
  <c r="O34" i="85"/>
  <c r="M34" i="85"/>
  <c r="K34" i="85"/>
  <c r="I34" i="85"/>
  <c r="G34" i="85"/>
  <c r="E34" i="85"/>
  <c r="C34" i="85"/>
  <c r="R33" i="85"/>
  <c r="S33" i="85" s="1"/>
  <c r="Q33" i="85"/>
  <c r="O33" i="85"/>
  <c r="M33" i="85"/>
  <c r="K33" i="85"/>
  <c r="I33" i="85"/>
  <c r="G33" i="85"/>
  <c r="E33" i="85"/>
  <c r="C33" i="85"/>
  <c r="R32" i="85"/>
  <c r="S32" i="85" s="1"/>
  <c r="Q32" i="85"/>
  <c r="O32" i="85"/>
  <c r="M32" i="85"/>
  <c r="K32" i="85"/>
  <c r="I32" i="85"/>
  <c r="G32" i="85"/>
  <c r="E32" i="85"/>
  <c r="C32" i="85"/>
  <c r="R31" i="85"/>
  <c r="S31" i="85" s="1"/>
  <c r="Q31" i="85"/>
  <c r="O31" i="85"/>
  <c r="M31" i="85"/>
  <c r="K31" i="85"/>
  <c r="I31" i="85"/>
  <c r="G31" i="85"/>
  <c r="E31" i="85"/>
  <c r="C31" i="85"/>
  <c r="R30" i="85"/>
  <c r="S30" i="85" s="1"/>
  <c r="Q30" i="85"/>
  <c r="O30" i="85"/>
  <c r="M30" i="85"/>
  <c r="K30" i="85"/>
  <c r="I30" i="85"/>
  <c r="G30" i="85"/>
  <c r="E30" i="85"/>
  <c r="C30" i="85"/>
  <c r="R29" i="85"/>
  <c r="S29" i="85" s="1"/>
  <c r="Q29" i="85"/>
  <c r="O29" i="85"/>
  <c r="M29" i="85"/>
  <c r="K29" i="85"/>
  <c r="I29" i="85"/>
  <c r="G29" i="85"/>
  <c r="E29" i="85"/>
  <c r="C29" i="85"/>
  <c r="R28" i="85"/>
  <c r="S28" i="85" s="1"/>
  <c r="Q28" i="85"/>
  <c r="O28" i="85"/>
  <c r="M28" i="85"/>
  <c r="K28" i="85"/>
  <c r="I28" i="85"/>
  <c r="G28" i="85"/>
  <c r="E28" i="85"/>
  <c r="C28" i="85"/>
  <c r="R27" i="85"/>
  <c r="S27" i="85" s="1"/>
  <c r="Q27" i="85"/>
  <c r="O27" i="85"/>
  <c r="M27" i="85"/>
  <c r="K27" i="85"/>
  <c r="I27" i="85"/>
  <c r="G27" i="85"/>
  <c r="E27" i="85"/>
  <c r="C27" i="85"/>
  <c r="Q26" i="85"/>
  <c r="O26" i="85"/>
  <c r="M26" i="85"/>
  <c r="K26" i="85"/>
  <c r="I26" i="85"/>
  <c r="G26" i="85"/>
  <c r="E26" i="85"/>
  <c r="Q25" i="85"/>
  <c r="O25" i="85"/>
  <c r="M25" i="85"/>
  <c r="K25" i="85"/>
  <c r="I25" i="85"/>
  <c r="G25" i="85"/>
  <c r="E25" i="85"/>
  <c r="B22" i="85"/>
  <c r="P23" i="85"/>
  <c r="N23" i="85"/>
  <c r="L23" i="85"/>
  <c r="J23" i="85"/>
  <c r="H23" i="85"/>
  <c r="F23" i="85"/>
  <c r="D23" i="85"/>
  <c r="D12" i="85"/>
  <c r="E12" i="85" s="1"/>
  <c r="F12" i="85" s="1"/>
  <c r="G12" i="85" s="1"/>
  <c r="H12" i="85" s="1"/>
  <c r="I12" i="85" s="1"/>
  <c r="J12" i="85" s="1"/>
  <c r="K12" i="85" s="1"/>
  <c r="L12" i="85" s="1"/>
  <c r="M12" i="85" s="1"/>
  <c r="N12" i="85" s="1"/>
  <c r="O12" i="85" s="1"/>
  <c r="P12" i="85" s="1"/>
  <c r="Q12" i="85" s="1"/>
  <c r="R12" i="85" s="1"/>
  <c r="S12" i="85" s="1"/>
  <c r="D10" i="85"/>
  <c r="E10" i="85" s="1"/>
  <c r="F10" i="85" s="1"/>
  <c r="G10" i="85" s="1"/>
  <c r="H10" i="85" s="1"/>
  <c r="I10" i="85" s="1"/>
  <c r="J10" i="85" s="1"/>
  <c r="K10" i="85" s="1"/>
  <c r="L10" i="85" s="1"/>
  <c r="M10" i="85" s="1"/>
  <c r="N10" i="85" s="1"/>
  <c r="O10" i="85" s="1"/>
  <c r="P10" i="85" s="1"/>
  <c r="Q10" i="85" s="1"/>
  <c r="R10" i="85" s="1"/>
  <c r="S10" i="85" s="1"/>
  <c r="D8" i="85"/>
  <c r="E8" i="85" s="1"/>
  <c r="F8" i="85" s="1"/>
  <c r="G8" i="85" s="1"/>
  <c r="H8" i="85" s="1"/>
  <c r="I8" i="85" s="1"/>
  <c r="J8" i="85" s="1"/>
  <c r="K8" i="85" s="1"/>
  <c r="L8" i="85" s="1"/>
  <c r="M8" i="85" s="1"/>
  <c r="N8" i="85" s="1"/>
  <c r="O8" i="85" s="1"/>
  <c r="P8" i="85" s="1"/>
  <c r="Q8" i="85" s="1"/>
  <c r="R8" i="85" s="1"/>
  <c r="S8" i="85" s="1"/>
  <c r="D6" i="85"/>
  <c r="E6" i="85" s="1"/>
  <c r="F6" i="85" s="1"/>
  <c r="G6" i="85" s="1"/>
  <c r="H6" i="85" s="1"/>
  <c r="I6" i="85" s="1"/>
  <c r="J6" i="85" s="1"/>
  <c r="K6" i="85" s="1"/>
  <c r="L6" i="85" s="1"/>
  <c r="M6" i="85" s="1"/>
  <c r="N6" i="85" s="1"/>
  <c r="O6" i="85" s="1"/>
  <c r="P6" i="85" s="1"/>
  <c r="Q6" i="85" s="1"/>
  <c r="R6" i="85" s="1"/>
  <c r="S6" i="85" s="1"/>
  <c r="S2" i="85"/>
  <c r="R2" i="85"/>
  <c r="Q2" i="85"/>
  <c r="P2" i="85"/>
  <c r="O2" i="85"/>
  <c r="N2" i="85"/>
  <c r="M2" i="85"/>
  <c r="L2" i="85"/>
  <c r="K2" i="85"/>
  <c r="J2" i="85"/>
  <c r="I2" i="85"/>
  <c r="H2" i="85"/>
  <c r="G2" i="85"/>
  <c r="F2" i="85"/>
  <c r="E2" i="85"/>
  <c r="D2" i="85"/>
  <c r="C2" i="85"/>
  <c r="D59" i="33"/>
  <c r="E59" i="33" s="1"/>
  <c r="F59" i="33" s="1"/>
  <c r="G59" i="33" s="1"/>
  <c r="H59" i="33" s="1"/>
  <c r="I59" i="33" s="1"/>
  <c r="J59" i="33" s="1"/>
  <c r="K59" i="33" s="1"/>
  <c r="L59" i="33" s="1"/>
  <c r="M59" i="33" s="1"/>
  <c r="F20" i="85"/>
  <c r="C25" i="85" l="1"/>
  <c r="C26" i="85"/>
  <c r="I5" i="77" l="1"/>
  <c r="I6" i="77"/>
  <c r="B24" i="31" s="1"/>
  <c r="A26" i="31"/>
  <c r="A25" i="31"/>
  <c r="A24" i="31"/>
  <c r="I46" i="39"/>
  <c r="G46" i="39"/>
  <c r="E46" i="39"/>
  <c r="I38" i="39"/>
  <c r="G38" i="39"/>
  <c r="C38" i="39"/>
  <c r="E38" i="39"/>
  <c r="D71" i="39"/>
  <c r="E71" i="39" s="1"/>
  <c r="F71" i="39" s="1"/>
  <c r="G71" i="39" s="1"/>
  <c r="H71" i="39" s="1"/>
  <c r="I71" i="39" s="1"/>
  <c r="J71" i="39" s="1"/>
  <c r="K71" i="39" s="1"/>
  <c r="L71" i="39" s="1"/>
  <c r="M71" i="39" s="1"/>
  <c r="N71" i="39" s="1"/>
  <c r="O71" i="39" s="1"/>
  <c r="I7" i="39"/>
  <c r="G7" i="39"/>
  <c r="E7" i="39"/>
  <c r="I5" i="39"/>
  <c r="G5" i="39"/>
  <c r="E5" i="39"/>
  <c r="B25" i="31" l="1"/>
  <c r="I4" i="77"/>
  <c r="B26" i="31" s="1"/>
  <c r="N19" i="1" l="1"/>
  <c r="N21" i="1" s="1"/>
  <c r="N6" i="1" s="1"/>
  <c r="C36" i="33" l="1"/>
  <c r="Y6" i="1"/>
  <c r="G7" i="77"/>
  <c r="A3" i="3" s="1"/>
  <c r="G37" i="34" l="1"/>
  <c r="I37" i="34"/>
  <c r="D60" i="34"/>
  <c r="E60" i="34" s="1"/>
  <c r="F60" i="34" s="1"/>
  <c r="G60" i="34" s="1"/>
  <c r="H60" i="34" s="1"/>
  <c r="I60" i="34" s="1"/>
  <c r="C34" i="34"/>
  <c r="J49" i="15"/>
  <c r="C37" i="34" l="1"/>
  <c r="F19" i="6"/>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C7" i="69" s="1"/>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S64" i="71" s="1"/>
  <c r="F63" i="71"/>
  <c r="F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AB35" i="71" s="1"/>
  <c r="P35" i="71"/>
  <c r="AA35" i="71"/>
  <c r="O35" i="71"/>
  <c r="Y35" i="71"/>
  <c r="Z35" i="71" s="1"/>
  <c r="N35" i="71"/>
  <c r="X35" i="71" s="1"/>
  <c r="Q34" i="71"/>
  <c r="AB34" i="71" s="1"/>
  <c r="P34" i="71"/>
  <c r="O34" i="71"/>
  <c r="Y34" i="71"/>
  <c r="Z34" i="71" s="1"/>
  <c r="N34" i="71"/>
  <c r="Q33" i="71"/>
  <c r="F34" i="71" s="1"/>
  <c r="F35" i="71" s="1"/>
  <c r="F36" i="71" s="1"/>
  <c r="V36" i="71" s="1"/>
  <c r="P33" i="71"/>
  <c r="O33" i="71"/>
  <c r="N33" i="71"/>
  <c r="B34" i="71" s="1"/>
  <c r="B35" i="71" s="1"/>
  <c r="B36" i="71" s="1"/>
  <c r="S36" i="71" s="1"/>
  <c r="D33" i="71"/>
  <c r="Q32" i="71"/>
  <c r="AB32" i="71" s="1"/>
  <c r="P32" i="7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D25" i="71"/>
  <c r="O24" i="71"/>
  <c r="C24" i="71" s="1"/>
  <c r="N24" i="71"/>
  <c r="B26" i="71"/>
  <c r="B27" i="71" s="1"/>
  <c r="B28" i="71" s="1"/>
  <c r="S28" i="71" s="1"/>
  <c r="X25" i="71"/>
  <c r="B30" i="71"/>
  <c r="B31" i="71" s="1"/>
  <c r="B32" i="71" s="1"/>
  <c r="S32" i="71" s="1"/>
  <c r="X29" i="71"/>
  <c r="E34" i="71"/>
  <c r="E35" i="71" s="1"/>
  <c r="E36" i="71" s="1"/>
  <c r="U36" i="71" s="1"/>
  <c r="AA33" i="71"/>
  <c r="E30" i="71"/>
  <c r="E31" i="71" s="1"/>
  <c r="E32" i="71" s="1"/>
  <c r="U32" i="71" s="1"/>
  <c r="AA29" i="71"/>
  <c r="C26" i="71"/>
  <c r="Y25" i="71"/>
  <c r="Z25" i="71" s="1"/>
  <c r="AB25" i="71"/>
  <c r="AA26" i="71"/>
  <c r="AA27" i="71"/>
  <c r="AA28" i="71"/>
  <c r="C30" i="71"/>
  <c r="C31" i="71"/>
  <c r="C32" i="71" s="1"/>
  <c r="X30" i="71"/>
  <c r="X31" i="71"/>
  <c r="X32" i="71"/>
  <c r="C34" i="71"/>
  <c r="D34" i="71" s="1"/>
  <c r="Y33" i="71"/>
  <c r="Z33" i="71"/>
  <c r="AB33" i="71"/>
  <c r="X34" i="71"/>
  <c r="AA34" i="71"/>
  <c r="Y21" i="71"/>
  <c r="Z21" i="71" s="1"/>
  <c r="Y22" i="71"/>
  <c r="Z22" i="71" s="1"/>
  <c r="Y23" i="71"/>
  <c r="Z23" i="71" s="1"/>
  <c r="Y24" i="71"/>
  <c r="Z24" i="71" s="1"/>
  <c r="B24" i="71"/>
  <c r="B23" i="71" s="1"/>
  <c r="B22" i="71" s="1"/>
  <c r="X22" i="71"/>
  <c r="X24" i="71"/>
  <c r="C27" i="71"/>
  <c r="D26" i="71"/>
  <c r="D30" i="71"/>
  <c r="C35" i="71"/>
  <c r="C36" i="71" s="1"/>
  <c r="C39" i="71"/>
  <c r="C40" i="71" s="1"/>
  <c r="D38" i="71"/>
  <c r="C43" i="71"/>
  <c r="D43" i="71" s="1"/>
  <c r="D42" i="71"/>
  <c r="C47" i="71"/>
  <c r="D46" i="71"/>
  <c r="P24" i="71"/>
  <c r="E51" i="71"/>
  <c r="E52" i="71" s="1"/>
  <c r="U52" i="71" s="1"/>
  <c r="E55" i="71"/>
  <c r="E56" i="71"/>
  <c r="U56" i="71" s="1"/>
  <c r="U64" i="71"/>
  <c r="E63" i="71"/>
  <c r="Q24" i="71"/>
  <c r="AB21" i="71" s="1"/>
  <c r="C55" i="71"/>
  <c r="D54" i="71"/>
  <c r="Q63" i="71"/>
  <c r="T64" i="71"/>
  <c r="O64" i="71"/>
  <c r="D64" i="71"/>
  <c r="C63" i="71"/>
  <c r="Q64" i="71"/>
  <c r="C67" i="71"/>
  <c r="E67" i="71"/>
  <c r="E66" i="71" s="1"/>
  <c r="D68" i="71"/>
  <c r="C71" i="71"/>
  <c r="E71" i="71"/>
  <c r="E70" i="71" s="1"/>
  <c r="D72" i="71"/>
  <c r="C75" i="71"/>
  <c r="E75" i="71"/>
  <c r="E74" i="71" s="1"/>
  <c r="D76" i="71"/>
  <c r="C79" i="71"/>
  <c r="C83" i="71"/>
  <c r="C82" i="71" s="1"/>
  <c r="D82" i="71" s="1"/>
  <c r="F24" i="71"/>
  <c r="F23" i="71" s="1"/>
  <c r="F22" i="71" s="1"/>
  <c r="AB22" i="71"/>
  <c r="AB24" i="71"/>
  <c r="E24" i="71"/>
  <c r="E23" i="71"/>
  <c r="E22" i="71" s="1"/>
  <c r="AA3" i="71"/>
  <c r="AA21" i="71"/>
  <c r="AA22" i="71"/>
  <c r="AA23" i="71"/>
  <c r="AA24" i="71"/>
  <c r="C62" i="71"/>
  <c r="O63" i="71"/>
  <c r="D63" i="71"/>
  <c r="D79" i="71"/>
  <c r="C78" i="71"/>
  <c r="D78" i="71"/>
  <c r="D71" i="71"/>
  <c r="C70" i="71"/>
  <c r="D70" i="71" s="1"/>
  <c r="D83" i="71"/>
  <c r="D75" i="71"/>
  <c r="C74" i="71"/>
  <c r="D74" i="71" s="1"/>
  <c r="D67" i="71"/>
  <c r="C66" i="71"/>
  <c r="D66" i="71"/>
  <c r="C56" i="71"/>
  <c r="D55" i="71"/>
  <c r="P63" i="71"/>
  <c r="E62" i="71"/>
  <c r="P61" i="71" s="1"/>
  <c r="C48" i="71"/>
  <c r="D47" i="71"/>
  <c r="D39" i="71"/>
  <c r="D35" i="71"/>
  <c r="D31" i="71"/>
  <c r="C28" i="71"/>
  <c r="D27" i="71"/>
  <c r="V24" i="71"/>
  <c r="P62" i="71"/>
  <c r="O62" i="71"/>
  <c r="D62" i="71"/>
  <c r="O61" i="71"/>
  <c r="T28" i="71"/>
  <c r="D28" i="71"/>
  <c r="T48" i="71"/>
  <c r="D48"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Q21" i="34"/>
  <c r="Z21" i="34" s="1"/>
  <c r="D84" i="34"/>
  <c r="E84" i="34" s="1"/>
  <c r="F84" i="34" s="1"/>
  <c r="G84"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W25" i="40" s="1"/>
  <c r="H29" i="39"/>
  <c r="U29" i="39" s="1"/>
  <c r="J29" i="39"/>
  <c r="W29" i="39" s="1"/>
  <c r="J18" i="36"/>
  <c r="W18" i="36" s="1"/>
  <c r="F68" i="35"/>
  <c r="H18" i="35"/>
  <c r="U18" i="35" s="1"/>
  <c r="S18" i="35"/>
  <c r="G68" i="35"/>
  <c r="J18" i="35"/>
  <c r="F77" i="37"/>
  <c r="G77" i="37" s="1"/>
  <c r="H21" i="37"/>
  <c r="F21" i="37"/>
  <c r="S21" i="37" s="1"/>
  <c r="H21" i="34"/>
  <c r="AB21" i="34" s="1"/>
  <c r="H21" i="33"/>
  <c r="U21" i="33" s="1"/>
  <c r="F21" i="33"/>
  <c r="S21" i="33" s="1"/>
  <c r="E83" i="21"/>
  <c r="S21" i="21"/>
  <c r="H1" i="69"/>
  <c r="AC25" i="40"/>
  <c r="AB25" i="40"/>
  <c r="U25" i="40"/>
  <c r="AB21" i="37"/>
  <c r="U21" i="37"/>
  <c r="AA21" i="37"/>
  <c r="AB18" i="35"/>
  <c r="AC18" i="35"/>
  <c r="W18" i="35"/>
  <c r="J21" i="37"/>
  <c r="J21" i="34"/>
  <c r="W21" i="34" s="1"/>
  <c r="J21" i="33"/>
  <c r="AC21" i="33" s="1"/>
  <c r="F83" i="21"/>
  <c r="H21" i="21"/>
  <c r="AB21" i="21" s="1"/>
  <c r="F38" i="69"/>
  <c r="E37" i="69"/>
  <c r="F36" i="69"/>
  <c r="F35" i="69"/>
  <c r="F21" i="69"/>
  <c r="F40" i="69" s="1"/>
  <c r="F20" i="69"/>
  <c r="F39" i="69" s="1"/>
  <c r="E10" i="69"/>
  <c r="E9" i="69"/>
  <c r="AC21" i="37"/>
  <c r="W21" i="37"/>
  <c r="AC21" i="34"/>
  <c r="U21" i="21"/>
  <c r="G83" i="21"/>
  <c r="J21" i="21"/>
  <c r="AC21" i="21" s="1"/>
  <c r="C40" i="69"/>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R100" i="31"/>
  <c r="S100" i="31" s="1"/>
  <c r="R101" i="31"/>
  <c r="R102" i="31"/>
  <c r="R103" i="31"/>
  <c r="R104" i="31"/>
  <c r="S104" i="31" s="1"/>
  <c r="R105" i="31"/>
  <c r="R106" i="31"/>
  <c r="R107" i="31"/>
  <c r="R108" i="31"/>
  <c r="S108" i="31" s="1"/>
  <c r="R109" i="31"/>
  <c r="R110" i="31"/>
  <c r="R111" i="3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R126" i="31"/>
  <c r="R127" i="31"/>
  <c r="R128" i="31"/>
  <c r="S128" i="31" s="1"/>
  <c r="R129" i="31"/>
  <c r="R130" i="31"/>
  <c r="R131" i="3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R211" i="31"/>
  <c r="S211" i="31" s="1"/>
  <c r="R212" i="31"/>
  <c r="S212" i="31" s="1"/>
  <c r="R213" i="31"/>
  <c r="R214" i="31"/>
  <c r="S214" i="31" s="1"/>
  <c r="R215" i="31"/>
  <c r="S215" i="31" s="1"/>
  <c r="R216" i="31"/>
  <c r="S216" i="31" s="1"/>
  <c r="R217" i="31"/>
  <c r="R218" i="3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R518" i="31"/>
  <c r="S518" i="31" s="1"/>
  <c r="R519" i="31"/>
  <c r="S519" i="31" s="1"/>
  <c r="R520" i="31"/>
  <c r="S520" i="31" s="1"/>
  <c r="R521" i="31"/>
  <c r="R522" i="31"/>
  <c r="S522" i="31" s="1"/>
  <c r="R523" i="31"/>
  <c r="R524" i="31"/>
  <c r="S524" i="31" s="1"/>
  <c r="C25" i="31"/>
  <c r="C26" i="31"/>
  <c r="C27" i="31"/>
  <c r="C28" i="31"/>
  <c r="C29" i="31"/>
  <c r="C30" i="31"/>
  <c r="C31" i="3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8" i="31"/>
  <c r="S310" i="31"/>
  <c r="S294" i="31"/>
  <c r="S278" i="31"/>
  <c r="S266" i="31"/>
  <c r="S250" i="31"/>
  <c r="S234" i="31"/>
  <c r="S230" i="31"/>
  <c r="S429" i="31"/>
  <c r="S427" i="31"/>
  <c r="S425" i="31"/>
  <c r="S221" i="31"/>
  <c r="S218" i="31"/>
  <c r="S217" i="31"/>
  <c r="S213" i="31"/>
  <c r="S210" i="31"/>
  <c r="S209" i="31"/>
  <c r="S205" i="31"/>
  <c r="S202" i="31"/>
  <c r="S201"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1" i="31"/>
  <c r="S130" i="31"/>
  <c r="S129" i="31"/>
  <c r="S127" i="31"/>
  <c r="S126" i="31"/>
  <c r="S125" i="31"/>
  <c r="S474" i="31"/>
  <c r="S122" i="31"/>
  <c r="S118" i="31"/>
  <c r="S114" i="31"/>
  <c r="S466" i="31"/>
  <c r="S465" i="31"/>
  <c r="S461" i="31"/>
  <c r="S459" i="31"/>
  <c r="S457" i="31"/>
  <c r="S453" i="31"/>
  <c r="S451" i="31"/>
  <c r="S54" i="31"/>
  <c r="S50" i="31"/>
  <c r="S46" i="31"/>
  <c r="S42" i="31"/>
  <c r="S38" i="31"/>
  <c r="S74" i="31"/>
  <c r="S70" i="31"/>
  <c r="S66" i="31"/>
  <c r="S62" i="31"/>
  <c r="S58" i="31"/>
  <c r="S94" i="31"/>
  <c r="S90" i="31"/>
  <c r="S86" i="31"/>
  <c r="S82" i="31"/>
  <c r="S78" i="31"/>
  <c r="S98" i="31"/>
  <c r="S99" i="31"/>
  <c r="S101" i="31"/>
  <c r="S102" i="31"/>
  <c r="S103" i="31"/>
  <c r="S105" i="31"/>
  <c r="S106" i="31"/>
  <c r="S107" i="31"/>
  <c r="S109" i="31"/>
  <c r="S110" i="31"/>
  <c r="S111"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G111" i="33" s="1"/>
  <c r="H111" i="33" s="1"/>
  <c r="I111" i="33" s="1"/>
  <c r="J111" i="33" s="1"/>
  <c r="K111" i="33" s="1"/>
  <c r="L111" i="33" s="1"/>
  <c r="M111" i="33" s="1"/>
  <c r="S515" i="31"/>
  <c r="S517" i="31"/>
  <c r="S521" i="31"/>
  <c r="S523" i="31"/>
  <c r="F41" i="2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S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W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s="1"/>
  <c r="H9" i="39"/>
  <c r="AB9" i="39" s="1"/>
  <c r="F9" i="39"/>
  <c r="AA9" i="39" s="1"/>
  <c r="J8" i="39"/>
  <c r="AC8" i="39" s="1"/>
  <c r="H8" i="39"/>
  <c r="AB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F9" i="34"/>
  <c r="AA9" i="34" s="1"/>
  <c r="J8" i="34"/>
  <c r="AC8" i="34" s="1"/>
  <c r="H8" i="34"/>
  <c r="U8" i="34" s="1"/>
  <c r="F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F101" i="33" s="1"/>
  <c r="B92" i="33"/>
  <c r="B90" i="33"/>
  <c r="D87" i="33"/>
  <c r="E87" i="33"/>
  <c r="D85" i="33"/>
  <c r="E85" i="33" s="1"/>
  <c r="D81" i="33"/>
  <c r="E81" i="33" s="1"/>
  <c r="F81" i="33" s="1"/>
  <c r="G81" i="33" s="1"/>
  <c r="D79" i="33"/>
  <c r="E79" i="33" s="1"/>
  <c r="F79" i="33" s="1"/>
  <c r="G79" i="33" s="1"/>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J10" i="33" s="1"/>
  <c r="AC10" i="33" s="1"/>
  <c r="C63"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U34" i="34"/>
  <c r="H39" i="33"/>
  <c r="AB39" i="33" s="1"/>
  <c r="F26" i="33"/>
  <c r="AA26" i="33" s="1"/>
  <c r="S9" i="33"/>
  <c r="S40"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W27" i="39" s="1"/>
  <c r="F27" i="39"/>
  <c r="S27" i="39" s="1"/>
  <c r="F11" i="21"/>
  <c r="S11" i="21" s="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7" i="34"/>
  <c r="AA27" i="34" s="1"/>
  <c r="F25" i="34"/>
  <c r="S25" i="34" s="1"/>
  <c r="H23" i="34"/>
  <c r="U23" i="34" s="1"/>
  <c r="J23" i="34"/>
  <c r="F19" i="34"/>
  <c r="S19" i="34" s="1"/>
  <c r="H17" i="34"/>
  <c r="U17" i="34" s="1"/>
  <c r="F15" i="34"/>
  <c r="J15" i="34"/>
  <c r="AC15" i="34" s="1"/>
  <c r="H15" i="34"/>
  <c r="AB15" i="34" s="1"/>
  <c r="S9" i="34"/>
  <c r="W8" i="34"/>
  <c r="J28" i="34"/>
  <c r="W28" i="34" s="1"/>
  <c r="S38" i="33"/>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S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30" i="21"/>
  <c r="AA14" i="37"/>
  <c r="W31" i="34"/>
  <c r="AC13" i="36"/>
  <c r="W13" i="36"/>
  <c r="S11" i="36"/>
  <c r="W11" i="36"/>
  <c r="W11" i="35"/>
  <c r="AB46" i="34"/>
  <c r="AC30" i="34"/>
  <c r="AA14" i="34"/>
  <c r="S45" i="33"/>
  <c r="AB45" i="33"/>
  <c r="AB31" i="33"/>
  <c r="U31" i="33"/>
  <c r="W29" i="33"/>
  <c r="U13" i="33"/>
  <c r="S44" i="34"/>
  <c r="BA586" i="3"/>
  <c r="BA585" i="3"/>
  <c r="AZ585" i="3" s="1"/>
  <c r="F17" i="21"/>
  <c r="AA17" i="21"/>
  <c r="H17" i="21"/>
  <c r="AB17" i="21"/>
  <c r="F15" i="21"/>
  <c r="S15" i="2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U40" i="39"/>
  <c r="S42" i="39"/>
  <c r="W14" i="39"/>
  <c r="J19" i="40"/>
  <c r="AC19" i="40"/>
  <c r="J50" i="40"/>
  <c r="H103" i="9"/>
  <c r="D8" i="53" s="1"/>
  <c r="B16" i="53"/>
  <c r="B33" i="72" s="1"/>
  <c r="C7" i="37"/>
  <c r="C7" i="34"/>
  <c r="C7" i="36"/>
  <c r="W35" i="40"/>
  <c r="A118" i="9"/>
  <c r="A4" i="52"/>
  <c r="B41" i="72" s="1"/>
  <c r="A12" i="52"/>
  <c r="B56" i="72" s="1"/>
  <c r="G4" i="4"/>
  <c r="I4" i="4"/>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BP5" i="3"/>
  <c r="BN5" i="3"/>
  <c r="G29" i="6" s="1"/>
  <c r="AZ343" i="3"/>
  <c r="BK5" i="3"/>
  <c r="BI5" i="3"/>
  <c r="BG5" i="3"/>
  <c r="BE5" i="3"/>
  <c r="BC5" i="3"/>
  <c r="G17" i="3"/>
  <c r="BA17" i="3"/>
  <c r="BT5" i="3"/>
  <c r="AZ350" i="3"/>
  <c r="AZ352" i="3"/>
  <c r="AZ356" i="3"/>
  <c r="AZ364" i="3"/>
  <c r="AZ368" i="3"/>
  <c r="BA15" i="3"/>
  <c r="BB5" i="3"/>
  <c r="E13" i="6" s="1"/>
  <c r="BR5" i="3"/>
  <c r="G28" i="6"/>
  <c r="AZ384" i="3"/>
  <c r="AZ388" i="3"/>
  <c r="AZ392" i="3"/>
  <c r="AZ396" i="3"/>
  <c r="AZ394" i="3"/>
  <c r="G509" i="3"/>
  <c r="BL493" i="3"/>
  <c r="AZ491" i="3"/>
  <c r="AZ390" i="3"/>
  <c r="AZ493" i="3"/>
  <c r="U36" i="40"/>
  <c r="F36" i="43"/>
  <c r="F81" i="43"/>
  <c r="H83" i="43"/>
  <c r="H113" i="43"/>
  <c r="F48" i="43"/>
  <c r="H52" i="43" s="1"/>
  <c r="F70" i="43"/>
  <c r="H73" i="43" s="1"/>
  <c r="M11" i="43"/>
  <c r="D17" i="43"/>
  <c r="F39" i="43"/>
  <c r="I17" i="43"/>
  <c r="F35" i="43"/>
  <c r="J17" i="43"/>
  <c r="F6" i="1"/>
  <c r="S14" i="35"/>
  <c r="U43" i="21"/>
  <c r="U35" i="21"/>
  <c r="AC35" i="21"/>
  <c r="U10" i="21"/>
  <c r="G8" i="1"/>
  <c r="G9" i="1"/>
  <c r="G10" i="1"/>
  <c r="W37" i="37"/>
  <c r="W44" i="34"/>
  <c r="S15" i="37"/>
  <c r="U13" i="37"/>
  <c r="U12" i="40"/>
  <c r="AA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E15" i="6"/>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T9" i="1" s="1"/>
  <c r="R9" i="1"/>
  <c r="J51" i="67"/>
  <c r="C42" i="1"/>
  <c r="H100" i="43"/>
  <c r="C30" i="66"/>
  <c r="E26" i="66"/>
  <c r="AC34" i="33"/>
  <c r="B41" i="1"/>
  <c r="F48" i="9" s="1"/>
  <c r="O52" i="9" s="1"/>
  <c r="J100" i="43"/>
  <c r="AB37" i="40"/>
  <c r="S35" i="40"/>
  <c r="U35" i="40"/>
  <c r="AC36" i="40"/>
  <c r="AA32" i="40"/>
  <c r="S17" i="40"/>
  <c r="S23" i="40"/>
  <c r="AC17" i="40"/>
  <c r="AC15" i="40"/>
  <c r="S30" i="40"/>
  <c r="AA19" i="40"/>
  <c r="S28" i="40"/>
  <c r="U21" i="40"/>
  <c r="AB19" i="40"/>
  <c r="U37" i="39"/>
  <c r="S43" i="39"/>
  <c r="S37" i="39"/>
  <c r="U35" i="39"/>
  <c r="F32" i="39"/>
  <c r="F107" i="39"/>
  <c r="G107" i="39"/>
  <c r="U31" i="39"/>
  <c r="S25" i="39"/>
  <c r="J21" i="39"/>
  <c r="AC21" i="39" s="1"/>
  <c r="F21" i="39"/>
  <c r="AA21" i="39" s="1"/>
  <c r="H21" i="39"/>
  <c r="AB21" i="39" s="1"/>
  <c r="W19" i="39"/>
  <c r="U19"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42" i="34"/>
  <c r="AB35" i="34"/>
  <c r="U39" i="34"/>
  <c r="S43" i="34"/>
  <c r="AB41" i="34"/>
  <c r="AA45" i="34"/>
  <c r="AA25" i="34"/>
  <c r="U28" i="34"/>
  <c r="AA29" i="34"/>
  <c r="U15" i="34"/>
  <c r="S10" i="34"/>
  <c r="S13" i="34"/>
  <c r="H10" i="34"/>
  <c r="AB10" i="34" s="1"/>
  <c r="F11" i="34"/>
  <c r="S11" i="34"/>
  <c r="F70" i="34"/>
  <c r="AA29" i="33"/>
  <c r="AB29" i="33"/>
  <c r="W38" i="33"/>
  <c r="J35" i="33"/>
  <c r="W35" i="33" s="1"/>
  <c r="S37" i="33"/>
  <c r="AA37" i="33"/>
  <c r="S39" i="33"/>
  <c r="S46" i="33"/>
  <c r="W43" i="33"/>
  <c r="S43" i="33"/>
  <c r="H27" i="33"/>
  <c r="U27" i="33" s="1"/>
  <c r="F87" i="33"/>
  <c r="H25" i="33"/>
  <c r="F25" i="33"/>
  <c r="F19" i="33"/>
  <c r="S19" i="33" s="1"/>
  <c r="J17" i="33"/>
  <c r="AC17" i="33" s="1"/>
  <c r="S15" i="33"/>
  <c r="W15" i="33"/>
  <c r="U9"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F34" i="67"/>
  <c r="F62" i="67" s="1"/>
  <c r="M20" i="67"/>
  <c r="F34" i="15"/>
  <c r="F62" i="15" s="1"/>
  <c r="BA13" i="3"/>
  <c r="BL17" i="3"/>
  <c r="AZ17" i="3"/>
  <c r="BL13" i="3"/>
  <c r="J56" i="9"/>
  <c r="J57" i="9" s="1"/>
  <c r="J59" i="9" s="1"/>
  <c r="J61" i="9" s="1"/>
  <c r="A24" i="51"/>
  <c r="B18" i="72" s="1"/>
  <c r="U29" i="34"/>
  <c r="E5" i="6"/>
  <c r="E32" i="6"/>
  <c r="L19" i="6"/>
  <c r="G1" i="68"/>
  <c r="K1" i="12"/>
  <c r="AQ12" i="1"/>
  <c r="T10" i="1"/>
  <c r="E19" i="11"/>
  <c r="E1" i="73"/>
  <c r="G22" i="69"/>
  <c r="G22" i="68"/>
  <c r="G26" i="12"/>
  <c r="G22" i="11"/>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AA27" i="39"/>
  <c r="W17" i="39"/>
  <c r="AC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W19" i="34"/>
  <c r="AB33" i="34"/>
  <c r="AC45" i="34"/>
  <c r="AA31" i="34"/>
  <c r="AA30" i="34"/>
  <c r="AB45" i="34"/>
  <c r="AB47" i="34"/>
  <c r="AB36" i="34"/>
  <c r="AC14" i="34"/>
  <c r="AC32" i="34"/>
  <c r="AC29" i="34"/>
  <c r="W29" i="34"/>
  <c r="W46" i="34"/>
  <c r="AC46" i="34"/>
  <c r="S32" i="34"/>
  <c r="AA32" i="34"/>
  <c r="U30" i="34"/>
  <c r="AB30" i="34"/>
  <c r="S37" i="34"/>
  <c r="U38" i="34"/>
  <c r="AC40" i="34"/>
  <c r="W40" i="34"/>
  <c r="AA36" i="34"/>
  <c r="S36" i="34"/>
  <c r="AA8" i="34"/>
  <c r="S8" i="34"/>
  <c r="AB9" i="34"/>
  <c r="U9" i="34"/>
  <c r="S46" i="34"/>
  <c r="AA46" i="34"/>
  <c r="U32" i="34"/>
  <c r="AB32" i="34"/>
  <c r="U14" i="34"/>
  <c r="AB14" i="34"/>
  <c r="AA11" i="34"/>
  <c r="W23" i="34"/>
  <c r="AC23" i="34"/>
  <c r="AC35" i="34"/>
  <c r="W35" i="34"/>
  <c r="U12" i="34"/>
  <c r="AB12" i="34"/>
  <c r="AB28" i="33"/>
  <c r="AC37" i="33"/>
  <c r="W46" i="33"/>
  <c r="U39" i="33"/>
  <c r="AB34" i="33"/>
  <c r="U44" i="33"/>
  <c r="AB44" i="33"/>
  <c r="S30" i="33"/>
  <c r="AA30" i="33"/>
  <c r="AC14" i="33"/>
  <c r="W14" i="33"/>
  <c r="AC30" i="33"/>
  <c r="W30" i="33"/>
  <c r="S31" i="33"/>
  <c r="AA31" i="33"/>
  <c r="W13" i="33"/>
  <c r="AC13" i="33"/>
  <c r="S11" i="33"/>
  <c r="U37" i="33"/>
  <c r="AC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D19" i="12"/>
  <c r="C19" i="12" s="1"/>
  <c r="AR11" i="1"/>
  <c r="S7" i="1"/>
  <c r="AQ7" i="1" s="1"/>
  <c r="E7" i="70"/>
  <c r="AA39" i="40"/>
  <c r="S39" i="40"/>
  <c r="S12" i="33"/>
  <c r="AA12" i="33"/>
  <c r="J32" i="39"/>
  <c r="H107" i="39"/>
  <c r="I107" i="39" s="1"/>
  <c r="J107" i="39" s="1"/>
  <c r="K107" i="39" s="1"/>
  <c r="L107" i="39" s="1"/>
  <c r="M107" i="39" s="1"/>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W10" i="34" s="1"/>
  <c r="H36" i="33"/>
  <c r="U36" i="33" s="1"/>
  <c r="J27" i="33"/>
  <c r="AC27" i="33" s="1"/>
  <c r="U25" i="33"/>
  <c r="AB25" i="33"/>
  <c r="S25" i="33"/>
  <c r="AA25" i="33"/>
  <c r="G87" i="33"/>
  <c r="H87" i="33"/>
  <c r="I87" i="33" s="1"/>
  <c r="J87" i="33" s="1"/>
  <c r="K87" i="33" s="1"/>
  <c r="L87" i="33" s="1"/>
  <c r="M87" i="33" s="1"/>
  <c r="J25" i="33"/>
  <c r="H19" i="33"/>
  <c r="AB19" i="33" s="1"/>
  <c r="H17" i="33"/>
  <c r="U17" i="33" s="1"/>
  <c r="F17" i="33"/>
  <c r="AA17" i="33" s="1"/>
  <c r="W17"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D3" i="34"/>
  <c r="U32" i="39"/>
  <c r="AB32" i="39"/>
  <c r="AC32" i="39"/>
  <c r="W32" i="39"/>
  <c r="W19" i="37"/>
  <c r="AC19" i="37"/>
  <c r="W23" i="37"/>
  <c r="AC23" i="37"/>
  <c r="AB11" i="37"/>
  <c r="U11" i="37"/>
  <c r="H63" i="37"/>
  <c r="I63" i="37" s="1"/>
  <c r="J63" i="37" s="1"/>
  <c r="K63" i="37" s="1"/>
  <c r="L63" i="37" s="1"/>
  <c r="M63" i="37" s="1"/>
  <c r="J11" i="37"/>
  <c r="AC11" i="37" s="1"/>
  <c r="W10" i="37"/>
  <c r="AC10" i="37"/>
  <c r="U11" i="34"/>
  <c r="H70" i="34"/>
  <c r="I70" i="34" s="1"/>
  <c r="J70" i="34" s="1"/>
  <c r="K70" i="34" s="1"/>
  <c r="L70" i="34" s="1"/>
  <c r="M70" i="34" s="1"/>
  <c r="J11" i="34"/>
  <c r="W11" i="34" s="1"/>
  <c r="W25" i="33"/>
  <c r="AC25" i="33"/>
  <c r="U23" i="21"/>
  <c r="AB23" i="21"/>
  <c r="AC23" i="21"/>
  <c r="W23" i="21"/>
  <c r="W11" i="37"/>
  <c r="R7" i="1"/>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8" i="71"/>
  <c r="X16" i="71"/>
  <c r="X15" i="71"/>
  <c r="AA16" i="71"/>
  <c r="AA15" i="71"/>
  <c r="X19" i="71"/>
  <c r="Y15" i="71"/>
  <c r="Z15" i="71" s="1"/>
  <c r="AB16" i="71"/>
  <c r="AB15" i="71"/>
  <c r="F17" i="71"/>
  <c r="F16" i="71"/>
  <c r="F15" i="71" s="1"/>
  <c r="F14" i="71" s="1"/>
  <c r="F13" i="71" s="1"/>
  <c r="Y16" i="71"/>
  <c r="Z16" i="71" s="1"/>
  <c r="X3" i="71"/>
  <c r="E17" i="71"/>
  <c r="E16" i="71" s="1"/>
  <c r="G20" i="43"/>
  <c r="E41" i="43" s="1"/>
  <c r="C41" i="43" s="1"/>
  <c r="I59" i="34"/>
  <c r="J59" i="34" s="1"/>
  <c r="E7" i="76"/>
  <c r="F37" i="67"/>
  <c r="M27" i="15"/>
  <c r="F36" i="67"/>
  <c r="F16" i="15"/>
  <c r="F7" i="15"/>
  <c r="M8" i="67"/>
  <c r="D2" i="21"/>
  <c r="M28" i="15"/>
  <c r="M9" i="67"/>
  <c r="M8" i="15"/>
  <c r="D2" i="34"/>
  <c r="M28" i="67"/>
  <c r="B10" i="76"/>
  <c r="AO10" i="1"/>
  <c r="M29" i="67"/>
  <c r="L47" i="15"/>
  <c r="F40" i="67"/>
  <c r="M29" i="15"/>
  <c r="F42" i="67"/>
  <c r="D4" i="73"/>
  <c r="F43" i="15"/>
  <c r="E12" i="76"/>
  <c r="D2" i="35"/>
  <c r="M6" i="67"/>
  <c r="F26" i="15"/>
  <c r="M26" i="67"/>
  <c r="C76" i="15"/>
  <c r="F16" i="67"/>
  <c r="D2" i="33"/>
  <c r="F6" i="67"/>
  <c r="J15" i="15"/>
  <c r="F13" i="15"/>
  <c r="E13" i="76"/>
  <c r="M6" i="15"/>
  <c r="B11" i="76"/>
  <c r="M24" i="15"/>
  <c r="D3" i="73"/>
  <c r="F9" i="67"/>
  <c r="F36" i="15"/>
  <c r="D7" i="73"/>
  <c r="M21" i="67"/>
  <c r="F20" i="31"/>
  <c r="F40" i="15"/>
  <c r="F38" i="67"/>
  <c r="F13" i="67"/>
  <c r="J15" i="67"/>
  <c r="B9" i="76"/>
  <c r="F8" i="67"/>
  <c r="AO12" i="1"/>
  <c r="D6" i="73"/>
  <c r="AO13" i="1"/>
  <c r="F9" i="15"/>
  <c r="AO8" i="1"/>
  <c r="L47" i="67"/>
  <c r="F41" i="67"/>
  <c r="L48" i="67"/>
  <c r="F37" i="15"/>
  <c r="F26" i="67"/>
  <c r="B13" i="76"/>
  <c r="M26" i="15"/>
  <c r="F7" i="67"/>
  <c r="M22" i="67"/>
  <c r="F8" i="15"/>
  <c r="F4" i="73"/>
  <c r="F6" i="73"/>
  <c r="F3" i="73"/>
  <c r="F5" i="73"/>
  <c r="M27" i="67"/>
  <c r="D2" i="37"/>
  <c r="M23" i="67"/>
  <c r="E8" i="76"/>
  <c r="F7" i="73"/>
  <c r="E2" i="69"/>
  <c r="F6" i="15"/>
  <c r="AO9" i="1"/>
  <c r="D9" i="68"/>
  <c r="F43" i="67"/>
  <c r="E10" i="76"/>
  <c r="AO11" i="1"/>
  <c r="AO7" i="1"/>
  <c r="C76" i="67"/>
  <c r="F42" i="15"/>
  <c r="D5" i="73"/>
  <c r="F38" i="15"/>
  <c r="M9" i="15"/>
  <c r="B8" i="76"/>
  <c r="M22" i="15"/>
  <c r="B12" i="76"/>
  <c r="M24" i="67"/>
  <c r="L48" i="15"/>
  <c r="D2" i="36"/>
  <c r="F35" i="67"/>
  <c r="E11" i="76"/>
  <c r="E9" i="76"/>
  <c r="B7" i="76"/>
  <c r="M23" i="15"/>
  <c r="E2" i="68"/>
  <c r="C18" i="9" l="1"/>
  <c r="D18" i="9" s="1"/>
  <c r="AZ382" i="3"/>
  <c r="AZ351" i="3"/>
  <c r="AZ347" i="3"/>
  <c r="AZ380" i="3"/>
  <c r="AZ378" i="3"/>
  <c r="AZ360" i="3"/>
  <c r="AZ327" i="3"/>
  <c r="AZ511" i="3"/>
  <c r="AZ515" i="3"/>
  <c r="AZ519" i="3"/>
  <c r="AZ565" i="3"/>
  <c r="AZ569" i="3"/>
  <c r="AZ573" i="3"/>
  <c r="AZ577" i="3"/>
  <c r="AZ583" i="3"/>
  <c r="AZ508" i="3"/>
  <c r="AZ520" i="3"/>
  <c r="AZ558" i="3"/>
  <c r="BL586" i="3"/>
  <c r="AZ586" i="3" s="1"/>
  <c r="E121" i="33"/>
  <c r="F121" i="33" s="1"/>
  <c r="J41" i="33"/>
  <c r="AC41" i="33" s="1"/>
  <c r="BA551" i="3"/>
  <c r="AZ551" i="3" s="1"/>
  <c r="G551" i="3"/>
  <c r="BL550" i="3"/>
  <c r="BA550" i="3"/>
  <c r="BL548" i="3"/>
  <c r="AZ548" i="3" s="1"/>
  <c r="I4" i="6"/>
  <c r="G3" i="43" s="1"/>
  <c r="H5" i="3"/>
  <c r="BL16" i="3"/>
  <c r="AZ16" i="3" s="1"/>
  <c r="BL15" i="3"/>
  <c r="AZ15" i="3" s="1"/>
  <c r="X21" i="71"/>
  <c r="X27" i="71"/>
  <c r="AA31" i="71"/>
  <c r="W26" i="33"/>
  <c r="AB26" i="33"/>
  <c r="S26" i="33"/>
  <c r="H32" i="33"/>
  <c r="AB32" i="33" s="1"/>
  <c r="F32" i="33"/>
  <c r="AA32" i="33" s="1"/>
  <c r="J32" i="33"/>
  <c r="W32" i="33" s="1"/>
  <c r="G101" i="33"/>
  <c r="H101" i="33" s="1"/>
  <c r="I101" i="33" s="1"/>
  <c r="J101" i="33" s="1"/>
  <c r="K101" i="33" s="1"/>
  <c r="L101" i="33" s="1"/>
  <c r="M101" i="33" s="1"/>
  <c r="F36" i="33"/>
  <c r="J36" i="33"/>
  <c r="AB36" i="33"/>
  <c r="AC35" i="33"/>
  <c r="U35" i="33"/>
  <c r="S33" i="33"/>
  <c r="U33" i="33"/>
  <c r="W41" i="33"/>
  <c r="W33" i="33"/>
  <c r="U32" i="33"/>
  <c r="AC32" i="33"/>
  <c r="AA34" i="33"/>
  <c r="W42" i="33"/>
  <c r="U42" i="33"/>
  <c r="S42" i="33"/>
  <c r="U38" i="33"/>
  <c r="W39" i="33"/>
  <c r="AA28" i="33"/>
  <c r="W27" i="33"/>
  <c r="AB27" i="33"/>
  <c r="S27" i="33"/>
  <c r="F85" i="33"/>
  <c r="G85" i="33" s="1"/>
  <c r="F23" i="33"/>
  <c r="AA23" i="33" s="1"/>
  <c r="H23" i="33"/>
  <c r="J23" i="33"/>
  <c r="W23" i="33" s="1"/>
  <c r="AB21" i="33"/>
  <c r="W19" i="33"/>
  <c r="U19" i="33"/>
  <c r="AA19" i="33"/>
  <c r="S17" i="33"/>
  <c r="AB17" i="33"/>
  <c r="U15" i="33"/>
  <c r="H10" i="33"/>
  <c r="U10" i="33" s="1"/>
  <c r="F10" i="33"/>
  <c r="S10" i="33" s="1"/>
  <c r="W10" i="33"/>
  <c r="U8" i="33"/>
  <c r="S8" i="33"/>
  <c r="AC45" i="39"/>
  <c r="AC38" i="39"/>
  <c r="W39" i="39"/>
  <c r="AB39" i="39"/>
  <c r="AA39" i="39"/>
  <c r="U41" i="39"/>
  <c r="AA41" i="39"/>
  <c r="W42" i="39"/>
  <c r="AA38" i="39"/>
  <c r="U38" i="39"/>
  <c r="AB29" i="39"/>
  <c r="AC29" i="39"/>
  <c r="AC27" i="39"/>
  <c r="AB27" i="39"/>
  <c r="AC25" i="39"/>
  <c r="U25" i="39"/>
  <c r="AC23" i="39"/>
  <c r="S23" i="39"/>
  <c r="AB23" i="39"/>
  <c r="S21" i="39"/>
  <c r="W21" i="39"/>
  <c r="U21" i="39"/>
  <c r="S17" i="39"/>
  <c r="U17" i="39"/>
  <c r="AC9" i="39"/>
  <c r="U9" i="39"/>
  <c r="W8" i="39"/>
  <c r="U8" i="39"/>
  <c r="G17" i="43"/>
  <c r="C16" i="43" s="1"/>
  <c r="D5" i="43" s="1"/>
  <c r="C9" i="68"/>
  <c r="E19" i="69"/>
  <c r="D68" i="9"/>
  <c r="F31" i="12"/>
  <c r="F30" i="69"/>
  <c r="F48" i="69" s="1"/>
  <c r="M18" i="15"/>
  <c r="F30" i="11"/>
  <c r="C48" i="11" s="1"/>
  <c r="M18" i="67"/>
  <c r="F54" i="9"/>
  <c r="F28" i="15"/>
  <c r="F32" i="15"/>
  <c r="F60" i="15" s="1"/>
  <c r="F32" i="67"/>
  <c r="F60" i="67" s="1"/>
  <c r="F52" i="9"/>
  <c r="F28" i="67"/>
  <c r="C28" i="67" s="1"/>
  <c r="F30" i="68"/>
  <c r="AC43" i="34"/>
  <c r="Q16" i="1"/>
  <c r="F27" i="11" s="1"/>
  <c r="C47" i="11" s="1"/>
  <c r="D45" i="11" s="1"/>
  <c r="AQ8" i="1"/>
  <c r="AR8" i="1"/>
  <c r="T8" i="1"/>
  <c r="B113" i="43"/>
  <c r="I118" i="43" s="1"/>
  <c r="J118" i="43" s="1"/>
  <c r="K118" i="43" s="1"/>
  <c r="L118" i="43" s="1"/>
  <c r="M118" i="43" s="1"/>
  <c r="E22" i="43"/>
  <c r="N104" i="46"/>
  <c r="D101" i="43"/>
  <c r="G22" i="43"/>
  <c r="AH11" i="43"/>
  <c r="Z11" i="43"/>
  <c r="AG11" i="43"/>
  <c r="Y11" i="43"/>
  <c r="Y13" i="43" s="1"/>
  <c r="C36" i="69"/>
  <c r="AC11" i="43"/>
  <c r="AD11" i="43"/>
  <c r="L101" i="43"/>
  <c r="L105" i="43" s="1"/>
  <c r="G13" i="3"/>
  <c r="AR12" i="1"/>
  <c r="T12" i="1"/>
  <c r="F101" i="43"/>
  <c r="F103" i="43" s="1"/>
  <c r="G5" i="3"/>
  <c r="B3" i="3" s="1"/>
  <c r="C5" i="11"/>
  <c r="L109" i="43"/>
  <c r="F107" i="43"/>
  <c r="E58" i="40"/>
  <c r="E63" i="39"/>
  <c r="E60" i="40"/>
  <c r="E65" i="39"/>
  <c r="E8" i="6"/>
  <c r="F27" i="6" s="1"/>
  <c r="E10" i="6"/>
  <c r="E11" i="6"/>
  <c r="E14" i="6"/>
  <c r="Q6" i="3"/>
  <c r="E560" i="3"/>
  <c r="E437" i="3"/>
  <c r="E472" i="3"/>
  <c r="E481" i="3"/>
  <c r="E406" i="3"/>
  <c r="E424" i="3"/>
  <c r="E465" i="3"/>
  <c r="E564" i="3"/>
  <c r="E427" i="3"/>
  <c r="E507" i="3"/>
  <c r="E440" i="3"/>
  <c r="E344" i="3"/>
  <c r="E587" i="3"/>
  <c r="AE6" i="3"/>
  <c r="E577" i="3"/>
  <c r="E429" i="3"/>
  <c r="E468" i="3"/>
  <c r="E496" i="3"/>
  <c r="E454" i="3"/>
  <c r="E55" i="3"/>
  <c r="E106" i="3"/>
  <c r="E73" i="3"/>
  <c r="E146" i="3"/>
  <c r="E203" i="3"/>
  <c r="E171" i="3"/>
  <c r="E256" i="3"/>
  <c r="E214" i="3"/>
  <c r="E259" i="3"/>
  <c r="E292" i="3"/>
  <c r="E348" i="3"/>
  <c r="E363" i="3"/>
  <c r="E378" i="3"/>
  <c r="E349" i="3"/>
  <c r="E375" i="3"/>
  <c r="E389" i="3"/>
  <c r="E504" i="3"/>
  <c r="E544" i="3"/>
  <c r="E58" i="3"/>
  <c r="E76" i="3"/>
  <c r="E110" i="3"/>
  <c r="D103" i="43"/>
  <c r="D9" i="11"/>
  <c r="C9" i="11" s="1"/>
  <c r="D9" i="69"/>
  <c r="C9" i="69" s="1"/>
  <c r="AR9" i="1"/>
  <c r="AQ9" i="1"/>
  <c r="AR13" i="1"/>
  <c r="AQ13" i="1"/>
  <c r="T13" i="1"/>
  <c r="AQ10" i="1"/>
  <c r="AR10" i="1"/>
  <c r="B115" i="43"/>
  <c r="B116" i="43"/>
  <c r="C116" i="43" s="1"/>
  <c r="F22" i="43"/>
  <c r="K101" i="43"/>
  <c r="N101" i="43"/>
  <c r="G101" i="43"/>
  <c r="J101" i="43"/>
  <c r="H22" i="43"/>
  <c r="H101" i="43"/>
  <c r="M101" i="43"/>
  <c r="E101" i="43"/>
  <c r="AJ11" i="43"/>
  <c r="AJ13" i="43" s="1"/>
  <c r="AF11" i="43"/>
  <c r="AF13" i="43" s="1"/>
  <c r="AB11" i="43"/>
  <c r="AB13" i="43" s="1"/>
  <c r="Z7" i="43"/>
  <c r="AI11" i="43"/>
  <c r="AI13" i="43" s="1"/>
  <c r="AE11" i="43"/>
  <c r="AE13" i="43" s="1"/>
  <c r="AA11" i="43"/>
  <c r="AA13" i="43" s="1"/>
  <c r="J22" i="43"/>
  <c r="C5" i="43"/>
  <c r="E15" i="71"/>
  <c r="E14" i="71" s="1"/>
  <c r="E13" i="71" s="1"/>
  <c r="E12" i="71" s="1"/>
  <c r="V16" i="71"/>
  <c r="C20" i="43"/>
  <c r="D17" i="53"/>
  <c r="B36" i="72" s="1"/>
  <c r="AC11" i="34"/>
  <c r="BL5" i="3"/>
  <c r="AZ495" i="3"/>
  <c r="AZ521" i="3"/>
  <c r="AA12" i="21"/>
  <c r="S12" i="21"/>
  <c r="E56" i="39"/>
  <c r="E29" i="6"/>
  <c r="G30" i="6"/>
  <c r="G31" i="6" s="1"/>
  <c r="E28" i="6"/>
  <c r="K14" i="1" s="1"/>
  <c r="M14" i="1" s="1"/>
  <c r="F30" i="6"/>
  <c r="E322" i="3"/>
  <c r="AJ6" i="3"/>
  <c r="E539" i="3"/>
  <c r="E567" i="3"/>
  <c r="E461" i="3"/>
  <c r="E227" i="3"/>
  <c r="E165" i="3"/>
  <c r="E353" i="3"/>
  <c r="E495" i="3"/>
  <c r="AN6" i="3"/>
  <c r="E578" i="3"/>
  <c r="E423" i="3"/>
  <c r="E382" i="3"/>
  <c r="E263" i="3"/>
  <c r="E245" i="3"/>
  <c r="E191" i="3"/>
  <c r="E236" i="3"/>
  <c r="E148" i="3"/>
  <c r="E269" i="3"/>
  <c r="E122" i="3"/>
  <c r="E89" i="3"/>
  <c r="E120" i="3"/>
  <c r="E45" i="3"/>
  <c r="E277" i="3"/>
  <c r="E224" i="3"/>
  <c r="E177" i="3"/>
  <c r="E193" i="3"/>
  <c r="E133" i="3"/>
  <c r="E286" i="3"/>
  <c r="E312" i="3"/>
  <c r="E575" i="3"/>
  <c r="AD6"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E585" i="3"/>
  <c r="AB13" i="21"/>
  <c r="U13" i="21"/>
  <c r="AC27" i="21"/>
  <c r="W27" i="21"/>
  <c r="AC29" i="21"/>
  <c r="W29" i="21"/>
  <c r="J9" i="34"/>
  <c r="H36" i="35"/>
  <c r="J36" i="35"/>
  <c r="AZ399" i="3"/>
  <c r="AZ404" i="3"/>
  <c r="AZ410" i="3"/>
  <c r="AZ415" i="3"/>
  <c r="AZ420" i="3"/>
  <c r="AZ426" i="3"/>
  <c r="AZ431" i="3"/>
  <c r="AZ448" i="3"/>
  <c r="AZ452" i="3"/>
  <c r="AZ461" i="3"/>
  <c r="AZ463" i="3"/>
  <c r="AZ468" i="3"/>
  <c r="AZ470" i="3"/>
  <c r="AZ479" i="3"/>
  <c r="L27" i="6"/>
  <c r="AA35" i="33"/>
  <c r="U12" i="39"/>
  <c r="AA27" i="40"/>
  <c r="AB27" i="40"/>
  <c r="F53" i="9"/>
  <c r="E12" i="6"/>
  <c r="H50" i="43"/>
  <c r="K5" i="4"/>
  <c r="B47" i="48" s="1"/>
  <c r="U12" i="37"/>
  <c r="AC28" i="21"/>
  <c r="U31" i="34"/>
  <c r="W33" i="37"/>
  <c r="J34" i="35"/>
  <c r="H34" i="35"/>
  <c r="F34" i="35"/>
  <c r="AZ475" i="3"/>
  <c r="H38" i="40"/>
  <c r="J38" i="40"/>
  <c r="H39" i="40"/>
  <c r="A15" i="62"/>
  <c r="B61" i="72" s="1"/>
  <c r="AZ484" i="3"/>
  <c r="AZ230" i="3"/>
  <c r="AZ242" i="3"/>
  <c r="AZ246" i="3"/>
  <c r="AZ258" i="3"/>
  <c r="AZ262" i="3"/>
  <c r="AZ267" i="3"/>
  <c r="E90" i="34"/>
  <c r="AZ208" i="3"/>
  <c r="AZ211" i="3"/>
  <c r="AZ219" i="3"/>
  <c r="AZ285" i="3"/>
  <c r="AZ290" i="3"/>
  <c r="AZ293" i="3"/>
  <c r="AZ153" i="3"/>
  <c r="AZ169" i="3"/>
  <c r="AZ185" i="3"/>
  <c r="AZ201" i="3"/>
  <c r="AZ207" i="3"/>
  <c r="AZ25" i="3"/>
  <c r="AZ30" i="3"/>
  <c r="AZ36" i="3"/>
  <c r="AZ40" i="3"/>
  <c r="AZ46" i="3"/>
  <c r="AZ49" i="3"/>
  <c r="AZ62" i="3"/>
  <c r="AZ65" i="3"/>
  <c r="AZ76" i="3"/>
  <c r="AZ81" i="3"/>
  <c r="AZ90" i="3"/>
  <c r="AZ96" i="3"/>
  <c r="AZ99" i="3"/>
  <c r="AZ270" i="3"/>
  <c r="AZ277" i="3"/>
  <c r="AZ108" i="3"/>
  <c r="F3" i="35"/>
  <c r="F40" i="68"/>
  <c r="C21" i="68"/>
  <c r="T40" i="71"/>
  <c r="D40" i="71"/>
  <c r="C23" i="71"/>
  <c r="T24" i="71"/>
  <c r="D24" i="71"/>
  <c r="U24" i="71" s="1"/>
  <c r="D50" i="71"/>
  <c r="C51" i="71"/>
  <c r="D58" i="71"/>
  <c r="C59" i="71"/>
  <c r="J51" i="15"/>
  <c r="J57" i="15" s="1"/>
  <c r="J55" i="15" s="1"/>
  <c r="J58" i="15" s="1"/>
  <c r="Q50" i="15" s="1"/>
  <c r="W21" i="21"/>
  <c r="W21" i="33"/>
  <c r="AA21" i="33"/>
  <c r="AC18" i="36"/>
  <c r="T36" i="71"/>
  <c r="D36" i="71"/>
  <c r="T32" i="71"/>
  <c r="D32" i="71"/>
  <c r="Q62" i="71"/>
  <c r="Q61" i="71"/>
  <c r="AB23" i="71"/>
  <c r="S24" i="71"/>
  <c r="X23" i="71"/>
  <c r="AA32" i="71"/>
  <c r="AB29" i="71"/>
  <c r="Y29" i="71"/>
  <c r="Z29" i="71" s="1"/>
  <c r="X28" i="71"/>
  <c r="N64" i="71"/>
  <c r="X33" i="71"/>
  <c r="AA25" i="71"/>
  <c r="Y5" i="71"/>
  <c r="Z5" i="71" s="1"/>
  <c r="Y6" i="71"/>
  <c r="Z6" i="71" s="1"/>
  <c r="AA5" i="71"/>
  <c r="AA6" i="71"/>
  <c r="B63" i="71"/>
  <c r="AF10" i="43"/>
  <c r="AC12" i="43"/>
  <c r="AC10" i="43"/>
  <c r="AG12" i="43"/>
  <c r="AG13" i="43" s="1"/>
  <c r="AG10" i="43"/>
  <c r="X20" i="71"/>
  <c r="Y20" i="71"/>
  <c r="Z20" i="71" s="1"/>
  <c r="AA18" i="71"/>
  <c r="X17" i="71"/>
  <c r="Y14" i="71"/>
  <c r="Z14" i="71" s="1"/>
  <c r="X13" i="71"/>
  <c r="Y13" i="71"/>
  <c r="Z13" i="71" s="1"/>
  <c r="AA13" i="71"/>
  <c r="AB14" i="71"/>
  <c r="Y10" i="71"/>
  <c r="Z10" i="71" s="1"/>
  <c r="F21" i="34"/>
  <c r="AA21" i="34" s="1"/>
  <c r="X5" i="71"/>
  <c r="X6" i="71"/>
  <c r="AB6" i="71"/>
  <c r="AB5" i="71"/>
  <c r="Z12" i="43"/>
  <c r="Z10" i="43"/>
  <c r="AD12" i="43"/>
  <c r="AD13" i="43" s="1"/>
  <c r="AD10" i="43"/>
  <c r="AH12" i="43"/>
  <c r="AH13" i="43" s="1"/>
  <c r="AH10" i="43"/>
  <c r="Y17" i="71"/>
  <c r="Z17" i="71" s="1"/>
  <c r="AB17" i="71"/>
  <c r="AA17" i="71"/>
  <c r="X14" i="71"/>
  <c r="AA14" i="71"/>
  <c r="X9" i="71"/>
  <c r="AA10" i="71"/>
  <c r="AA20" i="71"/>
  <c r="AB20" i="71"/>
  <c r="B20" i="71"/>
  <c r="C20" i="71"/>
  <c r="Y19" i="71"/>
  <c r="Z19" i="71" s="1"/>
  <c r="Y18" i="71"/>
  <c r="Z18" i="71" s="1"/>
  <c r="AA19" i="71"/>
  <c r="AB19" i="71"/>
  <c r="X18" i="71"/>
  <c r="AB11" i="71"/>
  <c r="AB13" i="71"/>
  <c r="AB7" i="71"/>
  <c r="AB10" i="71"/>
  <c r="Y8" i="71"/>
  <c r="Z8" i="71" s="1"/>
  <c r="Y9" i="71"/>
  <c r="Z9" i="71" s="1"/>
  <c r="AA7" i="71"/>
  <c r="AA9" i="71"/>
  <c r="X8" i="71"/>
  <c r="X11" i="71"/>
  <c r="AA11" i="71"/>
  <c r="AB8" i="71"/>
  <c r="AB9" i="71"/>
  <c r="Y7" i="71"/>
  <c r="Z7" i="71" s="1"/>
  <c r="AA8" i="71"/>
  <c r="X7" i="71"/>
  <c r="X10" i="71"/>
  <c r="U27" i="34"/>
  <c r="S27" i="34"/>
  <c r="U10" i="34"/>
  <c r="AA41" i="34"/>
  <c r="AC10" i="34"/>
  <c r="W33" i="34"/>
  <c r="S35" i="34"/>
  <c r="AC36" i="34"/>
  <c r="W41" i="34"/>
  <c r="W34" i="34"/>
  <c r="S34" i="34"/>
  <c r="S23" i="34"/>
  <c r="U21" i="34"/>
  <c r="S21" i="34"/>
  <c r="AA19" i="34"/>
  <c r="S17" i="34"/>
  <c r="AB17" i="34"/>
  <c r="W15" i="34"/>
  <c r="AC39" i="34"/>
  <c r="AA39" i="34"/>
  <c r="U25" i="34"/>
  <c r="AB23" i="34"/>
  <c r="U19" i="34"/>
  <c r="AC17" i="34"/>
  <c r="C70" i="39"/>
  <c r="D68" i="39"/>
  <c r="C92" i="9"/>
  <c r="C94" i="9"/>
  <c r="C31" i="12"/>
  <c r="C30" i="69"/>
  <c r="C24" i="12"/>
  <c r="C30" i="68"/>
  <c r="C77" i="9"/>
  <c r="C74" i="9" s="1"/>
  <c r="C13" i="12"/>
  <c r="C30" i="11"/>
  <c r="C28" i="15"/>
  <c r="C48" i="69"/>
  <c r="C21" i="69"/>
  <c r="D22" i="67"/>
  <c r="AR7" i="1"/>
  <c r="T7" i="1"/>
  <c r="D102" i="43"/>
  <c r="D106" i="43"/>
  <c r="D105" i="43"/>
  <c r="O7" i="1"/>
  <c r="P7" i="1" s="1"/>
  <c r="H16" i="1"/>
  <c r="E53" i="3"/>
  <c r="E125" i="3"/>
  <c r="E175" i="3"/>
  <c r="E217" i="3"/>
  <c r="E319" i="3"/>
  <c r="E366" i="3"/>
  <c r="E530" i="3"/>
  <c r="E526" i="3"/>
  <c r="E501" i="3"/>
  <c r="E553" i="3"/>
  <c r="E343" i="3"/>
  <c r="E26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O11" i="1"/>
  <c r="P11" i="1" s="1"/>
  <c r="M16" i="1"/>
  <c r="C36" i="11"/>
  <c r="E30" i="6"/>
  <c r="K15" i="1"/>
  <c r="O9" i="1"/>
  <c r="P9" i="1" s="1"/>
  <c r="O14" i="1"/>
  <c r="P14" i="1" s="1"/>
  <c r="C115" i="43"/>
  <c r="O8" i="1"/>
  <c r="P8" i="1" s="1"/>
  <c r="D12" i="52"/>
  <c r="D127" i="9"/>
  <c r="D13" i="52" s="1"/>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T10" i="43"/>
  <c r="V10" i="43" s="1"/>
  <c r="C6" i="67"/>
  <c r="B10" i="70"/>
  <c r="Q71" i="15"/>
  <c r="J53" i="15"/>
  <c r="L56" i="15" s="1"/>
  <c r="K1" i="73"/>
  <c r="I1" i="73"/>
  <c r="B39" i="1" s="1"/>
  <c r="F51" i="67"/>
  <c r="F65" i="67"/>
  <c r="J20" i="67"/>
  <c r="B12" i="70"/>
  <c r="J53" i="67"/>
  <c r="J57" i="67"/>
  <c r="J55" i="67" s="1"/>
  <c r="J58" i="67" s="1"/>
  <c r="Q50" i="67" s="1"/>
  <c r="L56" i="67"/>
  <c r="I54" i="67"/>
  <c r="M7" i="15"/>
  <c r="J6" i="15" s="1"/>
  <c r="F50" i="15"/>
  <c r="F51" i="15"/>
  <c r="F71" i="15"/>
  <c r="B7" i="70"/>
  <c r="C6" i="15"/>
  <c r="F69" i="67"/>
  <c r="F66" i="67"/>
  <c r="B11" i="70"/>
  <c r="L58" i="15"/>
  <c r="B8" i="70"/>
  <c r="F66" i="15"/>
  <c r="Q71" i="67"/>
  <c r="F64" i="15"/>
  <c r="F70" i="67"/>
  <c r="C27" i="67"/>
  <c r="F71" i="67"/>
  <c r="C27" i="15"/>
  <c r="F65" i="15"/>
  <c r="B9" i="70"/>
  <c r="N59" i="67"/>
  <c r="L59" i="67"/>
  <c r="L58" i="67"/>
  <c r="M59" i="67"/>
  <c r="B13" i="70"/>
  <c r="M7" i="67"/>
  <c r="J6" i="67" s="1"/>
  <c r="F50" i="67"/>
  <c r="F63" i="67"/>
  <c r="C62" i="67" s="1"/>
  <c r="C34" i="67"/>
  <c r="F68" i="67"/>
  <c r="F64" i="67"/>
  <c r="F68" i="15"/>
  <c r="C36" i="68"/>
  <c r="C17" i="67"/>
  <c r="C14" i="67"/>
  <c r="C16" i="15"/>
  <c r="F27" i="68"/>
  <c r="C16" i="67"/>
  <c r="G1" i="73"/>
  <c r="T12" i="43" l="1"/>
  <c r="V12" i="43" s="1"/>
  <c r="F31" i="6"/>
  <c r="U19" i="1"/>
  <c r="C101" i="43"/>
  <c r="I101" i="43"/>
  <c r="AZ550" i="3"/>
  <c r="AZ5" i="3" s="1"/>
  <c r="BA5" i="3"/>
  <c r="E27" i="6" s="1"/>
  <c r="G121" i="33"/>
  <c r="H121" i="33" s="1"/>
  <c r="I121" i="33" s="1"/>
  <c r="J121" i="33" s="1"/>
  <c r="K121" i="33" s="1"/>
  <c r="L121" i="33" s="1"/>
  <c r="M121" i="33" s="1"/>
  <c r="F41" i="33"/>
  <c r="H41" i="33"/>
  <c r="S32" i="33"/>
  <c r="S36" i="33"/>
  <c r="AA36" i="33"/>
  <c r="W36" i="33"/>
  <c r="AC36" i="33"/>
  <c r="AB23" i="33"/>
  <c r="U23" i="33"/>
  <c r="S23" i="33"/>
  <c r="AC23" i="33"/>
  <c r="T8" i="43"/>
  <c r="V8" i="43" s="1"/>
  <c r="T9" i="43"/>
  <c r="V9" i="43" s="1"/>
  <c r="T16" i="43"/>
  <c r="V16" i="43" s="1"/>
  <c r="T11" i="43"/>
  <c r="V11" i="43" s="1"/>
  <c r="AA10" i="33"/>
  <c r="AB10" i="33"/>
  <c r="C35" i="43"/>
  <c r="E35" i="43" s="1"/>
  <c r="C37" i="43"/>
  <c r="E37" i="43" s="1"/>
  <c r="C36" i="43"/>
  <c r="E36" i="43" s="1"/>
  <c r="C33" i="43"/>
  <c r="C38" i="43"/>
  <c r="C39" i="43"/>
  <c r="E39" i="43" s="1"/>
  <c r="C34" i="43"/>
  <c r="T13" i="43"/>
  <c r="V13" i="43" s="1"/>
  <c r="T15" i="43"/>
  <c r="V15" i="43" s="1"/>
  <c r="F45" i="68"/>
  <c r="N59" i="15"/>
  <c r="L59" i="15"/>
  <c r="Q74" i="15" s="1"/>
  <c r="I54" i="15"/>
  <c r="M59" i="15"/>
  <c r="I116" i="43"/>
  <c r="J116" i="43" s="1"/>
  <c r="K116" i="43" s="1"/>
  <c r="L116" i="43" s="1"/>
  <c r="M116" i="43" s="1"/>
  <c r="F48" i="68"/>
  <c r="C48" i="68"/>
  <c r="L107" i="43"/>
  <c r="F109" i="43"/>
  <c r="AC13" i="43"/>
  <c r="F105" i="43"/>
  <c r="L104" i="43"/>
  <c r="L102" i="43"/>
  <c r="F27" i="69"/>
  <c r="F28" i="12"/>
  <c r="C29" i="12" s="1"/>
  <c r="D28" i="12" s="1"/>
  <c r="C47" i="68"/>
  <c r="D45" i="68" s="1"/>
  <c r="C29" i="68"/>
  <c r="D27" i="68" s="1"/>
  <c r="E573" i="3"/>
  <c r="E529" i="3"/>
  <c r="E458" i="3"/>
  <c r="E474" i="3"/>
  <c r="E527" i="3"/>
  <c r="E438" i="3"/>
  <c r="E457" i="3"/>
  <c r="E288" i="3"/>
  <c r="E543" i="3"/>
  <c r="E486" i="3"/>
  <c r="E422" i="3"/>
  <c r="E490" i="3"/>
  <c r="E562" i="3"/>
  <c r="W6" i="3"/>
  <c r="E571" i="3"/>
  <c r="E537" i="3"/>
  <c r="E450" i="3"/>
  <c r="E471" i="3"/>
  <c r="E433" i="3"/>
  <c r="E475" i="3"/>
  <c r="E72" i="3"/>
  <c r="E54" i="3"/>
  <c r="E111" i="3"/>
  <c r="E168" i="3"/>
  <c r="E150" i="3"/>
  <c r="E208" i="3"/>
  <c r="E279" i="3"/>
  <c r="E257" i="3"/>
  <c r="E291" i="3"/>
  <c r="E316" i="3"/>
  <c r="E331" i="3"/>
  <c r="E377" i="3"/>
  <c r="E317" i="3"/>
  <c r="E334" i="3"/>
  <c r="E384" i="3"/>
  <c r="E572" i="3"/>
  <c r="AM6" i="3"/>
  <c r="E30" i="3"/>
  <c r="E44" i="3"/>
  <c r="E109" i="3"/>
  <c r="E586" i="3"/>
  <c r="E282" i="3"/>
  <c r="N6" i="3"/>
  <c r="E329" i="3"/>
  <c r="E545" i="3"/>
  <c r="E510" i="3"/>
  <c r="E352" i="3"/>
  <c r="E205" i="3"/>
  <c r="E128" i="3"/>
  <c r="E385" i="3"/>
  <c r="E518" i="3"/>
  <c r="AI6" i="3"/>
  <c r="E402" i="3"/>
  <c r="E350" i="3"/>
  <c r="E303" i="3"/>
  <c r="E301" i="3"/>
  <c r="E159" i="3"/>
  <c r="E99" i="3"/>
  <c r="E188" i="3"/>
  <c r="E228" i="3"/>
  <c r="E181" i="3"/>
  <c r="E157" i="3"/>
  <c r="E140" i="3"/>
  <c r="E85" i="3"/>
  <c r="E223" i="3"/>
  <c r="E238" i="3"/>
  <c r="E197" i="3"/>
  <c r="E116" i="3"/>
  <c r="E173" i="3"/>
  <c r="E105" i="3"/>
  <c r="E327" i="3"/>
  <c r="E379" i="3"/>
  <c r="E576" i="3"/>
  <c r="E499" i="3"/>
  <c r="E542" i="3"/>
  <c r="R6" i="3"/>
  <c r="E552" i="3"/>
  <c r="E502" i="3"/>
  <c r="E421" i="3"/>
  <c r="E442" i="3"/>
  <c r="E464" i="3"/>
  <c r="E466" i="3"/>
  <c r="D104" i="43"/>
  <c r="D109" i="43"/>
  <c r="D107" i="43"/>
  <c r="D22" i="43"/>
  <c r="D116" i="43"/>
  <c r="E116" i="43" s="1"/>
  <c r="F116" i="43" s="1"/>
  <c r="G116" i="43" s="1"/>
  <c r="H116" i="43" s="1"/>
  <c r="B118" i="43"/>
  <c r="C118" i="43" s="1"/>
  <c r="D115" i="43"/>
  <c r="E115" i="43" s="1"/>
  <c r="F115" i="43" s="1"/>
  <c r="G115" i="43" s="1"/>
  <c r="H115" i="43" s="1"/>
  <c r="B117" i="43"/>
  <c r="C117" i="43" s="1"/>
  <c r="G118" i="43"/>
  <c r="H118" i="43" s="1"/>
  <c r="L106" i="43"/>
  <c r="L103" i="43"/>
  <c r="Z13" i="43"/>
  <c r="D117" i="43"/>
  <c r="E117" i="43" s="1"/>
  <c r="F117" i="43" s="1"/>
  <c r="G117" i="43" s="1"/>
  <c r="H117" i="43" s="1"/>
  <c r="I117" i="43"/>
  <c r="J117" i="43" s="1"/>
  <c r="K117" i="43" s="1"/>
  <c r="L117" i="43" s="1"/>
  <c r="M117" i="43" s="1"/>
  <c r="D118" i="43"/>
  <c r="E118" i="43" s="1"/>
  <c r="F118" i="43" s="1"/>
  <c r="I115" i="43"/>
  <c r="J115" i="43" s="1"/>
  <c r="K115" i="43" s="1"/>
  <c r="L115" i="43" s="1"/>
  <c r="M115" i="43" s="1"/>
  <c r="F102" i="43"/>
  <c r="F106" i="43"/>
  <c r="F104" i="43"/>
  <c r="T6" i="3"/>
  <c r="E456" i="3"/>
  <c r="E512" i="3"/>
  <c r="E451" i="3"/>
  <c r="E376" i="3"/>
  <c r="AH6" i="3"/>
  <c r="J6" i="3"/>
  <c r="E498" i="3"/>
  <c r="E419" i="3"/>
  <c r="E483" i="3"/>
  <c r="E401" i="3"/>
  <c r="E463" i="3"/>
  <c r="E40" i="3"/>
  <c r="E25" i="3"/>
  <c r="E108" i="3"/>
  <c r="E178" i="3"/>
  <c r="E119" i="3"/>
  <c r="E202" i="3"/>
  <c r="E242" i="3"/>
  <c r="E226" i="3"/>
  <c r="E274" i="3"/>
  <c r="E351" i="3"/>
  <c r="E315" i="3"/>
  <c r="E357" i="3"/>
  <c r="E394" i="3"/>
  <c r="E318" i="3"/>
  <c r="E362" i="3"/>
  <c r="E14" i="3"/>
  <c r="E580" i="3"/>
  <c r="E31" i="3"/>
  <c r="E74" i="3"/>
  <c r="E93"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469" i="3"/>
  <c r="E360" i="3"/>
  <c r="E497" i="3"/>
  <c r="E494" i="3"/>
  <c r="E470" i="3"/>
  <c r="E26" i="3"/>
  <c r="E41" i="3"/>
  <c r="E198" i="3"/>
  <c r="E225" i="3"/>
  <c r="E243" i="3"/>
  <c r="E332" i="3"/>
  <c r="E391" i="3"/>
  <c r="E356" i="3"/>
  <c r="AL6" i="3"/>
  <c r="E42" i="3"/>
  <c r="E94"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405" i="3"/>
  <c r="E556" i="3"/>
  <c r="E452" i="3"/>
  <c r="E104" i="3"/>
  <c r="E139" i="3"/>
  <c r="E276" i="3"/>
  <c r="E333" i="3"/>
  <c r="L6" i="3"/>
  <c r="E29" i="3"/>
  <c r="E441" i="3"/>
  <c r="E425" i="3"/>
  <c r="E64" i="3"/>
  <c r="E103" i="3"/>
  <c r="E142" i="3"/>
  <c r="E267" i="3"/>
  <c r="E300" i="3"/>
  <c r="E325" i="3"/>
  <c r="E392" i="3"/>
  <c r="AQ6" i="3"/>
  <c r="E52" i="3"/>
  <c r="E36" i="3"/>
  <c r="E112" i="3"/>
  <c r="E123" i="3"/>
  <c r="E147" i="3"/>
  <c r="E289" i="3"/>
  <c r="E340" i="3"/>
  <c r="E364" i="3"/>
  <c r="E50" i="3"/>
  <c r="E20" i="3"/>
  <c r="E62" i="3"/>
  <c r="E176" i="3"/>
  <c r="E218" i="3"/>
  <c r="E265" i="3"/>
  <c r="E365" i="3"/>
  <c r="E524" i="3"/>
  <c r="E101" i="3"/>
  <c r="E408" i="3"/>
  <c r="E420" i="3"/>
  <c r="E115" i="3"/>
  <c r="E281" i="3"/>
  <c r="E346" i="3"/>
  <c r="E372" i="3"/>
  <c r="E60" i="3"/>
  <c r="E480" i="3"/>
  <c r="E484" i="3"/>
  <c r="E467" i="3"/>
  <c r="E46" i="3"/>
  <c r="E160" i="3"/>
  <c r="E200" i="3"/>
  <c r="E249" i="3"/>
  <c r="E371" i="3"/>
  <c r="E342" i="3"/>
  <c r="E522" i="3"/>
  <c r="E35" i="3"/>
  <c r="E86" i="3"/>
  <c r="E34" i="3"/>
  <c r="E49" i="3"/>
  <c r="E206" i="3"/>
  <c r="E232" i="3"/>
  <c r="E251" i="3"/>
  <c r="E370" i="3"/>
  <c r="AF6" i="3"/>
  <c r="E102" i="3"/>
  <c r="E80" i="3"/>
  <c r="E113" i="3"/>
  <c r="E158" i="3"/>
  <c r="E287" i="3"/>
  <c r="E308" i="3"/>
  <c r="E326" i="3"/>
  <c r="E22" i="3"/>
  <c r="E83" i="3"/>
  <c r="E13" i="3"/>
  <c r="E104" i="43"/>
  <c r="E107" i="43"/>
  <c r="E105" i="43"/>
  <c r="E106" i="43"/>
  <c r="E109" i="43"/>
  <c r="E103" i="43"/>
  <c r="E102" i="43"/>
  <c r="S5" i="43" s="1"/>
  <c r="T5" i="43" s="1"/>
  <c r="V5" i="43" s="1"/>
  <c r="H107" i="43"/>
  <c r="H106" i="43"/>
  <c r="H105" i="43"/>
  <c r="H109" i="43"/>
  <c r="H103" i="43"/>
  <c r="H102" i="43"/>
  <c r="H104" i="43"/>
  <c r="J104" i="43"/>
  <c r="J103" i="43"/>
  <c r="J107" i="43"/>
  <c r="J106" i="43"/>
  <c r="J109" i="43"/>
  <c r="J105" i="43"/>
  <c r="J102" i="43"/>
  <c r="N102" i="43"/>
  <c r="N103" i="43"/>
  <c r="N106" i="43"/>
  <c r="N104" i="43"/>
  <c r="N109" i="43"/>
  <c r="N105" i="43"/>
  <c r="N107" i="43"/>
  <c r="E61" i="39"/>
  <c r="E56" i="40"/>
  <c r="K16" i="1"/>
  <c r="C34" i="69"/>
  <c r="C35" i="69" s="1"/>
  <c r="C29" i="11"/>
  <c r="D27" i="11" s="1"/>
  <c r="E51" i="40"/>
  <c r="M109" i="43"/>
  <c r="M104" i="43"/>
  <c r="M107" i="43"/>
  <c r="M105" i="43"/>
  <c r="M102" i="43"/>
  <c r="M103" i="43"/>
  <c r="M106" i="43"/>
  <c r="G105" i="43"/>
  <c r="G103" i="43"/>
  <c r="G106" i="43"/>
  <c r="G109" i="43"/>
  <c r="G102" i="43"/>
  <c r="G107" i="43"/>
  <c r="G104" i="43"/>
  <c r="K103" i="43"/>
  <c r="K107" i="43"/>
  <c r="K104" i="43"/>
  <c r="K105" i="43"/>
  <c r="K109" i="43"/>
  <c r="K102" i="43"/>
  <c r="K106" i="43"/>
  <c r="E64" i="39"/>
  <c r="E59" i="40"/>
  <c r="AY6" i="3"/>
  <c r="E3" i="6"/>
  <c r="C19" i="71"/>
  <c r="T20" i="71"/>
  <c r="D20" i="71"/>
  <c r="U20" i="71" s="1"/>
  <c r="C60" i="71"/>
  <c r="D59" i="71"/>
  <c r="D51" i="71"/>
  <c r="C52" i="71"/>
  <c r="C22" i="71"/>
  <c r="D22" i="71" s="1"/>
  <c r="D23" i="71"/>
  <c r="F90" i="34"/>
  <c r="G90" i="34" s="1"/>
  <c r="H90" i="34" s="1"/>
  <c r="I90" i="34" s="1"/>
  <c r="J90" i="34" s="1"/>
  <c r="K90" i="34" s="1"/>
  <c r="L90" i="34" s="1"/>
  <c r="M90" i="34" s="1"/>
  <c r="AC38" i="40"/>
  <c r="W38" i="40"/>
  <c r="U34" i="35"/>
  <c r="AB34" i="35"/>
  <c r="E57" i="40"/>
  <c r="E62" i="39"/>
  <c r="AB36" i="35"/>
  <c r="U36" i="35"/>
  <c r="E16" i="6"/>
  <c r="B19" i="71"/>
  <c r="B18" i="71" s="1"/>
  <c r="B17" i="71" s="1"/>
  <c r="B16" i="71" s="1"/>
  <c r="S20" i="71"/>
  <c r="B62" i="71"/>
  <c r="N63" i="71"/>
  <c r="U39" i="40"/>
  <c r="AB39" i="40"/>
  <c r="AB38" i="40"/>
  <c r="U38" i="40"/>
  <c r="AA34" i="35"/>
  <c r="S34" i="35"/>
  <c r="AC34" i="35"/>
  <c r="W34" i="35"/>
  <c r="AC36" i="35"/>
  <c r="W36" i="35"/>
  <c r="AC9" i="34"/>
  <c r="W9" i="34"/>
  <c r="E11" i="71"/>
  <c r="E10" i="71" s="1"/>
  <c r="E9" i="71" s="1"/>
  <c r="E8" i="71" s="1"/>
  <c r="V12" i="71"/>
  <c r="D70" i="39"/>
  <c r="E68" i="39"/>
  <c r="J10" i="40"/>
  <c r="W10" i="40" s="1"/>
  <c r="H10" i="39"/>
  <c r="AB10" i="39" s="1"/>
  <c r="F10" i="40"/>
  <c r="AA10" i="40" s="1"/>
  <c r="C34" i="11"/>
  <c r="N16" i="1"/>
  <c r="L16" i="1"/>
  <c r="O16" i="1"/>
  <c r="P16" i="1"/>
  <c r="C11" i="12" s="1"/>
  <c r="J10" i="39"/>
  <c r="W10" i="39" s="1"/>
  <c r="H10" i="40"/>
  <c r="AB10" i="40"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AE6" i="1"/>
  <c r="AB41" i="33" l="1"/>
  <c r="U41" i="33"/>
  <c r="AA41" i="33"/>
  <c r="S41" i="33"/>
  <c r="K20" i="6"/>
  <c r="M20" i="6" s="1"/>
  <c r="I20" i="6" s="1"/>
  <c r="S20" i="6" s="1"/>
  <c r="K24" i="6"/>
  <c r="M24" i="6" s="1"/>
  <c r="I24" i="6" s="1"/>
  <c r="S24" i="6" s="1"/>
  <c r="K26" i="6"/>
  <c r="M26" i="6" s="1"/>
  <c r="I26" i="6" s="1"/>
  <c r="S26" i="6" s="1"/>
  <c r="K19" i="6"/>
  <c r="K21" i="6"/>
  <c r="M21" i="6" s="1"/>
  <c r="I21" i="6" s="1"/>
  <c r="S21" i="6" s="1"/>
  <c r="K22" i="6"/>
  <c r="M22" i="6" s="1"/>
  <c r="I22" i="6" s="1"/>
  <c r="S22" i="6" s="1"/>
  <c r="K25" i="6"/>
  <c r="M25" i="6" s="1"/>
  <c r="I25" i="6" s="1"/>
  <c r="S25" i="6" s="1"/>
  <c r="K23" i="6"/>
  <c r="M23" i="6" s="1"/>
  <c r="I23" i="6" s="1"/>
  <c r="S23" i="6" s="1"/>
  <c r="E31" i="6"/>
  <c r="I109" i="43"/>
  <c r="I106" i="43"/>
  <c r="I103" i="43"/>
  <c r="I102" i="43"/>
  <c r="I105" i="43"/>
  <c r="I107" i="43"/>
  <c r="I104" i="43"/>
  <c r="C107" i="43"/>
  <c r="C104" i="43"/>
  <c r="C105" i="43"/>
  <c r="C109" i="43"/>
  <c r="C103" i="43"/>
  <c r="C102" i="43"/>
  <c r="C106" i="43"/>
  <c r="G39" i="43"/>
  <c r="I39" i="43" s="1"/>
  <c r="G37" i="43"/>
  <c r="I37" i="43" s="1"/>
  <c r="Q61" i="15"/>
  <c r="G36" i="43"/>
  <c r="I36" i="43" s="1"/>
  <c r="S7" i="43"/>
  <c r="T7" i="43" s="1"/>
  <c r="V7" i="43" s="1"/>
  <c r="S4" i="43"/>
  <c r="T4" i="43" s="1"/>
  <c r="V4" i="43" s="1"/>
  <c r="D113" i="43"/>
  <c r="C23" i="43"/>
  <c r="C21" i="43" s="1"/>
  <c r="C29" i="43" s="1"/>
  <c r="S6" i="43"/>
  <c r="T6" i="43" s="1"/>
  <c r="V6" i="43" s="1"/>
  <c r="S3" i="43"/>
  <c r="T3" i="43" s="1"/>
  <c r="V3" i="43" s="1"/>
  <c r="S2" i="43"/>
  <c r="T2" i="43" s="1"/>
  <c r="V2" i="43" s="1"/>
  <c r="C26" i="43" s="1"/>
  <c r="S10" i="40"/>
  <c r="U7" i="37"/>
  <c r="C38" i="69"/>
  <c r="E66" i="39"/>
  <c r="AC6" i="3"/>
  <c r="E6" i="3" s="1"/>
  <c r="C29" i="69"/>
  <c r="D27" i="69" s="1"/>
  <c r="C47" i="69"/>
  <c r="D45" i="69" s="1"/>
  <c r="F45" i="69"/>
  <c r="U10" i="39"/>
  <c r="U10" i="40"/>
  <c r="E7" i="71"/>
  <c r="E6" i="71" s="1"/>
  <c r="E5" i="71" s="1"/>
  <c r="V8" i="71"/>
  <c r="N61" i="71"/>
  <c r="N62" i="71"/>
  <c r="B15" i="71"/>
  <c r="B14" i="71" s="1"/>
  <c r="B13" i="71" s="1"/>
  <c r="B12" i="71" s="1"/>
  <c r="S16" i="71"/>
  <c r="T52" i="71"/>
  <c r="D52" i="71"/>
  <c r="C18" i="71"/>
  <c r="D19" i="71"/>
  <c r="D3" i="21"/>
  <c r="D19" i="11"/>
  <c r="C19" i="11" s="1"/>
  <c r="C20" i="11" s="1"/>
  <c r="C28" i="11" s="1"/>
  <c r="C27" i="11" s="1"/>
  <c r="C17" i="4"/>
  <c r="B4" i="52" s="1"/>
  <c r="B43" i="72" s="1"/>
  <c r="D37" i="11"/>
  <c r="C37" i="11" s="1"/>
  <c r="D14" i="12"/>
  <c r="M18" i="9"/>
  <c r="B118" i="9" s="1"/>
  <c r="B14" i="74" s="1"/>
  <c r="B1" i="74" s="1"/>
  <c r="D3" i="33"/>
  <c r="E6" i="6"/>
  <c r="L18" i="9"/>
  <c r="D3" i="37"/>
  <c r="T60" i="71"/>
  <c r="D60" i="71"/>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F68" i="39"/>
  <c r="E70" i="39"/>
  <c r="C38" i="11"/>
  <c r="C35" i="11"/>
  <c r="F50" i="68"/>
  <c r="F50" i="11"/>
  <c r="F50" i="69"/>
  <c r="C15" i="12"/>
  <c r="C12" i="12"/>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S6" i="1" l="1"/>
  <c r="M19" i="6"/>
  <c r="K27" i="6"/>
  <c r="C30" i="43"/>
  <c r="E30" i="43" s="1"/>
  <c r="C27" i="43" s="1"/>
  <c r="E29" i="43"/>
  <c r="D20" i="12"/>
  <c r="C20" i="12" s="1"/>
  <c r="D10" i="11"/>
  <c r="C10" i="11" s="1"/>
  <c r="D10" i="69"/>
  <c r="C8" i="74"/>
  <c r="C7" i="74"/>
  <c r="D19" i="6"/>
  <c r="D26" i="6"/>
  <c r="C18" i="4"/>
  <c r="D8" i="6"/>
  <c r="D23" i="6"/>
  <c r="D20" i="6"/>
  <c r="D5" i="6"/>
  <c r="D12" i="6"/>
  <c r="D11" i="6"/>
  <c r="D13" i="6"/>
  <c r="D28" i="6"/>
  <c r="E61" i="40"/>
  <c r="M19" i="9"/>
  <c r="C118" i="9" s="1"/>
  <c r="C14" i="74" s="1"/>
  <c r="B2" i="74" s="1"/>
  <c r="D25" i="6"/>
  <c r="D15" i="6"/>
  <c r="D22" i="6"/>
  <c r="D21" i="6"/>
  <c r="D24" i="6"/>
  <c r="D6" i="6"/>
  <c r="D9" i="6"/>
  <c r="D10" i="6"/>
  <c r="L19" i="9"/>
  <c r="D29" i="6"/>
  <c r="D14" i="6"/>
  <c r="H25" i="6"/>
  <c r="H21" i="6"/>
  <c r="H24" i="6"/>
  <c r="H23" i="6"/>
  <c r="H22" i="6"/>
  <c r="H26" i="6"/>
  <c r="R26" i="6" s="1"/>
  <c r="H20" i="6"/>
  <c r="D17" i="12"/>
  <c r="C17" i="12" s="1"/>
  <c r="C14" i="12"/>
  <c r="C16" i="12" s="1"/>
  <c r="C17" i="71"/>
  <c r="D18" i="71"/>
  <c r="B11" i="71"/>
  <c r="B10" i="71" s="1"/>
  <c r="B9" i="71" s="1"/>
  <c r="B8" i="71" s="1"/>
  <c r="S12" i="71"/>
  <c r="F69" i="15"/>
  <c r="J29" i="15"/>
  <c r="F70" i="39"/>
  <c r="G68" i="39"/>
  <c r="C33" i="11"/>
  <c r="C39" i="11" s="1"/>
  <c r="C46" i="11" s="1"/>
  <c r="C45" i="11"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D10" i="68"/>
  <c r="I19" i="6" l="1"/>
  <c r="M27" i="6"/>
  <c r="E6" i="70"/>
  <c r="E2" i="70" s="1"/>
  <c r="AR6" i="1"/>
  <c r="S16" i="1"/>
  <c r="AQ6" i="1"/>
  <c r="T6" i="1"/>
  <c r="E2" i="76"/>
  <c r="R20" i="6"/>
  <c r="R22" i="6"/>
  <c r="R24" i="6"/>
  <c r="R25" i="6"/>
  <c r="B7" i="71"/>
  <c r="B6" i="71" s="1"/>
  <c r="B5" i="71" s="1"/>
  <c r="S8" i="71"/>
  <c r="D17" i="71"/>
  <c r="C16" i="71"/>
  <c r="R23" i="6"/>
  <c r="R21" i="6"/>
  <c r="D16" i="6"/>
  <c r="C10" i="69"/>
  <c r="C8" i="69" s="1"/>
  <c r="C5" i="69" s="1"/>
  <c r="D19" i="69"/>
  <c r="D8" i="74"/>
  <c r="D7" i="74"/>
  <c r="D30" i="6"/>
  <c r="A7" i="51"/>
  <c r="B7" i="72" s="1"/>
  <c r="A10" i="51"/>
  <c r="B9" i="72" s="1"/>
  <c r="C4" i="52"/>
  <c r="B45" i="72" s="1"/>
  <c r="D27" i="6"/>
  <c r="D31" i="6" s="1"/>
  <c r="C10" i="68"/>
  <c r="D19" i="68"/>
  <c r="R30" i="31"/>
  <c r="S30" i="31" s="1"/>
  <c r="R29" i="31"/>
  <c r="S29" i="31" s="1"/>
  <c r="R28" i="31"/>
  <c r="S28" i="31" s="1"/>
  <c r="R31" i="31"/>
  <c r="S31" i="31" s="1"/>
  <c r="R27" i="31"/>
  <c r="S27" i="31" s="1"/>
  <c r="H68" i="39"/>
  <c r="G70" i="39"/>
  <c r="B3" i="34"/>
  <c r="C42" i="11"/>
  <c r="C43" i="11"/>
  <c r="G65" i="40"/>
  <c r="H63" i="40"/>
  <c r="C43" i="37"/>
  <c r="B2" i="37" s="1"/>
  <c r="B3" i="37" s="1"/>
  <c r="C42" i="37"/>
  <c r="I48" i="35"/>
  <c r="C48" i="33"/>
  <c r="C49" i="33"/>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7" i="15"/>
  <c r="B2" i="33" l="1"/>
  <c r="B3" i="33" s="1"/>
  <c r="T16" i="1"/>
  <c r="H19" i="6"/>
  <c r="S19" i="6"/>
  <c r="S27" i="6" s="1"/>
  <c r="I27" i="6"/>
  <c r="C8" i="68"/>
  <c r="B29" i="1"/>
  <c r="C18" i="12" s="1"/>
  <c r="C21" i="12" s="1"/>
  <c r="C22" i="12" s="1"/>
  <c r="C27" i="12" s="1"/>
  <c r="C25" i="12" s="1"/>
  <c r="B3" i="76"/>
  <c r="C19" i="68"/>
  <c r="D37" i="68"/>
  <c r="C37" i="68" s="1"/>
  <c r="I6" i="6"/>
  <c r="C11" i="39" s="1"/>
  <c r="I5" i="6"/>
  <c r="C23" i="69"/>
  <c r="C15" i="71"/>
  <c r="T16" i="71"/>
  <c r="D16" i="71"/>
  <c r="U16" i="71" s="1"/>
  <c r="C19" i="69"/>
  <c r="C24" i="69" s="1"/>
  <c r="D37" i="69"/>
  <c r="C37" i="69" s="1"/>
  <c r="C33" i="69" s="1"/>
  <c r="H70" i="39"/>
  <c r="I68" i="39"/>
  <c r="C41" i="11"/>
  <c r="C49" i="11" s="1"/>
  <c r="C51" i="11" s="1"/>
  <c r="C52" i="11" s="1"/>
  <c r="B2" i="11" s="1"/>
  <c r="B3" i="11" s="1"/>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C14" i="15"/>
  <c r="C34" i="68"/>
  <c r="L51" i="67"/>
  <c r="C30" i="12" l="1"/>
  <c r="C28" i="12" s="1"/>
  <c r="C32" i="12" s="1"/>
  <c r="B2" i="12" s="1"/>
  <c r="B3" i="12" s="1"/>
  <c r="H11" i="39"/>
  <c r="J11" i="39"/>
  <c r="F11" i="39"/>
  <c r="R19" i="6"/>
  <c r="H27" i="6"/>
  <c r="C15" i="15"/>
  <c r="C18" i="15"/>
  <c r="C35" i="68"/>
  <c r="C38" i="68"/>
  <c r="S24" i="85"/>
  <c r="R26" i="85"/>
  <c r="S26" i="85" s="1"/>
  <c r="R25" i="85"/>
  <c r="S25" i="85" s="1"/>
  <c r="C39" i="69"/>
  <c r="C43" i="69" s="1"/>
  <c r="C42" i="69"/>
  <c r="C14" i="71"/>
  <c r="D15" i="71"/>
  <c r="C20" i="69"/>
  <c r="C24" i="68"/>
  <c r="J68" i="39"/>
  <c r="I70"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19" i="15" l="1"/>
  <c r="C20" i="15" s="1"/>
  <c r="C26" i="15" s="1"/>
  <c r="S22" i="85"/>
  <c r="C33" i="68"/>
  <c r="R27" i="6"/>
  <c r="R6" i="1"/>
  <c r="AA11" i="39"/>
  <c r="S11" i="39"/>
  <c r="W11" i="39"/>
  <c r="AC11" i="39"/>
  <c r="AB11" i="39"/>
  <c r="U11" i="39"/>
  <c r="C41" i="69"/>
  <c r="C46" i="69"/>
  <c r="C45" i="69" s="1"/>
  <c r="C28" i="69"/>
  <c r="C27" i="69" s="1"/>
  <c r="C25" i="69"/>
  <c r="C22" i="69" s="1"/>
  <c r="C13" i="71"/>
  <c r="D14" i="71"/>
  <c r="J7" i="35"/>
  <c r="AC7" i="35" s="1"/>
  <c r="V38" i="35" s="1"/>
  <c r="I38" i="35" s="1"/>
  <c r="K68" i="39"/>
  <c r="J70" i="39"/>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23" i="15" l="1"/>
  <c r="C29" i="15" s="1"/>
  <c r="J59" i="15" s="1"/>
  <c r="J60" i="15" s="1"/>
  <c r="R16" i="1"/>
  <c r="C39" i="68"/>
  <c r="C42" i="68"/>
  <c r="R22" i="85"/>
  <c r="B20" i="85"/>
  <c r="B21" i="85" s="1"/>
  <c r="C49" i="69"/>
  <c r="C51" i="69" s="1"/>
  <c r="W7" i="35"/>
  <c r="C31" i="69"/>
  <c r="D13" i="71"/>
  <c r="C12" i="71"/>
  <c r="L68" i="39"/>
  <c r="K70"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F35" i="15"/>
  <c r="M21" i="15"/>
  <c r="J20" i="15" l="1"/>
  <c r="C36" i="15"/>
  <c r="J19" i="15"/>
  <c r="J17" i="15" s="1"/>
  <c r="Q49" i="15"/>
  <c r="J14" i="15"/>
  <c r="J22" i="15" s="1"/>
  <c r="C13" i="15"/>
  <c r="C75" i="15" s="1"/>
  <c r="C57" i="15"/>
  <c r="C61" i="15" s="1"/>
  <c r="C46" i="68"/>
  <c r="C45" i="68" s="1"/>
  <c r="C43" i="68"/>
  <c r="C41" i="68" s="1"/>
  <c r="C56" i="15"/>
  <c r="C65" i="15" s="1"/>
  <c r="Q48" i="15"/>
  <c r="L46" i="15"/>
  <c r="C34" i="15"/>
  <c r="C31" i="15" s="1"/>
  <c r="F63" i="15"/>
  <c r="C62" i="15" s="1"/>
  <c r="C52" i="69"/>
  <c r="B2" i="69" s="1"/>
  <c r="B3" i="69" s="1"/>
  <c r="C11" i="71"/>
  <c r="T12" i="71"/>
  <c r="D12" i="71"/>
  <c r="U12" i="71" s="1"/>
  <c r="L70" i="39"/>
  <c r="M68" i="39"/>
  <c r="R39" i="35"/>
  <c r="E38" i="35"/>
  <c r="M63" i="40"/>
  <c r="L65" i="40"/>
  <c r="Q70" i="15" l="1"/>
  <c r="C37" i="15"/>
  <c r="C49" i="68"/>
  <c r="C51" i="68" s="1"/>
  <c r="J13" i="15"/>
  <c r="J23" i="15" s="1"/>
  <c r="C64" i="15"/>
  <c r="J16" i="15"/>
  <c r="J25" i="15" s="1"/>
  <c r="C59" i="15"/>
  <c r="C58" i="15" s="1"/>
  <c r="C67" i="15" s="1"/>
  <c r="C68" i="15" s="1"/>
  <c r="C71" i="15" s="1"/>
  <c r="C30" i="15"/>
  <c r="C39" i="15" s="1"/>
  <c r="Q69" i="15" s="1"/>
  <c r="C40" i="15"/>
  <c r="C57" i="69"/>
  <c r="C56" i="69" s="1"/>
  <c r="D11" i="71"/>
  <c r="C10" i="71"/>
  <c r="M70" i="39"/>
  <c r="N68" i="39"/>
  <c r="C39" i="35"/>
  <c r="B2" i="35" s="1"/>
  <c r="B3" i="35" s="1"/>
  <c r="C38" i="35"/>
  <c r="N63" i="40"/>
  <c r="M65" i="40"/>
  <c r="E43" i="35"/>
  <c r="F43" i="35" s="1"/>
  <c r="E42" i="35"/>
  <c r="F42" i="35" s="1"/>
  <c r="I43" i="35"/>
  <c r="J43" i="35" s="1"/>
  <c r="L51" i="15"/>
  <c r="Q68" i="15" l="1"/>
  <c r="Q67" i="15"/>
  <c r="C80" i="15"/>
  <c r="C79" i="15" s="1"/>
  <c r="Q56" i="15"/>
  <c r="Q62" i="15" s="1"/>
  <c r="C43" i="15"/>
  <c r="C83" i="15"/>
  <c r="C82" i="15" s="1"/>
  <c r="B2" i="15"/>
  <c r="Q47" i="15"/>
  <c r="Q53" i="15" s="1"/>
  <c r="Q65" i="15"/>
  <c r="Q75" i="15" s="1"/>
  <c r="C46" i="15"/>
  <c r="D10" i="71"/>
  <c r="C9" i="71"/>
  <c r="N70" i="39"/>
  <c r="O68" i="39"/>
  <c r="O70" i="39" s="1"/>
  <c r="H7" i="39" s="1"/>
  <c r="O63" i="40"/>
  <c r="O65" i="40" s="1"/>
  <c r="N65" i="40"/>
  <c r="F7" i="39" l="1"/>
  <c r="B3" i="15"/>
  <c r="C8" i="71"/>
  <c r="D9" i="71"/>
  <c r="AB7" i="39"/>
  <c r="T47" i="39" s="1"/>
  <c r="G47" i="39" s="1"/>
  <c r="U7" i="39"/>
  <c r="S7" i="39"/>
  <c r="AA7" i="39"/>
  <c r="R47" i="39" s="1"/>
  <c r="J7" i="39"/>
  <c r="J7" i="40"/>
  <c r="F7" i="40"/>
  <c r="H7" i="40"/>
  <c r="D20" i="9"/>
  <c r="D19" i="9"/>
  <c r="AO6" i="1"/>
  <c r="D35" i="9"/>
  <c r="D34" i="9"/>
  <c r="B6" i="70" l="1"/>
  <c r="B2" i="70" s="1"/>
  <c r="B3" i="70" s="1"/>
  <c r="D21" i="9"/>
  <c r="D102" i="9"/>
  <c r="D103" i="9"/>
  <c r="C7" i="71"/>
  <c r="T8" i="71"/>
  <c r="D8" i="71"/>
  <c r="U8" i="71" s="1"/>
  <c r="E47" i="39"/>
  <c r="AC7" i="39"/>
  <c r="V47" i="39" s="1"/>
  <c r="I47" i="39" s="1"/>
  <c r="G52" i="39" s="1"/>
  <c r="H52" i="39" s="1"/>
  <c r="W7" i="39"/>
  <c r="G51" i="39"/>
  <c r="H51" i="39" s="1"/>
  <c r="U7" i="40"/>
  <c r="AB7" i="40"/>
  <c r="T42" i="40" s="1"/>
  <c r="G42" i="40" s="1"/>
  <c r="AA7" i="40"/>
  <c r="R42" i="40" s="1"/>
  <c r="S7" i="40"/>
  <c r="AC7" i="40"/>
  <c r="V42" i="40" s="1"/>
  <c r="I42" i="40" s="1"/>
  <c r="W7" i="40"/>
  <c r="R48" i="39" l="1"/>
  <c r="C47" i="39" s="1"/>
  <c r="C6" i="71"/>
  <c r="D7" i="71"/>
  <c r="I52" i="39"/>
  <c r="J52" i="39" s="1"/>
  <c r="I51" i="39"/>
  <c r="J51" i="39" s="1"/>
  <c r="E51" i="39"/>
  <c r="F51" i="39" s="1"/>
  <c r="E52" i="39"/>
  <c r="F52" i="39" s="1"/>
  <c r="I46" i="40"/>
  <c r="J46" i="40" s="1"/>
  <c r="R43" i="40"/>
  <c r="E42" i="40"/>
  <c r="G47" i="40"/>
  <c r="H47" i="40" s="1"/>
  <c r="G46" i="40"/>
  <c r="H46" i="40" s="1"/>
  <c r="C48" i="39" l="1"/>
  <c r="D6" i="71"/>
  <c r="C5" i="71"/>
  <c r="C42" i="40"/>
  <c r="C43" i="40"/>
  <c r="E47" i="40"/>
  <c r="F47" i="40" s="1"/>
  <c r="E46" i="40"/>
  <c r="F46" i="40" s="1"/>
  <c r="I47" i="40"/>
  <c r="J47" i="40" s="1"/>
  <c r="B64" i="39" l="1"/>
  <c r="F64" i="39" s="1"/>
  <c r="R24" i="31"/>
  <c r="B62" i="39"/>
  <c r="F62" i="39" s="1"/>
  <c r="B60" i="39"/>
  <c r="F60" i="39" s="1"/>
  <c r="B59" i="39"/>
  <c r="F59" i="39" s="1"/>
  <c r="B61" i="39"/>
  <c r="F61" i="39" s="1"/>
  <c r="B58" i="39"/>
  <c r="F58" i="39" s="1"/>
  <c r="B56" i="39"/>
  <c r="F56" i="39" s="1"/>
  <c r="B63" i="39"/>
  <c r="F63" i="39" s="1"/>
  <c r="B65" i="39"/>
  <c r="F65" i="39" s="1"/>
  <c r="B57" i="39"/>
  <c r="F57" i="39" s="1"/>
  <c r="D5" i="7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26" i="31"/>
  <c r="S26" i="31" s="1"/>
  <c r="R25" i="31"/>
  <c r="S25" i="31" s="1"/>
  <c r="F66" i="39"/>
  <c r="B2" i="39" s="1"/>
  <c r="B3" i="39" s="1"/>
  <c r="S22" i="31" l="1"/>
  <c r="C6" i="68" l="1"/>
  <c r="R22" i="31"/>
  <c r="B20" i="31"/>
  <c r="B21" i="31" s="1"/>
  <c r="C7" i="68" l="1"/>
  <c r="C5" i="68"/>
  <c r="C23" i="68" l="1"/>
  <c r="C20" i="68"/>
  <c r="C25" i="68" s="1"/>
  <c r="C28" i="68" l="1"/>
  <c r="C27" i="68" s="1"/>
  <c r="C22" i="68"/>
  <c r="C31" i="68" l="1"/>
  <c r="C52" i="68" s="1"/>
  <c r="B2" i="68" s="1"/>
  <c r="C19" i="9"/>
  <c r="B3" i="68"/>
  <c r="C20" i="9" s="1"/>
  <c r="C57" i="68" l="1"/>
  <c r="C56" i="68" s="1"/>
  <c r="C103" i="9"/>
  <c r="G20" i="9"/>
  <c r="C21" i="9"/>
  <c r="C102" i="9"/>
  <c r="G19" i="9"/>
  <c r="D22" i="9"/>
  <c r="C32" i="9" l="1"/>
  <c r="G21" i="9"/>
  <c r="C35" i="9" l="1"/>
  <c r="H118" i="9"/>
  <c r="H4" i="52" l="1"/>
  <c r="H101" i="9"/>
  <c r="H119" i="9"/>
  <c r="H5" i="52" s="1"/>
  <c r="I118" i="9"/>
  <c r="C104" i="9"/>
  <c r="D14" i="74"/>
  <c r="C34" i="9"/>
  <c r="D118" i="9" s="1"/>
  <c r="F118" i="9"/>
  <c r="F119" i="9" l="1"/>
  <c r="F5" i="52" s="1"/>
  <c r="B53" i="72" s="1"/>
  <c r="F4" i="52"/>
  <c r="B51" i="72" s="1"/>
  <c r="G118" i="9"/>
  <c r="G4" i="52" s="1"/>
  <c r="B52" i="72" s="1"/>
  <c r="E14" i="74"/>
  <c r="B5" i="74"/>
  <c r="F14" i="74"/>
  <c r="C105" i="9"/>
  <c r="I4" i="52"/>
  <c r="H102" i="9"/>
  <c r="D7" i="53" s="1"/>
  <c r="B21" i="72" s="1"/>
  <c r="D5" i="53"/>
  <c r="D45" i="9"/>
  <c r="M48" i="9"/>
  <c r="H107" i="9"/>
  <c r="D4" i="52"/>
  <c r="B47" i="72" s="1"/>
  <c r="D119" i="9"/>
  <c r="D5" i="52" s="1"/>
  <c r="B49" i="72" s="1"/>
  <c r="E118" i="9" l="1"/>
  <c r="E4" i="52" s="1"/>
  <c r="B48" i="72" s="1"/>
  <c r="M49" i="9"/>
  <c r="H108" i="9"/>
  <c r="D15" i="53" s="1"/>
  <c r="B31" i="72" s="1"/>
  <c r="D122" i="9"/>
  <c r="D13" i="53"/>
  <c r="D52" i="9"/>
  <c r="C72" i="9"/>
  <c r="D55" i="9"/>
  <c r="M53" i="9" s="1"/>
  <c r="C85" i="9"/>
  <c r="C64" i="9"/>
  <c r="C63" i="9" s="1"/>
  <c r="C67" i="9" s="1"/>
  <c r="D53" i="9"/>
  <c r="C78" i="9"/>
  <c r="C73" i="9" s="1"/>
  <c r="C93" i="9"/>
  <c r="C86" i="9" s="1"/>
  <c r="D6" i="53"/>
  <c r="B22" i="72" s="1"/>
  <c r="B20" i="72"/>
  <c r="C5" i="74"/>
  <c r="D5" i="74"/>
  <c r="C79" i="9" l="1"/>
  <c r="C95" i="9"/>
  <c r="C80" i="9"/>
  <c r="E80" i="9" s="1"/>
  <c r="E81" i="9" s="1"/>
  <c r="D14" i="53"/>
  <c r="B32" i="72" s="1"/>
  <c r="B30" i="72"/>
  <c r="D59" i="9"/>
  <c r="M55" i="9" s="1"/>
  <c r="C68" i="9"/>
  <c r="D54" i="9" s="1"/>
  <c r="D123" i="9"/>
  <c r="D9" i="52" s="1"/>
  <c r="D8" i="52"/>
  <c r="G14" i="74"/>
  <c r="B6" i="74" s="1"/>
  <c r="L67" i="9"/>
  <c r="M67" i="9" s="1"/>
  <c r="L68" i="9"/>
  <c r="M68" i="9" s="1"/>
  <c r="L66" i="9"/>
  <c r="M66" i="9" s="1"/>
  <c r="L64" i="9"/>
  <c r="M64" i="9" s="1"/>
  <c r="L63" i="9"/>
  <c r="M63" i="9" s="1"/>
  <c r="L65" i="9"/>
  <c r="M65" i="9" s="1"/>
  <c r="C6" i="74" l="1"/>
  <c r="D6" i="74"/>
  <c r="M69" i="9"/>
  <c r="N69" i="9" s="1"/>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<sst xmlns="http://schemas.openxmlformats.org/spreadsheetml/2006/main" count="7776" uniqueCount="3289">
  <si>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</si>
  <si>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</si>
  <si>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</si>
  <si>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</si>
  <si>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</si>
  <si>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</si>
  <si>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</si>
  <si>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</si>
  <si>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</si>
  <si>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</si>
  <si>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</si>
  <si>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</si>
  <si>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</si>
  <si>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</si>
  <si>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</si>
  <si>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</si>
  <si>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</si>
  <si>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</si>
  <si>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</si>
  <si>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</si>
  <si>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</si>
  <si>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</si>
  <si>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</si>
  <si>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</si>
  <si>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</si>
  <si>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</si>
  <si>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</si>
  <si>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</si>
  <si>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</si>
  <si>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</si>
  <si>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</si>
  <si>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</si>
  <si>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</si>
  <si>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</si>
  <si>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</si>
  <si>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</si>
  <si>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</si>
  <si>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</si>
  <si>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</si>
  <si>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</si>
  <si>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</si>
  <si>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</si>
  <si>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</si>
  <si>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</si>
  <si>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</si>
  <si>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</si>
  <si>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</si>
  <si>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</si>
  <si>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</si>
  <si>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</si>
  <si>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</si>
  <si>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</si>
  <si>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</si>
  <si>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</si>
  <si>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</si>
  <si>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</si>
  <si>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</si>
  <si>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</si>
  <si>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</si>
  <si>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</si>
  <si>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</si>
  <si>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</si>
  <si>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</si>
  <si>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</si>
  <si>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</si>
  <si>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</si>
  <si>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</si>
  <si>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</si>
  <si>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</si>
  <si>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</si>
  <si>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</si>
  <si>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</si>
  <si>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</si>
  <si>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</si>
  <si>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</si>
  <si>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</si>
  <si>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</si>
  <si>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</si>
  <si>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</si>
  <si>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</si>
  <si>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</si>
  <si>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</si>
  <si>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</si>
  <si>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</si>
  <si>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</si>
  <si>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</si>
  <si>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</si>
  <si>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</si>
  <si>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</si>
  <si>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</si>
  <si>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</si>
  <si>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</si>
  <si>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</si>
  <si>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</si>
  <si>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</si>
  <si>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</si>
  <si>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</si>
  <si>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</si>
  <si>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</si>
  <si>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</si>
  <si>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</si>
  <si>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</si>
  <si>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</si>
  <si>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</si>
  <si>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</si>
  <si>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</si>
  <si>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</si>
  <si>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</si>
  <si>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</si>
  <si>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</si>
  <si>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</si>
  <si>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</si>
  <si>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</si>
  <si>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</si>
  <si>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</si>
  <si>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</si>
  <si>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</si>
  <si>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</si>
  <si>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</si>
  <si>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</si>
  <si>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</si>
  <si>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</si>
  <si>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</si>
  <si>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</si>
  <si>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</si>
  <si>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</si>
  <si>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</si>
  <si>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</si>
  <si>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</si>
  <si>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</si>
  <si>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</si>
  <si>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</si>
  <si>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</si>
  <si>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</si>
  <si>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</si>
  <si>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</si>
  <si>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</si>
  <si>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</si>
  <si>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</si>
  <si>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</si>
  <si>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</si>
  <si>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</si>
  <si>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</si>
  <si>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</si>
  <si>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</si>
  <si>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</si>
  <si>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</si>
  <si>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</si>
  <si>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</si>
  <si>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</si>
  <si>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</si>
  <si>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</si>
  <si>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</si>
  <si>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</si>
  <si>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</si>
  <si>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</si>
  <si>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</si>
  <si>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</si>
  <si>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</si>
  <si>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</si>
  <si>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</si>
  <si>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</si>
  <si>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</si>
  <si>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</si>
  <si>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</si>
  <si>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</si>
  <si>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</si>
  <si>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</si>
  <si>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</si>
  <si>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</si>
  <si>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</si>
  <si>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</si>
  <si>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</si>
  <si>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</si>
  <si>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</si>
  <si>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</si>
  <si>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</si>
  <si>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</si>
  <si>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</si>
  <si>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</si>
  <si>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</si>
  <si>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</si>
  <si>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</si>
  <si>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</si>
  <si>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</si>
  <si>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</si>
  <si>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</si>
  <si>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</si>
  <si>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</si>
  <si>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</si>
  <si>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</si>
  <si>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</si>
  <si>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</si>
  <si>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</si>
  <si>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</si>
  <si>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</si>
  <si>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</si>
  <si>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</si>
  <si>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</si>
  <si>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</si>
  <si>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</si>
  <si>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</si>
  <si>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</si>
  <si>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</si>
  <si>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</si>
  <si>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</si>
  <si>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</si>
  <si>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</si>
  <si>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</si>
  <si>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</si>
  <si>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</si>
  <si>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</si>
  <si>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</si>
  <si>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</si>
  <si>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</si>
  <si>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</si>
  <si>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</si>
  <si>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</si>
  <si>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</si>
  <si>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</si>
  <si>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</si>
  <si>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</si>
  <si>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</si>
  <si>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</si>
  <si>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</si>
  <si>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</si>
  <si>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</si>
  <si>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</si>
  <si>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</si>
  <si>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</si>
  <si>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</si>
  <si>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</si>
  <si>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</si>
  <si>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</si>
  <si>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</si>
  <si>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</si>
  <si>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</si>
  <si>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</si>
  <si>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</si>
  <si>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</si>
  <si>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</si>
  <si>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</si>
  <si>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</si>
  <si>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</si>
  <si>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</si>
  <si>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</si>
  <si>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</si>
  <si>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</si>
  <si>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</si>
  <si>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</si>
  <si>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</si>
  <si>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</si>
  <si>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</si>
  <si>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</si>
  <si>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</si>
  <si>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</si>
  <si>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</si>
  <si>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</si>
  <si>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</si>
  <si>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</si>
  <si>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</si>
  <si>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</si>
  <si>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</si>
  <si>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</si>
  <si>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</si>
  <si>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</si>
  <si>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</si>
  <si>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</si>
  <si>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</si>
  <si>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</si>
  <si>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</si>
  <si>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</si>
  <si>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</si>
  <si>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</si>
  <si>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</si>
  <si>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</si>
  <si>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</si>
  <si>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</si>
  <si>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</si>
  <si>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</si>
  <si>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</si>
  <si>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</si>
  <si>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</si>
  <si>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</si>
  <si>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</si>
  <si>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</si>
  <si>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</si>
  <si>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</si>
  <si>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</si>
  <si>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</si>
  <si>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</si>
  <si>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</si>
  <si>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</si>
  <si>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</si>
  <si>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</si>
  <si>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</si>
  <si>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</si>
  <si>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</si>
  <si>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</si>
  <si>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</si>
  <si>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</si>
  <si>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</si>
  <si>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</si>
  <si>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</si>
  <si>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</si>
  <si>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</si>
  <si>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</si>
  <si>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</si>
  <si>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</si>
  <si>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</si>
  <si>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</si>
  <si>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</si>
  <si>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</si>
  <si>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</si>
  <si>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</si>
  <si>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</si>
  <si>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</si>
  <si>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</si>
  <si>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</si>
  <si>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</si>
  <si>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</si>
  <si>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</si>
  <si>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</si>
  <si>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</si>
  <si>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</si>
  <si>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</si>
  <si>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</si>
  <si>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</si>
  <si>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</si>
  <si>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</si>
  <si>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</si>
  <si>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</si>
  <si>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</si>
  <si>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</si>
  <si>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</si>
  <si>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</si>
  <si>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</si>
  <si>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</si>
  <si>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</si>
  <si>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</si>
  <si>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</si>
  <si>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</si>
  <si>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</si>
  <si>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</si>
  <si>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</si>
  <si>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</si>
  <si>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</si>
  <si>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</si>
  <si>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</si>
  <si>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</si>
  <si>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</si>
  <si>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</si>
  <si>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</si>
  <si>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</si>
  <si>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</si>
  <si>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</si>
  <si>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</si>
  <si>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</si>
  <si>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</si>
  <si>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</si>
  <si>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</si>
  <si>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</si>
  <si>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</si>
  <si>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</si>
  <si>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</si>
  <si>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</si>
  <si>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</si>
  <si>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</si>
  <si>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</si>
  <si>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</si>
  <si>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</si>
  <si>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</si>
  <si>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</si>
  <si>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</si>
  <si>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</si>
  <si>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</si>
  <si>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</si>
  <si>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</si>
  <si>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</si>
  <si>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</si>
  <si>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</si>
  <si>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</si>
  <si>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</si>
  <si>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</si>
  <si>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</si>
  <si>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</si>
  <si>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</si>
  <si>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</si>
  <si>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</si>
  <si>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</si>
  <si>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</si>
  <si>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</si>
  <si>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</si>
  <si>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</si>
  <si>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</si>
  <si>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</si>
  <si>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</si>
  <si>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</si>
  <si>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</si>
  <si>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</si>
  <si>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</si>
  <si>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</si>
  <si>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</si>
  <si>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</si>
  <si>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</si>
  <si>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</si>
  <si>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</si>
  <si>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</si>
  <si>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</si>
  <si>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</si>
  <si>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</si>
  <si>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</si>
  <si>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</si>
  <si>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</si>
  <si>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</si>
  <si>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</si>
  <si>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</si>
  <si>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</si>
  <si>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</si>
  <si>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</si>
  <si>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</si>
  <si>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</si>
  <si>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</si>
  <si>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</si>
  <si>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</si>
  <si>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</si>
  <si>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</si>
  <si>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</si>
  <si>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</si>
  <si>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</si>
  <si>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</si>
  <si>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</si>
  <si>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</si>
  <si>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</si>
  <si>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</si>
  <si>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</si>
  <si>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</si>
  <si>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</si>
  <si>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</si>
  <si>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</si>
  <si>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</si>
  <si>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</si>
  <si>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</si>
  <si>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</si>
  <si>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</si>
  <si>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</si>
  <si>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</si>
  <si>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</si>
  <si>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</si>
  <si>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</si>
  <si>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</si>
  <si>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</si>
  <si>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</si>
  <si>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</si>
  <si>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</si>
  <si>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</si>
  <si>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</si>
  <si>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</si>
  <si>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</si>
  <si>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</si>
  <si>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</si>
  <si>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</si>
  <si>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</si>
  <si>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</si>
  <si>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</si>
  <si>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</si>
  <si>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</si>
  <si>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</si>
  <si>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</si>
  <si>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</si>
  <si>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</si>
  <si>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</si>
  <si>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</si>
  <si>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</si>
  <si>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</si>
  <si>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</si>
  <si>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</si>
  <si>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</si>
  <si>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</si>
  <si>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</si>
  <si>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</si>
  <si>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</si>
  <si>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</si>
  <si>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</si>
  <si>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</si>
  <si>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</si>
  <si>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</si>
  <si>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</si>
  <si>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</si>
  <si>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</si>
  <si>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</si>
  <si>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</si>
  <si>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</si>
  <si>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</si>
  <si>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</si>
  <si>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</si>
  <si>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</si>
  <si>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</si>
  <si>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</si>
  <si>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</si>
  <si>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</si>
  <si>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</si>
  <si>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</si>
  <si>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</si>
  <si>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</si>
  <si>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</si>
  <si>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</si>
  <si>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</si>
  <si>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</si>
  <si>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</si>
  <si>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</si>
  <si>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</si>
  <si>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</si>
  <si>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</si>
  <si>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</si>
  <si>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</si>
  <si>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</si>
  <si>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</si>
  <si>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</si>
  <si>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</si>
  <si>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</si>
  <si>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</si>
  <si>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</si>
  <si>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</si>
  <si>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</si>
  <si>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</si>
  <si>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</si>
  <si>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</si>
  <si>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</si>
  <si>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</si>
  <si>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</si>
  <si>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</si>
  <si>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</si>
  <si>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</si>
  <si>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</si>
  <si>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</si>
  <si>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</si>
  <si>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</si>
  <si>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</si>
  <si>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</si>
  <si>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</si>
  <si>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</si>
  <si>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</si>
  <si>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</si>
  <si>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</si>
  <si>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</si>
  <si>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</si>
  <si>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</si>
  <si>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</si>
  <si>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</si>
  <si>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</si>
  <si>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</si>
  <si>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</si>
  <si>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</si>
  <si>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</si>
  <si>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</si>
  <si>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</si>
  <si>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</si>
  <si>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</si>
  <si>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</si>
  <si>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</si>
  <si>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</si>
  <si>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</si>
  <si>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</si>
  <si>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</si>
  <si>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</si>
  <si>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</si>
  <si>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</si>
  <si>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</si>
  <si>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</si>
  <si>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</si>
  <si>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</si>
  <si>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</si>
  <si>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</si>
  <si>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</si>
  <si>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</si>
  <si>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</si>
  <si>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</si>
  <si>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</si>
  <si>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</si>
  <si>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</si>
  <si>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</si>
  <si>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</si>
  <si>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</si>
  <si>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</si>
  <si>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</si>
  <si>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</si>
  <si>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</si>
  <si>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</si>
  <si>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</si>
  <si>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</si>
  <si>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</si>
  <si>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</si>
  <si>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</si>
  <si>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</si>
  <si>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</si>
  <si>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</si>
  <si>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</si>
  <si>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</si>
  <si>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</si>
  <si>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</si>
  <si>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</si>
  <si>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</si>
  <si>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</si>
  <si>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</si>
  <si>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</si>
  <si>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</si>
  <si>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</si>
  <si>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</si>
  <si>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</si>
  <si>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</si>
  <si>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</si>
  <si>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</si>
  <si>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</si>
  <si>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</si>
  <si>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</si>
  <si>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</si>
  <si>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</si>
  <si>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</si>
  <si>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</si>
  <si>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</si>
  <si>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</si>
  <si>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</si>
  <si>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</si>
  <si>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</si>
  <si>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</si>
  <si>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</si>
  <si>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</si>
  <si>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</si>
  <si>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</si>
  <si>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</si>
  <si>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</si>
  <si>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</si>
  <si>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</si>
  <si>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</si>
  <si>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</si>
  <si>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</si>
  <si>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</si>
  <si>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</si>
  <si>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</si>
  <si>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</si>
  <si>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</si>
  <si>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</si>
  <si>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</si>
  <si>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</si>
  <si>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</si>
  <si>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</si>
  <si>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</si>
  <si>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</si>
  <si>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</si>
  <si>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</si>
  <si>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</si>
  <si>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</si>
  <si>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</si>
  <si>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</si>
  <si>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</si>
  <si>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</si>
  <si>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</si>
  <si>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</si>
  <si>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</si>
  <si>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</si>
  <si>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</si>
  <si>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</si>
  <si>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</si>
  <si>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</si>
  <si>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</si>
  <si>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</si>
  <si>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</si>
  <si>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</si>
  <si>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</si>
  <si>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</si>
  <si>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</si>
  <si>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</si>
  <si>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</si>
  <si>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</si>
  <si>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</si>
  <si>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</si>
  <si>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</si>
  <si>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</si>
  <si>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</si>
  <si>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</si>
  <si>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</si>
  <si>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</si>
  <si>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</si>
  <si>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</si>
  <si>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</si>
  <si>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</si>
  <si>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</si>
  <si>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</si>
  <si>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</si>
  <si>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</si>
  <si>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</si>
  <si>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</si>
  <si>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</si>
  <si>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</si>
  <si>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</si>
  <si>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</si>
  <si>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</si>
  <si>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</si>
  <si>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</si>
  <si>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</si>
  <si>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</si>
  <si>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</si>
  <si>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</si>
  <si>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</si>
  <si>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</si>
  <si>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</si>
  <si>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</si>
  <si>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</si>
  <si>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</si>
  <si>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</si>
  <si>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</si>
  <si>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</si>
  <si>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</si>
  <si>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</si>
  <si>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</si>
  <si>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</si>
  <si>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</si>
  <si>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</si>
  <si>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</si>
  <si>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</si>
  <si>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</si>
  <si>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</si>
  <si>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</si>
  <si>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</si>
  <si>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</si>
  <si>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</si>
  <si>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</si>
  <si>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</si>
  <si>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</si>
  <si>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</si>
  <si>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</si>
  <si>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</si>
  <si>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</si>
  <si>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</si>
  <si>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</si>
  <si>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</si>
  <si>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</si>
  <si>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</si>
  <si>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</si>
  <si>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</si>
  <si>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</si>
  <si>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</si>
  <si>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</si>
  <si>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</si>
  <si>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</si>
  <si>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</si>
  <si>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</si>
  <si>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</si>
  <si>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</si>
  <si>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</si>
  <si>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</si>
  <si>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</si>
  <si>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</si>
  <si>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</si>
  <si>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</si>
  <si>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</si>
  <si>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</si>
  <si>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</si>
  <si>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</si>
  <si>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</si>
  <si>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</si>
  <si>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</si>
  <si>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</si>
  <si>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</si>
  <si>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</si>
  <si>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</si>
  <si>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</si>
  <si>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</si>
  <si>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</si>
  <si>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</si>
  <si>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</si>
  <si>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</si>
  <si>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</si>
  <si>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</si>
  <si>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</si>
  <si>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</si>
  <si>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</si>
  <si>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</si>
  <si>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</si>
  <si>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</si>
  <si>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</si>
  <si>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</si>
  <si>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</si>
  <si>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</si>
  <si>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</si>
  <si>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</si>
  <si>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</si>
  <si>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</si>
  <si>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</si>
  <si>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</si>
  <si>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</si>
  <si>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</si>
  <si>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</si>
  <si>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</si>
  <si>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</si>
  <si>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</si>
  <si>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</si>
  <si>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</si>
  <si>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</si>
  <si>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</si>
  <si>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</si>
  <si>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</si>
  <si>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</si>
  <si>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</si>
  <si>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</si>
  <si>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</si>
  <si>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</si>
  <si>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</si>
  <si>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</si>
  <si>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</si>
  <si>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</si>
  <si>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</si>
  <si>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</si>
  <si>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</si>
  <si>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</si>
  <si>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</si>
  <si>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</si>
  <si>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</si>
  <si>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</si>
  <si>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</si>
  <si>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</si>
  <si>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</si>
  <si>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</si>
  <si>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</si>
  <si>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</si>
  <si>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</si>
  <si>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</si>
  <si>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</si>
  <si>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</si>
  <si>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</si>
  <si>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</si>
  <si>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</si>
  <si>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</si>
  <si>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</si>
  <si>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</si>
  <si>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</si>
  <si>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</si>
  <si>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</si>
  <si>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</si>
  <si>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</si>
  <si>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</si>
  <si>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</si>
  <si>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</si>
  <si>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</si>
  <si>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</si>
  <si>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</si>
  <si>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</si>
  <si>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</si>
  <si>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</si>
  <si>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</si>
  <si>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</si>
  <si>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</si>
  <si>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</si>
  <si>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</si>
  <si>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</si>
  <si>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</si>
  <si>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</si>
  <si>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</si>
  <si>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</si>
  <si>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</si>
  <si>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</si>
  <si>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</si>
  <si>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</si>
  <si>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</si>
  <si>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</si>
  <si>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</si>
  <si>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</si>
  <si>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</si>
  <si>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</si>
  <si>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</si>
  <si>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</si>
  <si>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</si>
  <si>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</si>
  <si>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</si>
  <si>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</si>
  <si>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</si>
  <si>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</si>
  <si>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</si>
  <si>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</si>
  <si>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</si>
  <si>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</si>
  <si>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</si>
  <si>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</si>
  <si>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</si>
  <si>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</si>
  <si>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</si>
  <si>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</si>
  <si>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</si>
  <si>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</si>
  <si>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</si>
  <si>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</si>
  <si>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</si>
  <si>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</si>
  <si>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</si>
  <si>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</si>
  <si>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</si>
  <si>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</si>
  <si>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</si>
  <si>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</si>
  <si>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</si>
  <si>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</si>
  <si>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</si>
  <si>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</si>
  <si>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</si>
  <si>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</si>
  <si>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</si>
  <si>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</si>
  <si>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</si>
  <si>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</si>
  <si>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</si>
  <si>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</si>
  <si>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</si>
  <si>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</si>
  <si>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</si>
  <si>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</si>
  <si>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</si>
  <si>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</si>
  <si>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</si>
  <si>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</si>
  <si>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</si>
  <si>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</si>
  <si>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</si>
  <si>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</si>
  <si>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</si>
  <si>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</si>
  <si>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</si>
  <si>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</si>
  <si>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</si>
  <si>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</si>
  <si>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</si>
  <si>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</si>
  <si>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</si>
  <si>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</si>
  <si>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</si>
  <si>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</si>
  <si>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</si>
  <si>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</si>
  <si>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</si>
  <si>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</si>
  <si>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</si>
  <si>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</si>
  <si>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</si>
  <si>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</si>
  <si>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</si>
  <si>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</si>
  <si>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</si>
  <si>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</si>
  <si>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</si>
  <si>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</si>
  <si>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</si>
  <si>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</si>
  <si>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</si>
  <si>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</si>
  <si>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</si>
  <si>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</si>
  <si>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</si>
  <si>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</si>
  <si>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</si>
  <si>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</si>
  <si>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</si>
  <si>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</si>
  <si>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</si>
  <si>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</si>
  <si>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</si>
  <si>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</si>
  <si>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</si>
  <si>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</si>
  <si>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</si>
  <si>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</si>
  <si>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</si>
  <si>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</si>
  <si>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</si>
  <si>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</si>
  <si>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</si>
  <si>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</si>
  <si>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</si>
  <si>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</si>
  <si>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</si>
  <si>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</si>
  <si>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</si>
  <si>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</si>
  <si>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</si>
  <si>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</si>
  <si>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</si>
  <si>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</si>
  <si>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</si>
  <si>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</si>
  <si>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</si>
  <si>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</si>
  <si>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</si>
  <si>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</si>
  <si>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</si>
  <si>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</si>
  <si>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</si>
  <si>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</si>
  <si>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</si>
  <si>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</si>
  <si>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</si>
  <si>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</si>
  <si>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</si>
  <si>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</si>
  <si>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</si>
  <si>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</si>
  <si>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</si>
  <si>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</si>
  <si>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</si>
  <si>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</si>
  <si>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</si>
  <si>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</si>
  <si>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</si>
  <si>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</si>
  <si>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</si>
  <si>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</si>
  <si>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</si>
  <si>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</si>
  <si>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</si>
  <si>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</si>
  <si>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</si>
  <si>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</si>
  <si>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</si>
  <si>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</si>
  <si>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</si>
  <si>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</si>
  <si>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</si>
  <si>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</si>
  <si>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</si>
  <si>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</si>
  <si>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</si>
  <si>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</si>
  <si>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</si>
  <si>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</si>
  <si>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</si>
  <si>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</si>
  <si>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</si>
  <si>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</si>
  <si>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</si>
  <si>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</si>
  <si>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</si>
  <si>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</si>
  <si>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</si>
  <si>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</si>
  <si>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</si>
  <si>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</si>
  <si>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</si>
  <si>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</si>
  <si>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</si>
  <si>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</si>
  <si>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</si>
  <si>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</si>
  <si>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</si>
  <si>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</si>
  <si>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</si>
  <si>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</si>
  <si>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</si>
  <si>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</si>
  <si>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</si>
  <si>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</si>
  <si>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</si>
  <si>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</si>
  <si>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</si>
  <si>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</si>
  <si>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</si>
  <si>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</si>
  <si>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</si>
  <si>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</si>
  <si>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</si>
  <si>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</si>
  <si>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</si>
  <si>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</si>
  <si>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</si>
  <si>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</si>
  <si>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</si>
  <si>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</si>
  <si>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</si>
  <si>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</si>
  <si>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</si>
  <si>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</si>
  <si>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</si>
  <si>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</si>
  <si>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</si>
  <si>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</si>
  <si>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</si>
  <si>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</si>
  <si>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</si>
  <si>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</si>
  <si>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</si>
  <si>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</si>
  <si>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</si>
  <si>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</si>
  <si>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</si>
  <si>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</si>
  <si>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</si>
  <si>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</si>
  <si>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</si>
  <si>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</si>
  <si>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</si>
  <si>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</si>
  <si>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</si>
  <si>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</si>
  <si>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</si>
  <si>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</si>
  <si>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</si>
  <si>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</si>
  <si>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</si>
  <si>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</si>
  <si>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</si>
  <si>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</si>
  <si>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</si>
  <si>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</si>
  <si>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</si>
  <si>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</si>
  <si>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</si>
  <si>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</si>
  <si>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</si>
  <si>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</si>
  <si>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</si>
  <si>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</si>
  <si>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</si>
  <si>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</si>
  <si>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</si>
  <si>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</si>
  <si>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</si>
  <si>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</si>
  <si>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</si>
  <si>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</si>
  <si>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</si>
  <si>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</si>
  <si>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</si>
  <si>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</si>
  <si>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</si>
  <si>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</si>
  <si>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</si>
  <si>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</si>
  <si>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</si>
  <si>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</si>
  <si>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</si>
  <si>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</si>
  <si>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</si>
  <si>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</si>
  <si>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</si>
  <si>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</si>
  <si>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</si>
  <si>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</si>
  <si>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</si>
  <si>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</si>
  <si>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</si>
  <si>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</si>
  <si>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</si>
  <si>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</si>
  <si>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</si>
  <si>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</si>
  <si>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</si>
  <si>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</si>
  <si>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</si>
  <si>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</si>
  <si>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</si>
  <si>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</si>
  <si>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</si>
  <si>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</si>
  <si>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</si>
  <si>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</si>
  <si>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</si>
  <si>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</si>
  <si>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</si>
  <si>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</si>
  <si>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</si>
  <si>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</si>
  <si>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</si>
  <si>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</si>
  <si>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</si>
  <si>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</si>
  <si>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</si>
  <si>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</si>
  <si>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</si>
  <si>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</si>
  <si>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</si>
  <si>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</si>
  <si>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</si>
  <si>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</si>
  <si>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</si>
  <si>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</si>
  <si>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</si>
  <si>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</si>
  <si>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</si>
  <si>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</si>
  <si>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</si>
  <si>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</si>
  <si>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</si>
  <si>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</si>
  <si>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</si>
  <si>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</si>
  <si>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</si>
  <si>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</si>
  <si>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</si>
  <si>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</si>
  <si>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</si>
  <si>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</si>
  <si>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</si>
  <si>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</si>
  <si>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</si>
  <si>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</si>
  <si>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</si>
  <si>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</si>
  <si>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</si>
  <si>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</si>
  <si>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</si>
  <si>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</si>
  <si>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</si>
  <si>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</si>
  <si>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</si>
  <si>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</si>
  <si>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</si>
  <si>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</si>
  <si>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</si>
  <si>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</si>
  <si>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</si>
  <si>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</si>
  <si>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</si>
  <si>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</si>
  <si>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</si>
  <si>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</si>
  <si>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</si>
  <si>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</si>
  <si>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</si>
  <si>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</si>
  <si>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</si>
  <si>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</si>
  <si>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</si>
  <si>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</si>
  <si>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</si>
  <si>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</si>
  <si>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</si>
  <si>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</si>
  <si>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</si>
  <si>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</si>
  <si>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</si>
  <si>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</si>
  <si>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</si>
  <si>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</si>
  <si>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</si>
  <si>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</si>
  <si>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</si>
  <si>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</si>
  <si>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</si>
  <si>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</si>
  <si>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</si>
  <si>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</si>
  <si>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</si>
  <si>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</si>
  <si>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</si>
  <si>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</si>
  <si>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</si>
  <si>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</si>
  <si>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</si>
  <si>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</si>
  <si>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</si>
  <si>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</si>
  <si>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</si>
  <si>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</si>
  <si>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</si>
  <si>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</si>
  <si>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</si>
  <si>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</si>
  <si>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</si>
  <si>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</si>
  <si>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</si>
  <si>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</si>
  <si>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</si>
  <si>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</si>
  <si>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</si>
  <si>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</si>
  <si>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</si>
  <si>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</si>
  <si>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</si>
  <si>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</si>
  <si>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</si>
  <si>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</si>
  <si>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</si>
  <si>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</si>
  <si>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</si>
  <si>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</si>
  <si>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</si>
  <si>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</si>
  <si>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</si>
  <si>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</si>
  <si>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</si>
  <si>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</si>
  <si>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</si>
  <si>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</si>
  <si>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</si>
  <si>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</si>
  <si>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</si>
  <si>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</si>
  <si>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</si>
  <si>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</si>
  <si>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</si>
  <si>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</si>
  <si>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</si>
  <si>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</si>
  <si>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</si>
  <si>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</si>
  <si>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</si>
  <si>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</si>
  <si>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</si>
  <si>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</si>
  <si>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</si>
  <si>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</si>
  <si>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</si>
  <si>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</si>
  <si>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</si>
  <si>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</si>
  <si>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</si>
  <si>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</si>
  <si>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</si>
  <si>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</si>
  <si>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</si>
  <si>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</si>
  <si>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</si>
  <si>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</si>
  <si>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</si>
  <si>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</si>
  <si>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</si>
  <si>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</si>
  <si>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</si>
  <si>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</si>
  <si>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</si>
  <si>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</si>
  <si>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</si>
  <si>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</si>
  <si>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</si>
  <si>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</si>
  <si>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</si>
  <si>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</si>
  <si>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</si>
  <si>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</si>
  <si>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</si>
  <si>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</si>
  <si>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</si>
  <si>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</si>
  <si>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</si>
  <si>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</si>
  <si>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</si>
  <si>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</si>
  <si>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</si>
  <si>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</si>
  <si>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</si>
  <si>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</si>
  <si>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</si>
  <si>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</si>
  <si>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</si>
  <si>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</si>
  <si>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</si>
  <si>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</si>
  <si>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</si>
  <si>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</si>
  <si>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</si>
  <si>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</si>
  <si>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</si>
  <si>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</si>
  <si>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</si>
  <si>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</si>
  <si>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</si>
  <si>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</si>
  <si>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</si>
  <si>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</si>
  <si>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</si>
  <si>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</si>
  <si>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</si>
  <si>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</si>
  <si>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</si>
  <si>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</si>
  <si>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</si>
  <si>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</si>
  <si>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</si>
  <si>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</si>
  <si>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</si>
  <si>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</si>
  <si>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</si>
  <si>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</si>
  <si>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</si>
  <si>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</si>
  <si>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</si>
  <si>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</si>
  <si>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</si>
  <si>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</si>
  <si>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</si>
  <si>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</si>
  <si>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</si>
  <si>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</si>
  <si>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</si>
  <si>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</si>
  <si>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</si>
  <si>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</si>
  <si>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</si>
  <si>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</si>
  <si>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</si>
  <si>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</si>
  <si>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</si>
  <si>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</si>
  <si>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</si>
  <si>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</si>
  <si>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</si>
  <si>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</si>
  <si>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</si>
  <si>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</si>
  <si>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</si>
  <si>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</si>
  <si>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</si>
  <si>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</si>
  <si>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</si>
  <si>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</si>
  <si>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</si>
  <si>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</si>
  <si>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</si>
  <si>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</si>
  <si>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</si>
  <si>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</si>
  <si>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</si>
  <si>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</si>
  <si>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</si>
  <si>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</si>
  <si>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</si>
  <si>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</si>
  <si>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</si>
  <si>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</si>
  <si>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</si>
  <si>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</si>
  <si>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</si>
  <si>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</si>
  <si>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</si>
  <si>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</si>
  <si>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</si>
  <si>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</si>
  <si>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</si>
  <si>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</si>
  <si>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</si>
  <si>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</si>
  <si>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</si>
  <si>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</si>
  <si>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</si>
  <si>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</si>
  <si>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</si>
  <si>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</si>
  <si>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</si>
  <si>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</si>
  <si>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</si>
  <si>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</si>
  <si>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</si>
  <si>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</si>
  <si>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</si>
  <si>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</si>
  <si>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</si>
  <si>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</si>
  <si>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</si>
  <si>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</si>
  <si>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</si>
  <si>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</si>
  <si>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</si>
  <si>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</si>
  <si>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</si>
  <si>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</si>
  <si>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</si>
  <si>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</si>
  <si>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</si>
  <si>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</si>
  <si>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</si>
  <si>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</si>
  <si>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</si>
  <si>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</si>
  <si>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</si>
  <si>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</si>
  <si>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</si>
  <si>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</si>
  <si>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</si>
  <si>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</si>
  <si>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</si>
  <si>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</si>
  <si>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</si>
  <si>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</si>
  <si>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</si>
  <si>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</si>
  <si>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</si>
  <si>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</si>
  <si>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</si>
  <si>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</si>
  <si>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</si>
  <si>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</si>
  <si>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</si>
  <si>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</si>
  <si>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</si>
  <si>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</si>
  <si>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</si>
  <si>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</si>
  <si>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</si>
  <si>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</si>
  <si>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</si>
  <si>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</si>
  <si>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</si>
  <si>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</si>
  <si>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</si>
  <si>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</si>
  <si>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</si>
  <si>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</si>
  <si>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</si>
  <si>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</si>
  <si>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</si>
  <si>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</si>
  <si>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</si>
  <si>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</si>
  <si>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</si>
  <si>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</si>
  <si>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</si>
  <si>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</si>
  <si>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</si>
  <si>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</si>
  <si>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</si>
  <si>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</si>
  <si>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</si>
  <si>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</si>
  <si>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</si>
  <si>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</si>
  <si>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</si>
  <si>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</si>
  <si>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</si>
  <si>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</si>
  <si>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</si>
  <si>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</si>
  <si>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</si>
  <si>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</si>
  <si>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</si>
  <si>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</si>
  <si>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</si>
  <si>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</si>
  <si>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</si>
  <si>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</si>
  <si>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</si>
  <si>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</si>
  <si>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</si>
  <si>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</si>
  <si>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</si>
  <si>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</si>
  <si>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</si>
  <si>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</si>
  <si>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</si>
  <si>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</si>
  <si>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</si>
  <si>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</si>
  <si>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</si>
  <si>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</si>
  <si>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</si>
  <si>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</si>
  <si>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</si>
  <si>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</si>
  <si>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</si>
  <si>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</si>
  <si>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</si>
  <si>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</si>
  <si>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</si>
  <si>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</si>
  <si>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</si>
  <si>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</si>
  <si>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</si>
  <si>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</si>
  <si>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</si>
  <si>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</si>
  <si>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</si>
  <si>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</si>
  <si>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</si>
  <si>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</si>
  <si>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</si>
  <si>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</si>
  <si>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</si>
  <si>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</si>
  <si>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</si>
  <si>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</si>
  <si>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</si>
  <si>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</si>
  <si>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</si>
  <si>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</si>
  <si>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</si>
  <si>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</si>
  <si>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</si>
  <si>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</si>
  <si>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</si>
  <si>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</si>
  <si>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</si>
  <si>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</si>
  <si>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</si>
  <si>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</si>
  <si>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</si>
  <si>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</si>
  <si>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</si>
  <si>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</si>
  <si>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</si>
  <si>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</si>
  <si>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</si>
  <si>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</si>
  <si>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</si>
  <si>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</si>
  <si>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</si>
  <si>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</si>
  <si>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</si>
  <si>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</si>
  <si>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</si>
  <si>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</si>
  <si>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</si>
  <si>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</si>
  <si>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</si>
  <si>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</si>
  <si>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</si>
  <si>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</si>
  <si>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</si>
  <si>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</si>
  <si>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</si>
  <si>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</si>
  <si>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</si>
  <si>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</si>
  <si>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</si>
  <si>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</si>
  <si>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</si>
  <si>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</si>
  <si>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</si>
  <si>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</si>
  <si>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</si>
  <si>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</si>
  <si>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</si>
  <si>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</si>
  <si>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</si>
  <si>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</si>
  <si>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</si>
  <si>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</si>
  <si>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</si>
  <si>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</si>
  <si>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</si>
  <si>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</si>
  <si>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</si>
  <si>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</si>
  <si>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</si>
  <si>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</si>
  <si>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</si>
  <si>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</si>
  <si>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</si>
  <si>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</si>
  <si>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</si>
  <si>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</si>
  <si>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</si>
  <si>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</si>
  <si>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</si>
  <si>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</si>
  <si>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</si>
  <si>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</si>
  <si>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</si>
  <si>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</si>
  <si>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</si>
  <si>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</si>
  <si>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</si>
  <si>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</si>
  <si>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</si>
  <si>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</si>
  <si>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</si>
  <si>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</si>
  <si>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</si>
  <si>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</si>
  <si>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</si>
  <si>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</si>
  <si>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</si>
  <si>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</si>
  <si>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</si>
  <si>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</si>
  <si>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</si>
  <si>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</si>
  <si>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</si>
  <si>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</si>
  <si>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</si>
  <si>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</si>
  <si>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</si>
  <si>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</si>
  <si>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</si>
  <si>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</si>
  <si>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</si>
  <si>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</si>
  <si>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</si>
  <si>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</si>
  <si>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</si>
  <si>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</si>
  <si>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</si>
  <si>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</si>
  <si>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</si>
  <si>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</si>
  <si>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</si>
  <si>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</si>
  <si>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</si>
  <si>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</si>
  <si>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</si>
  <si>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</si>
  <si>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</si>
  <si>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</si>
  <si>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</si>
  <si>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</si>
  <si>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</si>
  <si>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</si>
  <si>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</si>
  <si>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</si>
  <si>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</si>
  <si>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</si>
  <si>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</si>
  <si>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</si>
  <si>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</si>
  <si>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</si>
  <si>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</si>
  <si>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</si>
  <si>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</si>
  <si>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</si>
  <si>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</si>
  <si>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</si>
  <si>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</si>
  <si>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</si>
  <si>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</si>
  <si>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</si>
  <si>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</si>
  <si>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</si>
  <si>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</si>
  <si>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</si>
  <si>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</si>
  <si>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</si>
  <si>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</si>
  <si>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</si>
  <si>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</si>
  <si>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</si>
  <si>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</si>
  <si>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</si>
  <si>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</si>
  <si>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</si>
  <si>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</si>
  <si>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</si>
  <si>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</si>
  <si>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</si>
  <si>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</si>
  <si>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</si>
  <si>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</si>
  <si>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</si>
  <si>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</si>
  <si>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</si>
  <si>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</si>
  <si>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</si>
  <si>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</si>
  <si>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</si>
  <si>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</si>
  <si>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</si>
  <si>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</si>
  <si>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</si>
  <si>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</si>
  <si>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</si>
  <si>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</si>
  <si>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</si>
  <si>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</si>
  <si>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</si>
  <si>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</si>
  <si>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</si>
  <si>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</si>
  <si>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</si>
  <si>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</si>
  <si>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</si>
  <si>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</si>
  <si>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</si>
  <si>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</si>
  <si>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</si>
  <si>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</si>
  <si>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</si>
  <si>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</si>
  <si>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</si>
  <si>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</si>
  <si>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</si>
  <si>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</si>
  <si>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</si>
  <si>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</si>
  <si>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</si>
  <si>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</si>
  <si>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</si>
  <si>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</si>
  <si>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</si>
  <si>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</si>
  <si>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</si>
  <si>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</si>
  <si>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</si>
  <si>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</si>
  <si>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</si>
  <si>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</si>
  <si>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</si>
  <si>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</si>
  <si>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</si>
  <si>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</si>
  <si>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</si>
  <si>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</si>
  <si>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</si>
  <si>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</si>
  <si>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</si>
  <si>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</si>
  <si>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</si>
  <si>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</si>
  <si>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</si>
  <si>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</si>
  <si>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</si>
  <si>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</si>
  <si>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</si>
  <si>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</si>
  <si>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</si>
  <si>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</si>
  <si>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</si>
  <si>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</si>
  <si>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</si>
  <si>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</si>
  <si>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</si>
  <si>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</si>
  <si>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</si>
  <si>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</si>
  <si>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</si>
  <si>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</si>
  <si>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</si>
  <si>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</si>
  <si>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</si>
  <si>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</si>
  <si>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</si>
  <si>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</si>
  <si>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</si>
  <si>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</si>
  <si>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</si>
  <si>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</si>
  <si>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</si>
  <si>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</si>
  <si>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</si>
  <si>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</si>
  <si>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</si>
  <si>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</si>
  <si>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</si>
  <si>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</si>
  <si>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</si>
  <si>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</si>
  <si>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</si>
  <si>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</si>
  <si>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</si>
  <si>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</si>
  <si>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</si>
  <si>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</si>
  <si>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</si>
  <si>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</si>
  <si>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</si>
  <si>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</si>
  <si>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</si>
  <si>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</si>
  <si>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</si>
  <si>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</si>
  <si>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</si>
  <si>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</si>
  <si>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</si>
  <si>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</si>
  <si>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</si>
  <si>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</si>
  <si>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</si>
  <si>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</si>
  <si>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</si>
  <si>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</si>
  <si>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</si>
  <si>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</si>
  <si>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</si>
  <si>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</si>
  <si>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</si>
  <si>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</si>
  <si>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</si>
  <si>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</si>
  <si>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</si>
  <si>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</si>
  <si>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</si>
  <si>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</si>
  <si>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</si>
  <si>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</si>
  <si>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</si>
  <si>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</si>
  <si>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</si>
  <si>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</si>
  <si>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</si>
  <si>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</si>
  <si>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</si>
  <si>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</si>
  <si>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</si>
  <si>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</si>
  <si>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</si>
  <si>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</si>
  <si>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</si>
  <si>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</si>
  <si>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</si>
  <si>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</si>
  <si>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</si>
  <si>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</si>
  <si>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</si>
  <si>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</si>
  <si>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</si>
  <si>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</si>
  <si>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</si>
  <si>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</si>
  <si>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</si>
  <si>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</si>
  <si>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</si>
  <si>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</si>
  <si>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</si>
  <si>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</si>
  <si>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</si>
  <si>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</si>
  <si>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</si>
  <si>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</si>
  <si>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</si>
  <si>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</si>
  <si>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</si>
  <si>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</si>
  <si>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</si>
  <si>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</si>
  <si>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</si>
  <si>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</si>
  <si>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</si>
  <si>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</si>
  <si>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</si>
  <si>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</si>
  <si>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</si>
  <si>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</si>
  <si>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</si>
  <si>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</si>
  <si>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</si>
  <si>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</si>
  <si>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</si>
  <si>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</si>
  <si>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</si>
  <si>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</si>
  <si>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</si>
  <si>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</si>
  <si>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</si>
  <si>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</si>
  <si>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</si>
  <si>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</si>
  <si>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</si>
  <si>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</si>
  <si>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</si>
  <si>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</si>
  <si>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</si>
  <si>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</si>
  <si>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</si>
  <si>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</si>
  <si>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</si>
  <si>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</si>
  <si>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</si>
  <si>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</si>
  <si>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</si>
  <si>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</si>
  <si>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</si>
  <si>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</si>
  <si>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</si>
  <si>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</si>
  <si>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</si>
  <si>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</si>
  <si>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</si>
  <si>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</si>
  <si>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</si>
  <si>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</si>
  <si>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</si>
  <si>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</si>
  <si>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</si>
  <si>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</si>
  <si>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</si>
  <si>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</si>
  <si>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</si>
  <si>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</si>
  <si>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</si>
  <si>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</si>
  <si>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</si>
  <si>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</si>
  <si>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</si>
  <si>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</si>
  <si>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</si>
  <si>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</si>
  <si>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</si>
  <si>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</si>
  <si>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</si>
  <si>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</si>
  <si>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</si>
  <si>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</si>
  <si>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</si>
  <si>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</si>
  <si>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</si>
  <si>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</si>
  <si>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</si>
  <si>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</si>
  <si>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</si>
  <si>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</si>
  <si>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</si>
  <si>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</si>
  <si>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</si>
  <si>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</si>
  <si>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</si>
  <si>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</si>
  <si>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</si>
  <si>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</si>
  <si>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</si>
  <si>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</si>
  <si>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</si>
  <si>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</si>
  <si>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</si>
  <si>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</si>
  <si>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</si>
  <si>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</si>
  <si>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</si>
  <si>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</si>
  <si>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</si>
  <si>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</si>
  <si>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</si>
  <si>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</si>
  <si>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</si>
  <si>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</si>
  <si>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</si>
  <si>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</si>
  <si>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</si>
  <si>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</si>
  <si>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</si>
  <si>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</si>
  <si>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</si>
  <si>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</si>
  <si>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</si>
  <si>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</si>
  <si>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</si>
  <si>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</si>
  <si>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</si>
  <si>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</si>
  <si>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</si>
  <si>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</si>
  <si>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</si>
  <si>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</si>
  <si>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</si>
  <si>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</si>
  <si>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</si>
  <si>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</si>
  <si>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</si>
  <si>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</si>
  <si>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</si>
  <si>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</si>
  <si>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</si>
  <si>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</si>
  <si>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</si>
  <si>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</si>
  <si>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</si>
  <si>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</si>
  <si>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</si>
  <si>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</si>
  <si>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</si>
  <si>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</si>
  <si>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</si>
  <si>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</si>
  <si>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</si>
  <si>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</si>
  <si>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</si>
  <si>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</si>
  <si>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</si>
  <si>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</si>
  <si>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</si>
  <si>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</si>
  <si>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</si>
  <si>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</si>
  <si>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</si>
  <si>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</si>
  <si>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</si>
  <si>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</si>
  <si>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</si>
  <si>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</si>
  <si>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</si>
  <si>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</si>
  <si>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</si>
  <si>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</si>
  <si>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</si>
  <si>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</si>
  <si>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</si>
  <si>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</si>
  <si>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</si>
  <si>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</si>
  <si>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</si>
  <si>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</si>
  <si>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</si>
  <si>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</si>
  <si>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</si>
  <si>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</si>
  <si>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</si>
  <si>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</si>
  <si>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</si>
  <si>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</si>
  <si>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</si>
  <si>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</si>
  <si>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</si>
  <si>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</si>
  <si>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</si>
  <si>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</si>
  <si>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</si>
  <si>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</si>
  <si>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</si>
  <si>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</si>
  <si>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</si>
  <si>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</si>
  <si>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</si>
  <si>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</si>
  <si>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</si>
  <si>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</si>
  <si>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</si>
  <si>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</si>
  <si>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</si>
  <si>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</si>
  <si>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</si>
  <si>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</si>
  <si>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</si>
  <si>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</si>
  <si>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</si>
  <si>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</si>
  <si>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</si>
  <si>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</si>
  <si>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</si>
  <si>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</si>
  <si>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</si>
  <si>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</si>
  <si>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</si>
  <si>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</si>
  <si>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</si>
  <si>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</si>
  <si>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</si>
  <si>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</si>
  <si>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</si>
  <si>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</si>
  <si>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</si>
  <si>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</si>
  <si>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</si>
  <si>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</si>
  <si>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</si>
  <si>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</si>
  <si>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</si>
  <si>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</si>
  <si>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</si>
  <si>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</si>
  <si>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</si>
  <si>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</si>
  <si>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</si>
  <si>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</si>
  <si>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</si>
  <si>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</si>
  <si>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</si>
  <si>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</si>
  <si>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</si>
  <si>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</si>
  <si>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</si>
  <si>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</si>
  <si>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</si>
  <si>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</si>
  <si>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</si>
  <si>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</si>
  <si>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</si>
  <si>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</si>
  <si>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</si>
  <si>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</si>
  <si>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</si>
  <si>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</si>
  <si>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</si>
  <si>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</si>
  <si>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</si>
  <si>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</si>
  <si>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</si>
  <si>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</si>
  <si>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</si>
  <si>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</si>
  <si>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</si>
  <si>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</si>
  <si>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</si>
  <si>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</si>
  <si>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</si>
  <si>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</si>
  <si>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</si>
  <si>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</si>
  <si>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</si>
  <si>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</si>
  <si>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</si>
  <si>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</si>
  <si>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</si>
  <si>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</si>
  <si>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</si>
  <si>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</si>
  <si>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</si>
  <si>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</si>
  <si>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</si>
  <si>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</si>
  <si>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</si>
  <si>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</si>
  <si>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</si>
  <si>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</si>
  <si>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</si>
  <si>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</si>
  <si>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</si>
  <si>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</si>
  <si>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</si>
  <si>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</si>
  <si>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</si>
  <si>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</si>
  <si>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</si>
  <si>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</si>
  <si>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</si>
  <si>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</si>
  <si>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</si>
  <si>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</si>
  <si>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</si>
  <si>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</si>
  <si>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</si>
  <si>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</si>
  <si>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</si>
  <si>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</si>
  <si>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</si>
  <si>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</si>
  <si>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</si>
  <si>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</si>
  <si>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</si>
  <si>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</si>
  <si>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</si>
  <si>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</si>
  <si>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</si>
  <si>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</si>
  <si>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</si>
  <si>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</si>
  <si>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</si>
  <si>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</si>
  <si>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</si>
  <si>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</si>
  <si>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</si>
  <si>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</si>
  <si>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</si>
  <si>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</si>
  <si>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</si>
  <si>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</si>
  <si>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</si>
  <si>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</si>
  <si>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</si>
  <si>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</si>
  <si>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</si>
  <si>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</si>
  <si>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</si>
  <si>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</si>
  <si>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</si>
  <si>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</si>
  <si>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</si>
  <si>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</si>
  <si>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</si>
  <si>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</si>
  <si>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</si>
  <si>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</si>
  <si>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</si>
  <si>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</si>
  <si>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</si>
  <si>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</si>
  <si>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</si>
  <si>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</si>
  <si>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</si>
  <si>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</si>
  <si>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</si>
  <si>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</si>
  <si>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</si>
  <si>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</si>
  <si>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</si>
  <si>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</si>
  <si>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</si>
  <si>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</si>
  <si>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</si>
  <si>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</si>
  <si>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</si>
  <si>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</si>
  <si>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</si>
  <si>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</si>
  <si>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</si>
  <si>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</si>
  <si>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</si>
  <si>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</si>
  <si>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</si>
  <si>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</si>
  <si>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</si>
  <si>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</si>
  <si>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</si>
  <si>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</si>
  <si>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</si>
  <si>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</si>
  <si>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</si>
  <si>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</si>
  <si>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</si>
  <si>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</si>
  <si>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</si>
  <si>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</si>
  <si>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</si>
  <si>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</si>
  <si>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</si>
  <si>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</si>
  <si>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</si>
  <si>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</si>
  <si>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</si>
  <si>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</si>
  <si>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</si>
  <si>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</si>
  <si>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</si>
  <si>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</si>
  <si>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</si>
  <si>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</si>
  <si>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</si>
  <si>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</si>
  <si>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</si>
  <si>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</si>
  <si>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</si>
  <si>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</si>
  <si>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</si>
  <si>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</si>
  <si>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</si>
  <si>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</si>
  <si>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</si>
  <si>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</si>
  <si>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</si>
  <si>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</si>
  <si>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</si>
  <si>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</si>
  <si>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</si>
  <si>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</si>
  <si>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</si>
  <si>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</si>
  <si>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</si>
  <si>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</si>
  <si>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</si>
  <si>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</si>
  <si>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</si>
  <si>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</si>
  <si>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</si>
  <si>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</si>
  <si>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</si>
  <si>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</si>
  <si>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</si>
  <si>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</si>
  <si>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</si>
  <si>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</si>
  <si>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</si>
  <si>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</si>
  <si>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</si>
  <si>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</si>
  <si>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</si>
  <si>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</si>
  <si>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</si>
  <si>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</si>
  <si>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</si>
  <si>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</si>
  <si>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</si>
  <si>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</si>
  <si>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</si>
  <si>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</si>
  <si>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</si>
  <si>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</si>
  <si>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</si>
  <si>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</si>
  <si>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</si>
  <si>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</si>
  <si>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</si>
  <si>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</si>
  <si>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</si>
  <si>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</si>
  <si>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</si>
  <si>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</si>
  <si>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</si>
  <si>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</si>
  <si>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</si>
  <si>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</si>
  <si>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</si>
  <si>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</si>
  <si>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</si>
  <si>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</si>
  <si>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</si>
  <si>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</si>
  <si>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</si>
  <si>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</si>
  <si>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</si>
  <si>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</si>
  <si>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</si>
  <si>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</si>
  <si>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</si>
  <si>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</si>
  <si>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</si>
  <si>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</si>
  <si>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</si>
  <si>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</si>
  <si>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</si>
  <si>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</si>
  <si>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</si>
  <si>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</si>
  <si>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</si>
  <si>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</si>
  <si>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</si>
  <si>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</si>
  <si>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</si>
  <si>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</si>
  <si>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</si>
  <si>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</si>
  <si>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</si>
  <si>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</si>
  <si>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</si>
  <si>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</si>
  <si>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</si>
  <si>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</si>
  <si>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</si>
  <si>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</si>
  <si>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</si>
  <si>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</si>
  <si>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</si>
  <si>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</si>
  <si>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</si>
  <si>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</si>
  <si>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</si>
  <si>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</si>
  <si>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</si>
  <si>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</si>
  <si>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</si>
  <si>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</si>
  <si>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</si>
  <si>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</si>
  <si>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</si>
  <si>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</si>
  <si>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</si>
  <si>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</si>
  <si>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</si>
  <si>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</si>
  <si>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</si>
  <si>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</si>
  <si>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</si>
  <si>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</si>
  <si>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</si>
  <si>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</si>
  <si>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</si>
  <si>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</si>
  <si>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</si>
  <si>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</si>
  <si>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</si>
  <si>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</si>
  <si>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</si>
  <si>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</si>
  <si>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</si>
  <si>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</si>
  <si>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</si>
  <si>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</si>
  <si>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</si>
  <si>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</si>
  <si>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</si>
  <si>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</si>
  <si>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</si>
  <si>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</si>
  <si>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</si>
  <si>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</si>
  <si>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</si>
  <si>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</si>
  <si>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</si>
  <si>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</si>
  <si>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</si>
  <si>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</si>
  <si>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</si>
  <si>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</si>
  <si>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</si>
  <si>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</si>
  <si>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</si>
  <si>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</si>
  <si>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</si>
  <si>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</si>
  <si>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</si>
  <si>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</si>
  <si>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</si>
  <si>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</si>
  <si>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</si>
  <si>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</si>
  <si>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</si>
  <si>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</si>
  <si>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</si>
  <si>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</si>
  <si>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</si>
  <si>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</si>
  <si>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</si>
  <si>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</si>
  <si>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</si>
  <si>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</si>
  <si>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</si>
  <si>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</si>
  <si>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</si>
  <si>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</si>
  <si>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</si>
  <si>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</si>
  <si>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</si>
  <si>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</si>
  <si>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</si>
  <si>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</si>
  <si>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</si>
  <si>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</si>
  <si>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</si>
  <si>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</si>
  <si>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</si>
  <si>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</si>
  <si>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</si>
  <si>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</si>
  <si>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</si>
  <si>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</si>
  <si>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</si>
  <si>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</si>
  <si>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</si>
  <si>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</si>
  <si>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</si>
  <si>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</si>
  <si>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</si>
  <si>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</si>
  <si>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</si>
  <si>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</si>
  <si>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</si>
  <si>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</si>
  <si>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</si>
  <si>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</si>
  <si>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</si>
  <si>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</si>
  <si>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</si>
  <si>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</si>
  <si>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</si>
  <si>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</si>
  <si>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</si>
  <si>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</si>
  <si>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</si>
  <si>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</si>
  <si>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</si>
  <si>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</si>
  <si>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</si>
  <si>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</si>
  <si>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</si>
  <si>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</si>
  <si>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</si>
  <si>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</si>
  <si>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</si>
  <si>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</si>
  <si>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</si>
  <si>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</si>
  <si>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</si>
  <si>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</si>
  <si>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</si>
  <si>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</si>
  <si>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</si>
  <si>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</si>
  <si>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</si>
  <si>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</si>
  <si>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</si>
  <si>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</si>
  <si>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</si>
  <si>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</si>
  <si>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</si>
  <si>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</si>
  <si>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</si>
  <si>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</si>
  <si>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</si>
  <si>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</si>
  <si>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</si>
  <si>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</si>
  <si>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</si>
  <si>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</si>
  <si>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</si>
  <si>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</si>
  <si>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</si>
  <si>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</si>
  <si>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</si>
  <si>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</si>
  <si>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</si>
  <si>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</si>
  <si>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</si>
  <si>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</si>
  <si>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</si>
  <si>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</si>
  <si>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</si>
  <si>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</si>
  <si>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</si>
  <si>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</si>
  <si>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</si>
  <si>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</si>
  <si>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</si>
  <si>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</si>
  <si>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</si>
  <si>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</si>
  <si>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</si>
  <si>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</si>
  <si>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</si>
  <si>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</si>
  <si>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</si>
  <si>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</si>
  <si>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</si>
  <si>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</si>
  <si>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</si>
  <si>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</si>
  <si>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</si>
  <si>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</si>
  <si>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</si>
  <si>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</si>
  <si>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</si>
  <si>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</si>
  <si>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</si>
  <si>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</si>
  <si>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</si>
  <si>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</si>
  <si>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</si>
  <si>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</si>
  <si>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</si>
  <si>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</si>
  <si>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</si>
  <si>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</si>
  <si>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</si>
  <si>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</si>
  <si>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</si>
  <si>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</si>
  <si>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</si>
  <si>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</si>
  <si>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</si>
  <si>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</si>
  <si>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</si>
  <si>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</si>
  <si>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</si>
  <si>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</si>
  <si>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</si>
  <si>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</si>
  <si>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</si>
  <si>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</si>
  <si>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</si>
  <si>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</si>
  <si>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</si>
  <si>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</si>
  <si>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</si>
  <si>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</si>
  <si>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</si>
  <si>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</si>
  <si>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</si>
  <si>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</si>
  <si>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</si>
  <si>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</si>
  <si>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</si>
  <si>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</si>
  <si>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</si>
  <si>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</si>
  <si>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</si>
  <si>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</si>
  <si>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</si>
  <si>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</si>
  <si>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</si>
  <si>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</si>
  <si>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</si>
  <si>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</si>
  <si>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</si>
  <si>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</si>
  <si>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</si>
  <si>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</si>
  <si>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</si>
  <si>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</si>
  <si>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</si>
  <si>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</si>
  <si>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</si>
  <si>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</si>
  <si>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</si>
  <si>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</si>
  <si>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</si>
  <si>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</si>
  <si>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</si>
  <si>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</si>
  <si>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</si>
  <si>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</si>
  <si>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</si>
  <si>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</si>
  <si>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</si>
  <si>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</si>
  <si>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</si>
  <si>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</si>
  <si>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</si>
  <si>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</si>
  <si>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</si>
  <si>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</si>
  <si>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</si>
  <si>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</si>
  <si>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</si>
  <si>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</si>
  <si>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</si>
  <si>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</si>
  <si>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</si>
  <si>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</si>
  <si>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</si>
  <si>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</si>
  <si>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</si>
  <si>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</si>
  <si>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</si>
  <si>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</si>
  <si>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</si>
  <si>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</si>
  <si>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</si>
  <si>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</si>
  <si>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</si>
  <si>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</si>
  <si>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</si>
  <si>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</si>
  <si>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</si>
  <si>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</si>
  <si>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</si>
  <si>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</si>
  <si>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</si>
  <si>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</si>
  <si>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</si>
  <si>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</si>
  <si>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</si>
  <si>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</si>
  <si>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</si>
  <si>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</si>
  <si>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</si>
  <si>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</si>
  <si>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</si>
  <si>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</si>
  <si>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</si>
  <si>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</si>
  <si>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</si>
  <si>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</si>
  <si>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</si>
  <si>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</si>
  <si>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</si>
  <si>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</si>
  <si>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</si>
  <si>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</si>
  <si>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</si>
  <si>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</si>
  <si>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</si>
  <si>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</si>
  <si>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</si>
  <si>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</si>
  <si>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</si>
  <si>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</si>
  <si>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</si>
  <si>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</si>
  <si>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</si>
  <si>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</si>
  <si>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</si>
  <si>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</si>
  <si>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</si>
  <si>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</si>
  <si>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</si>
  <si>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</si>
  <si>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</si>
  <si>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</si>
  <si>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</si>
  <si>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</si>
  <si>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</si>
  <si>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</si>
  <si>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</si>
  <si>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</si>
  <si>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</si>
  <si>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</si>
  <si>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</si>
  <si>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</si>
  <si>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</si>
  <si>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</si>
  <si>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</si>
  <si>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</si>
  <si>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</si>
  <si>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</si>
  <si>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</si>
  <si>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</si>
  <si>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</si>
  <si>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</si>
  <si>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</si>
  <si>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</si>
  <si>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</si>
  <si>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</si>
  <si>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</si>
  <si>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</si>
  <si>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</si>
  <si>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</si>
  <si>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</si>
  <si>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</si>
  <si>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</si>
  <si>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</si>
  <si>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</si>
  <si>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</si>
  <si>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</si>
  <si>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</si>
  <si>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</si>
  <si>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</si>
  <si>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</si>
  <si>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</si>
  <si>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</si>
  <si>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</si>
  <si>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</si>
  <si>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</si>
  <si>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</si>
  <si>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</si>
  <si>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</si>
  <si>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</si>
  <si>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</si>
  <si>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</si>
  <si>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</si>
  <si>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</si>
  <si>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</si>
  <si>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</si>
  <si>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</si>
  <si>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</si>
  <si>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</si>
  <si>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</si>
  <si>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</si>
  <si>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</si>
  <si>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</si>
  <si>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</si>
  <si>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</si>
  <si>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</si>
  <si>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</si>
  <si>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</si>
  <si>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</si>
  <si>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</si>
  <si>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</si>
  <si>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</si>
  <si>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</si>
  <si>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</si>
  <si>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</si>
  <si>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</si>
  <si>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</si>
  <si>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</si>
  <si>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</si>
  <si>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</si>
  <si>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</si>
  <si>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</si>
  <si>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</si>
  <si>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</si>
  <si>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</si>
  <si>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</si>
  <si>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</si>
  <si>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</si>
  <si>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</si>
  <si>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</si>
  <si>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</si>
  <si>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</si>
  <si>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</si>
  <si>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</si>
  <si>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</si>
  <si>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</si>
  <si>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</si>
  <si>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</si>
  <si>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</si>
  <si>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</si>
  <si>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</si>
  <si>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</si>
  <si>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</si>
  <si>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</si>
  <si>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</si>
  <si>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</si>
  <si>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</si>
  <si>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</si>
  <si>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</si>
  <si>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</si>
  <si>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</si>
  <si>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</si>
  <si>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</si>
  <si>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</si>
  <si>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</si>
  <si>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</si>
  <si>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</si>
  <si>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</si>
  <si>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</si>
  <si>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</si>
  <si>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</si>
  <si>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</si>
  <si>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</si>
  <si>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</si>
  <si>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</si>
  <si>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</si>
  <si>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</si>
  <si>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</si>
  <si>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</si>
  <si>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</si>
  <si>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</si>
  <si>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</si>
  <si>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</si>
  <si>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</si>
  <si>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</si>
  <si>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</si>
  <si>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</si>
  <si>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</si>
  <si>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</si>
  <si>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</si>
  <si>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</si>
  <si>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</si>
  <si>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</si>
  <si>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</si>
  <si>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</si>
  <si>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</si>
  <si>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</si>
  <si>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</si>
  <si>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</si>
  <si>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</si>
  <si>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</si>
  <si>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</si>
  <si>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</si>
  <si>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</si>
  <si>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</si>
  <si>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</si>
  <si>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</si>
  <si>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</si>
  <si>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</si>
  <si>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</si>
  <si>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</si>
  <si>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</si>
  <si>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</si>
  <si>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</si>
  <si>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</si>
  <si>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</si>
  <si>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</si>
  <si>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</si>
  <si>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</si>
  <si>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</si>
  <si>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</si>
  <si>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</si>
  <si>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</si>
  <si>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</si>
  <si>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</si>
  <si>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</si>
  <si>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</si>
  <si>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</si>
  <si>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</si>
  <si>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</si>
  <si>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</si>
  <si>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</si>
  <si>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</si>
  <si>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</si>
  <si>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</si>
  <si>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</si>
  <si>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</si>
  <si>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</si>
  <si>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</si>
  <si>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</si>
  <si>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</si>
  <si>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</si>
  <si>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</si>
  <si>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</si>
  <si>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</si>
  <si>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</si>
  <si>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</si>
  <si>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</si>
  <si>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</si>
  <si>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</si>
  <si>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</si>
  <si>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</si>
  <si>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</si>
  <si>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</si>
  <si>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</si>
  <si>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</si>
  <si>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</si>
  <si>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</si>
  <si>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</si>
  <si>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</si>
  <si>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</si>
  <si>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</si>
  <si>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</si>
  <si>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</si>
  <si>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</si>
  <si>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</si>
  <si>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</si>
  <si>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</si>
  <si>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</si>
  <si>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</si>
  <si>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</si>
  <si>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</si>
  <si>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</si>
  <si>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</si>
  <si>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</si>
  <si>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</si>
  <si>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</si>
  <si>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</si>
  <si>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</si>
  <si>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</si>
  <si>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</si>
  <si>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</si>
  <si>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</si>
  <si>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</si>
  <si>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</si>
  <si>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</si>
  <si>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</si>
  <si>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</si>
  <si>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</si>
  <si>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</si>
  <si>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</si>
  <si>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</si>
  <si>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</si>
  <si>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</si>
  <si>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</si>
  <si>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</si>
  <si>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</si>
  <si>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</si>
  <si>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</si>
  <si>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</si>
  <si>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</si>
  <si>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</si>
  <si>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</si>
  <si>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</si>
  <si>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</si>
  <si>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</si>
  <si>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</si>
  <si>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</si>
  <si>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</si>
  <si>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</si>
  <si>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</si>
  <si>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</si>
  <si>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</si>
  <si>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</si>
  <si>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</si>
  <si>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</si>
  <si>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</si>
  <si>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</si>
  <si>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</si>
  <si>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</si>
  <si>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</si>
  <si>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</si>
  <si>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</si>
  <si>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</si>
  <si>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</si>
  <si>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</si>
  <si>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</si>
  <si>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</si>
  <si>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</si>
  <si>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</si>
  <si>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</si>
  <si>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</si>
  <si>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</si>
  <si>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</si>
  <si>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</si>
  <si>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</si>
  <si>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</si>
  <si>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</si>
  <si>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</si>
  <si>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</si>
  <si>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</si>
  <si>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</si>
  <si>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</si>
  <si>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</si>
  <si>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</si>
  <si>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</si>
  <si>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</si>
  <si>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</si>
  <si>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</si>
  <si>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</si>
  <si>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</si>
  <si>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</si>
  <si>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</si>
  <si>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</si>
  <si>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</si>
  <si>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</si>
  <si>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</si>
  <si>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</si>
  <si>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</si>
  <si>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</si>
  <si>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</si>
  <si>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</si>
  <si>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</si>
  <si>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</si>
  <si>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</si>
  <si>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</si>
  <si>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</si>
  <si>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</si>
  <si>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</si>
  <si>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出让</t>
  </si>
  <si>
    <t>抵押</t>
  </si>
  <si>
    <t>房地产抵押价值</t>
  </si>
  <si>
    <t>其他：</t>
  </si>
  <si>
    <t>企业</t>
  </si>
  <si>
    <t>是</t>
  </si>
  <si>
    <t>地上</t>
  </si>
  <si>
    <t>成新度</t>
  </si>
  <si>
    <t>利息：取LPR加浮动点数</t>
  </si>
  <si>
    <t>收益法</t>
  </si>
  <si>
    <t>总价</t>
  </si>
  <si>
    <t>按租金收入计税</t>
  </si>
  <si>
    <t>钢混</t>
  </si>
  <si>
    <t>非生产用房</t>
  </si>
  <si>
    <t>否</t>
  </si>
  <si>
    <t>押一</t>
  </si>
  <si>
    <t>售价</t>
  </si>
  <si>
    <t>正常</t>
  </si>
  <si>
    <t>办公</t>
    <phoneticPr fontId="32" type="noConversion"/>
  </si>
  <si>
    <t>较好</t>
  </si>
  <si>
    <t>六通</t>
  </si>
  <si>
    <t>一般</t>
  </si>
  <si>
    <t>写字楼</t>
  </si>
  <si>
    <t>写字楼</t>
    <phoneticPr fontId="32" type="noConversion"/>
  </si>
  <si>
    <t>钢混</t>
    <phoneticPr fontId="32" type="noConversion"/>
  </si>
  <si>
    <t>精装</t>
  </si>
  <si>
    <t>精装</t>
    <phoneticPr fontId="32" type="noConversion"/>
  </si>
  <si>
    <t>甲级</t>
    <phoneticPr fontId="32" type="noConversion"/>
  </si>
  <si>
    <t>专业物业</t>
  </si>
  <si>
    <t>专业物业</t>
    <phoneticPr fontId="32" type="noConversion"/>
  </si>
  <si>
    <t>普通物业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</si>
  <si>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</si>
  <si>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</si>
  <si>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</si>
  <si>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</si>
  <si>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</si>
  <si>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普装</t>
    <phoneticPr fontId="32" type="noConversion"/>
  </si>
  <si>
    <t>简装</t>
    <phoneticPr fontId="32" type="noConversion"/>
  </si>
  <si>
    <t>毛坯</t>
  </si>
  <si>
    <t>毛坯</t>
    <phoneticPr fontId="32" type="noConversion"/>
  </si>
  <si>
    <t>财富中心</t>
    <phoneticPr fontId="3" type="noConversion"/>
  </si>
  <si>
    <t>跃层</t>
    <phoneticPr fontId="32" type="noConversion"/>
  </si>
  <si>
    <t>是</t>
    <phoneticPr fontId="32" type="noConversion"/>
  </si>
  <si>
    <t>否</t>
    <phoneticPr fontId="32" type="noConversion"/>
  </si>
  <si>
    <t>是</t>
    <phoneticPr fontId="32" type="noConversion"/>
  </si>
  <si>
    <t>40-50（含）</t>
  </si>
  <si>
    <t>高区</t>
  </si>
  <si>
    <t>高区</t>
    <phoneticPr fontId="32" type="noConversion"/>
  </si>
  <si>
    <t>中区</t>
  </si>
  <si>
    <t>中区</t>
    <phoneticPr fontId="32" type="noConversion"/>
  </si>
  <si>
    <t>低区</t>
    <phoneticPr fontId="32" type="noConversion"/>
  </si>
  <si>
    <t>信达国际办公楼</t>
    <phoneticPr fontId="3" type="noConversion"/>
  </si>
  <si>
    <t>30-40（含）</t>
  </si>
  <si>
    <t>较差</t>
  </si>
  <si>
    <t>龙湖原著天街</t>
    <phoneticPr fontId="3" type="noConversion"/>
  </si>
  <si>
    <t>2012</t>
    <phoneticPr fontId="32" type="noConversion"/>
  </si>
  <si>
    <t>房地产市场价值</t>
  </si>
  <si>
    <t>商业</t>
    <phoneticPr fontId="7" type="noConversion"/>
  </si>
  <si>
    <t>土地证号</t>
    <phoneticPr fontId="140" type="noConversion"/>
  </si>
  <si>
    <t>沈阳国用（2005）第0173号</t>
    <phoneticPr fontId="140" type="noConversion"/>
  </si>
  <si>
    <t>土地使用权人</t>
    <phoneticPr fontId="140" type="noConversion"/>
  </si>
  <si>
    <t>沈阳世达物流有限责任公司</t>
    <phoneticPr fontId="140" type="noConversion"/>
  </si>
  <si>
    <t>座落</t>
    <phoneticPr fontId="140" type="noConversion"/>
  </si>
  <si>
    <t>沈阳市东陵区长青街121号</t>
    <phoneticPr fontId="140" type="noConversion"/>
  </si>
  <si>
    <t>地类</t>
    <phoneticPr fontId="140" type="noConversion"/>
  </si>
  <si>
    <t>商业用地</t>
    <phoneticPr fontId="140" type="noConversion"/>
  </si>
  <si>
    <t>终止日期</t>
    <phoneticPr fontId="140" type="noConversion"/>
  </si>
  <si>
    <t>使用权面积</t>
    <phoneticPr fontId="140" type="noConversion"/>
  </si>
  <si>
    <t>沈阳国用（2005）第0174号</t>
  </si>
  <si>
    <t>沈阳国用（2005）第0175号</t>
  </si>
  <si>
    <t>房屋所有权证号</t>
    <phoneticPr fontId="140" type="noConversion"/>
  </si>
  <si>
    <t>沈房权证中心字第N060160283号</t>
    <phoneticPr fontId="140" type="noConversion"/>
  </si>
  <si>
    <t>房屋所有权人</t>
    <phoneticPr fontId="140" type="noConversion"/>
  </si>
  <si>
    <t>房屋坐落</t>
    <phoneticPr fontId="140" type="noConversion"/>
  </si>
  <si>
    <t>东陵区长青街121号</t>
    <phoneticPr fontId="140" type="noConversion"/>
  </si>
  <si>
    <t>规划用途</t>
    <phoneticPr fontId="140" type="noConversion"/>
  </si>
  <si>
    <t>商业</t>
    <phoneticPr fontId="140" type="noConversion"/>
  </si>
  <si>
    <t>总层数</t>
    <phoneticPr fontId="140" type="noConversion"/>
  </si>
  <si>
    <t>建筑面积</t>
    <phoneticPr fontId="140" type="noConversion"/>
  </si>
  <si>
    <r>
      <rPr>
        <sz val="11"/>
        <color indexed="8"/>
        <rFont val="宋体"/>
        <family val="3"/>
        <charset val="134"/>
      </rPr>
      <t>沈建委发〔</t>
    </r>
    <r>
      <rPr>
        <sz val="11"/>
        <color indexed="8"/>
        <rFont val="Arial"/>
        <family val="2"/>
      </rPr>
      <t>1999</t>
    </r>
    <r>
      <rPr>
        <sz val="11"/>
        <color indexed="8"/>
        <rFont val="宋体"/>
        <family val="3"/>
        <charset val="134"/>
      </rPr>
      <t>〕</t>
    </r>
    <r>
      <rPr>
        <sz val="11"/>
        <color indexed="8"/>
        <rFont val="Arial"/>
        <family val="2"/>
      </rPr>
      <t>93</t>
    </r>
    <r>
      <rPr>
        <sz val="11"/>
        <color indexed="8"/>
        <rFont val="宋体"/>
        <family val="3"/>
        <charset val="134"/>
      </rPr>
      <t>号</t>
    </r>
    <phoneticPr fontId="3" type="noConversion"/>
  </si>
  <si>
    <t>https://wenku.baidu.com/view/a273d80b5c0e7cd184254b35eefdc8d376ee142f.html</t>
    <phoneticPr fontId="3" type="noConversion"/>
  </si>
  <si>
    <t>未包含在土地购买价格中</t>
  </si>
  <si>
    <t>全部缴纳</t>
  </si>
  <si>
    <t>已包含在土地取得成本中</t>
  </si>
  <si>
    <t>1层</t>
    <phoneticPr fontId="140" type="noConversion"/>
  </si>
  <si>
    <t>2层</t>
    <phoneticPr fontId="140" type="noConversion"/>
  </si>
  <si>
    <t>3层</t>
    <phoneticPr fontId="140"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</si>
  <si>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</si>
  <si>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</si>
  <si>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</si>
  <si>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</si>
  <si>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</si>
  <si>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</si>
  <si>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</si>
  <si>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</si>
  <si>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</si>
  <si>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</si>
  <si>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</si>
  <si>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</si>
  <si>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</si>
  <si>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</si>
  <si>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</si>
  <si>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</si>
  <si>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</si>
  <si>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</si>
  <si>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</si>
  <si>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</si>
  <si>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法库县吉祥街道兴法东路22-1号</t>
  </si>
  <si>
    <t>沈阳市</t>
  </si>
  <si>
    <t>2021-2</t>
  </si>
  <si>
    <t xml:space="preserve"> 商业/办公用地</t>
  </si>
  <si>
    <t xml:space="preserve"> 小于或等于1.8</t>
  </si>
  <si>
    <t xml:space="preserve"> 挂牌</t>
  </si>
  <si>
    <t xml:space="preserve"> 商务金融用地</t>
  </si>
  <si>
    <t xml:space="preserve">-- </t>
  </si>
  <si>
    <t xml:space="preserve"> 已成交</t>
  </si>
  <si>
    <t xml:space="preserve"> 法库县农村信用合作联社  </t>
  </si>
  <si>
    <t>2021-03-26 15:00</t>
  </si>
  <si>
    <t>法库县冯贝堡镇冯贝堡村</t>
  </si>
  <si>
    <t>2020--17</t>
  </si>
  <si>
    <t xml:space="preserve"> 小于或等于0.6</t>
  </si>
  <si>
    <t xml:space="preserve"> 其他商服用地</t>
  </si>
  <si>
    <t xml:space="preserve"> 法库县冯贝堡国标加油站  </t>
  </si>
  <si>
    <t>2021-02-05 15:00</t>
  </si>
  <si>
    <t>和平大街101地块</t>
  </si>
  <si>
    <t>HP2020-1号</t>
  </si>
  <si>
    <t xml:space="preserve"> 小于或等于6</t>
  </si>
  <si>
    <t xml:space="preserve"> --</t>
  </si>
  <si>
    <t>2020-12-28 14:00</t>
  </si>
  <si>
    <t>康平县胜利街道明沈线北</t>
    <phoneticPr fontId="140" type="noConversion"/>
  </si>
  <si>
    <t>2020-010</t>
  </si>
  <si>
    <t xml:space="preserve"> 大于0.2并且小于0.5</t>
  </si>
  <si>
    <t xml:space="preserve"> 王伟东  </t>
  </si>
  <si>
    <t>2020-11-18 16:00</t>
  </si>
  <si>
    <t>紫薇路东地块</t>
  </si>
  <si>
    <t>SJT2020-06</t>
  </si>
  <si>
    <t xml:space="preserve"> 小于或等于1</t>
  </si>
  <si>
    <t xml:space="preserve"> 拍卖</t>
  </si>
  <si>
    <t xml:space="preserve"> 国网辽宁省电力有限公司沈阳供电公司  </t>
  </si>
  <si>
    <t>2020-11-16 14:00</t>
  </si>
  <si>
    <t>宁官06</t>
  </si>
  <si>
    <t>JK2020-016</t>
  </si>
  <si>
    <t xml:space="preserve"> 小于或等于3.5</t>
  </si>
  <si>
    <t xml:space="preserve"> 沈阳中德园开发建设集团有限公司  </t>
  </si>
  <si>
    <t>2020-10-12 14:00</t>
  </si>
  <si>
    <t>GN-RJ-03-11</t>
  </si>
  <si>
    <t>HN-19008</t>
  </si>
  <si>
    <t xml:space="preserve"> ≤1.2</t>
  </si>
  <si>
    <t xml:space="preserve"> 商业用地</t>
  </si>
  <si>
    <t xml:space="preserve"> 沈阳亿茂企业管理有限公司  </t>
  </si>
  <si>
    <t>沈阳近海经济区</t>
  </si>
  <si>
    <t>2020-37</t>
  </si>
  <si>
    <t xml:space="preserve"> 沈阳吉力石油化工有限公司  </t>
  </si>
  <si>
    <t>2020-07-02 15:00</t>
  </si>
  <si>
    <t>新民市新城街道</t>
  </si>
  <si>
    <t>2020-005</t>
  </si>
  <si>
    <t xml:space="preserve"> 小于0.5</t>
  </si>
  <si>
    <t xml:space="preserve"> 新民市新鑫加油加气站  </t>
  </si>
  <si>
    <t>2020-06-22 15:00</t>
  </si>
  <si>
    <t>新民市法哈牛镇</t>
  </si>
  <si>
    <t xml:space="preserve"> 新民市法哈牛加油站  </t>
  </si>
  <si>
    <t>法库县龙山街道石岗子村</t>
    <phoneticPr fontId="140" type="noConversion"/>
  </si>
  <si>
    <t>2020-5</t>
  </si>
  <si>
    <t xml:space="preserve"> 小于或等于1.7</t>
  </si>
  <si>
    <t xml:space="preserve"> 沈阳如意汽车销售有限公司  </t>
  </si>
  <si>
    <t>2020-05-13 15:00</t>
  </si>
  <si>
    <t>法库县依牛堡子镇花牛堡子村</t>
  </si>
  <si>
    <t>2020-3</t>
  </si>
  <si>
    <t xml:space="preserve"> 沈阳博泰石油天然气有限公司  </t>
  </si>
  <si>
    <t>法库县大孤家子镇半拉山村</t>
  </si>
  <si>
    <t>2020-8</t>
  </si>
  <si>
    <t xml:space="preserve"> 小于或等于1.3</t>
  </si>
  <si>
    <t xml:space="preserve"> 沈阳爱新觉罗祖家坊酒业有限公司  </t>
  </si>
  <si>
    <t>辽中区新民屯镇</t>
  </si>
  <si>
    <t>2019-38</t>
  </si>
  <si>
    <t xml:space="preserve"> 辽宁近海石油天然气有限公司  </t>
  </si>
  <si>
    <t>2019-003</t>
  </si>
  <si>
    <t xml:space="preserve"> 小于或等于0.5</t>
  </si>
  <si>
    <t xml:space="preserve"> 中国石化销售有限公司辽宁沈阳石油分公司  </t>
  </si>
  <si>
    <t>商业</t>
    <phoneticPr fontId="31" type="noConversion"/>
  </si>
  <si>
    <t xml:space="preserve"> 沈阳爱尔眼视光医院(有限公司)  </t>
    <phoneticPr fontId="140" type="noConversion"/>
  </si>
  <si>
    <t>七通</t>
  </si>
  <si>
    <t>七通</t>
    <phoneticPr fontId="31" type="noConversion"/>
  </si>
  <si>
    <t>六通</t>
    <phoneticPr fontId="31" type="noConversion"/>
  </si>
  <si>
    <t>较好</t>
    <phoneticPr fontId="31" type="noConversion"/>
  </si>
  <si>
    <t>五通</t>
    <phoneticPr fontId="31" type="noConversion"/>
  </si>
  <si>
    <t>四通</t>
    <phoneticPr fontId="31" type="noConversion"/>
  </si>
  <si>
    <t>三通</t>
  </si>
  <si>
    <t>三通</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</si>
  <si>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</si>
  <si>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</si>
  <si>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</si>
  <si>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</si>
  <si>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</si>
  <si>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</si>
  <si>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加权平均</t>
  </si>
  <si>
    <t>修正项2</t>
    <phoneticPr fontId="3" type="noConversion"/>
  </si>
  <si>
    <t>商业</t>
    <phoneticPr fontId="31" type="noConversion"/>
  </si>
  <si>
    <t>0-10（含）</t>
  </si>
  <si>
    <t>较大</t>
  </si>
  <si>
    <t>较大</t>
    <phoneticPr fontId="31" type="noConversion"/>
  </si>
  <si>
    <t>一般</t>
    <phoneticPr fontId="31" type="noConversion"/>
  </si>
  <si>
    <t>精装</t>
    <phoneticPr fontId="31" type="noConversion"/>
  </si>
  <si>
    <t>普装</t>
    <phoneticPr fontId="31" type="noConversion"/>
  </si>
  <si>
    <t>简装</t>
  </si>
  <si>
    <t>简装</t>
    <phoneticPr fontId="31" type="noConversion"/>
  </si>
  <si>
    <t>毛坯</t>
    <phoneticPr fontId="31" type="noConversion"/>
  </si>
  <si>
    <t>钢混</t>
    <phoneticPr fontId="31" type="noConversion"/>
  </si>
  <si>
    <t>精装</t>
    <phoneticPr fontId="31" type="noConversion"/>
  </si>
  <si>
    <t>商业综合体</t>
  </si>
  <si>
    <t>商业街</t>
    <phoneticPr fontId="31" type="noConversion"/>
  </si>
  <si>
    <t>商业综合体</t>
    <phoneticPr fontId="31" type="noConversion"/>
  </si>
  <si>
    <t>办公配套商业</t>
    <phoneticPr fontId="31" type="noConversion"/>
  </si>
  <si>
    <t>住宅配套商业</t>
  </si>
  <si>
    <t>住宅配套商业</t>
    <phoneticPr fontId="31" type="noConversion"/>
  </si>
  <si>
    <t>可明火</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</si>
  <si>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</si>
  <si>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</si>
  <si>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</si>
  <si>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</si>
  <si>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</si>
  <si>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超高层高</t>
    <phoneticPr fontId="31" type="noConversion"/>
  </si>
  <si>
    <t>标准层高</t>
    <phoneticPr fontId="31" type="noConversion"/>
  </si>
  <si>
    <t>典型户型修正 (2)</t>
    <phoneticPr fontId="16"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</si>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</sst>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53" fillId="13" borderId="0" xfId="0" applyNumberFormat="1" applyFont="1" applyFill="1" applyAlignment="1" applyProtection="1">
      <alignment horizontal="center" vertical="center"/>
      <protection locked="0"/>
    </xf>
    <xf numFmtId="0" fontId="134" fillId="20" borderId="5" xfId="0" applyFont="1" applyFill="1" applyBorder="1" applyAlignment="1" applyProtection="1">
      <alignment horizontal="center" vertical="center" wrapText="1"/>
      <protection locked="0"/>
    </xf>
    <xf numFmtId="0" fontId="234" fillId="20" borderId="108"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0" fontId="254" fillId="0" borderId="0" xfId="0" applyFont="1" applyAlignment="1">
      <alignment horizontal="left" vertical="center"/>
    </xf>
    <xf numFmtId="14" fontId="254" fillId="0" borderId="0" xfId="0" applyNumberFormat="1" applyFont="1" applyAlignment="1">
      <alignment horizontal="left" vertical="center"/>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254" fillId="0" borderId="0" xfId="17" applyNumberFormat="1" applyFont="1" applyAlignment="1">
      <alignment horizontal="left" vertical="center"/>
    </xf>
    <xf numFmtId="14" fontId="254" fillId="0" borderId="0" xfId="17" applyNumberFormat="1" applyFont="1" applyAlignment="1">
      <alignment horizontal="left" vertical="center"/>
    </xf>
    <xf numFmtId="0" fontId="254" fillId="8" borderId="0" xfId="17" applyNumberFormat="1" applyFont="1" applyFill="1" applyAlignment="1">
      <alignment horizontal="left" vertical="center"/>
    </xf>
    <xf numFmtId="14" fontId="254" fillId="8" borderId="0" xfId="17" applyNumberFormat="1" applyFont="1" applyFill="1" applyAlignment="1">
      <alignment horizontal="left" vertical="center"/>
    </xf>
    <xf numFmtId="0" fontId="254" fillId="9" borderId="0" xfId="17" applyNumberFormat="1" applyFont="1" applyFill="1" applyAlignment="1">
      <alignment horizontal="left" vertical="center"/>
    </xf>
    <xf numFmtId="14" fontId="254" fillId="9" borderId="0" xfId="17" applyNumberFormat="1" applyFont="1" applyFill="1" applyAlignment="1">
      <alignment horizontal="left" vertical="center"/>
    </xf>
    <xf numFmtId="0" fontId="254" fillId="0" borderId="0" xfId="17" applyNumberFormat="1" applyFont="1" applyFill="1" applyAlignment="1">
      <alignment horizontal="left" vertical="center"/>
    </xf>
    <xf numFmtId="14" fontId="254" fillId="0" borderId="0" xfId="17" applyNumberFormat="1" applyFont="1" applyFill="1" applyAlignment="1">
      <alignment horizontal="left" vertical="center"/>
    </xf>
    <xf numFmtId="0" fontId="236" fillId="0" borderId="44"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97" fillId="0" borderId="37" xfId="0" applyNumberFormat="1" applyFont="1" applyFill="1" applyBorder="1" applyAlignment="1" applyProtection="1">
      <alignment horizontal="center" vertical="center" wrapText="1"/>
      <protection locked="0"/>
    </xf>
    <xf numFmtId="181" fontId="46" fillId="20" borderId="1" xfId="0" applyNumberFormat="1" applyFont="1" applyFill="1" applyBorder="1" applyAlignment="1" applyProtection="1">
      <alignment vertical="center"/>
      <protection locked="0"/>
    </xf>
    <xf numFmtId="0" fontId="60" fillId="20" borderId="3" xfId="0" applyNumberFormat="1" applyFont="1" applyFill="1" applyBorder="1" applyAlignment="1" applyProtection="1">
      <alignment horizontal="center" vertical="center" wrapText="1"/>
      <protection locked="0"/>
    </xf>
    <xf numFmtId="0" fontId="55" fillId="20" borderId="0" xfId="0" applyFont="1" applyFill="1" applyBorder="1" applyAlignment="1" applyProtection="1">
      <alignment horizontal="center" vertical="center"/>
      <protection locked="0"/>
    </xf>
    <xf numFmtId="10" fontId="55" fillId="20" borderId="49" xfId="0" applyNumberFormat="1" applyFont="1" applyFill="1" applyBorder="1" applyAlignment="1" applyProtection="1">
      <alignment horizontal="center" vertical="center"/>
      <protection locked="0"/>
    </xf>
    <xf numFmtId="0" fontId="102" fillId="9" borderId="13" xfId="0" applyFont="1" applyFill="1" applyBorder="1" applyAlignment="1" applyProtection="1">
      <alignment horizontal="center" vertical="center"/>
      <protection locked="0"/>
    </xf>
    <xf numFmtId="0" fontId="234" fillId="0" borderId="108"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656715</xdr:colOff>
      <xdr:row>7</xdr:row>
      <xdr:rowOff>38010</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85800" y="514350"/>
          <a:ext cx="4085715" cy="723810"/>
        </a:xfrm>
        <a:prstGeom prst="rect">
          <a:avLst/>
        </a:prstGeom>
      </xdr:spPr>
    </xdr:pic>
    <xdr:clientData/>
  </xdr:twoCellAnchor>
  <xdr:twoCellAnchor editAs="oneCell">
    <xdr:from>
      <xdr:col>0</xdr:col>
      <xdr:colOff>485775</xdr:colOff>
      <xdr:row>12</xdr:row>
      <xdr:rowOff>0</xdr:rowOff>
    </xdr:from>
    <xdr:to>
      <xdr:col>12</xdr:col>
      <xdr:colOff>94271</xdr:colOff>
      <xdr:row>27</xdr:row>
      <xdr:rowOff>113964</xdr:rowOff>
    </xdr:to>
    <xdr:pic>
      <xdr:nvPicPr>
        <xdr:cNvPr id="3" name="图片 2">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485775" y="2057400"/>
          <a:ext cx="7838096" cy="2685714"/>
        </a:xfrm>
        <a:prstGeom prst="rect">
          <a:avLst/>
        </a:prstGeom>
      </xdr:spPr>
    </xdr:pic>
    <xdr:clientData/>
  </xdr:twoCellAnchor>
  <xdr:twoCellAnchor editAs="oneCell">
    <xdr:from>
      <xdr:col>1</xdr:col>
      <xdr:colOff>0</xdr:colOff>
      <xdr:row>30</xdr:row>
      <xdr:rowOff>0</xdr:rowOff>
    </xdr:from>
    <xdr:to>
      <xdr:col>9</xdr:col>
      <xdr:colOff>208838</xdr:colOff>
      <xdr:row>34</xdr:row>
      <xdr:rowOff>47533</xdr:rowOff>
    </xdr:to>
    <xdr:pic>
      <xdr:nvPicPr>
        <xdr:cNvPr id="4" name="图片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685800" y="5143500"/>
          <a:ext cx="5695238" cy="733333"/>
        </a:xfrm>
        <a:prstGeom prst="rect">
          <a:avLst/>
        </a:prstGeom>
      </xdr:spPr>
    </xdr:pic>
    <xdr:clientData/>
  </xdr:twoCellAnchor>
  <xdr:twoCellAnchor editAs="oneCell">
    <xdr:from>
      <xdr:col>1</xdr:col>
      <xdr:colOff>0</xdr:colOff>
      <xdr:row>37</xdr:row>
      <xdr:rowOff>0</xdr:rowOff>
    </xdr:from>
    <xdr:to>
      <xdr:col>13</xdr:col>
      <xdr:colOff>256115</xdr:colOff>
      <xdr:row>46</xdr:row>
      <xdr:rowOff>123617</xdr:rowOff>
    </xdr:to>
    <xdr:pic>
      <xdr:nvPicPr>
        <xdr:cNvPr id="5" name="图片 4">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685800" y="6343650"/>
          <a:ext cx="8485715" cy="1666667"/>
        </a:xfrm>
        <a:prstGeom prst="rect">
          <a:avLst/>
        </a:prstGeom>
      </xdr:spPr>
    </xdr:pic>
    <xdr:clientData/>
  </xdr:twoCellAnchor>
  <xdr:twoCellAnchor editAs="oneCell">
    <xdr:from>
      <xdr:col>0</xdr:col>
      <xdr:colOff>533400</xdr:colOff>
      <xdr:row>34</xdr:row>
      <xdr:rowOff>142875</xdr:rowOff>
    </xdr:from>
    <xdr:to>
      <xdr:col>14</xdr:col>
      <xdr:colOff>227439</xdr:colOff>
      <xdr:row>37</xdr:row>
      <xdr:rowOff>57096</xdr:rowOff>
    </xdr:to>
    <xdr:pic>
      <xdr:nvPicPr>
        <xdr:cNvPr id="6" name="图片 5">
          <a:extLst>
            <a:ext uri="{FF2B5EF4-FFF2-40B4-BE49-F238E27FC236}">
              <a16:creationId xmlns=""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533400" y="5972175"/>
          <a:ext cx="9295239" cy="428571"/>
        </a:xfrm>
        <a:prstGeom prst="rect">
          <a:avLst/>
        </a:prstGeom>
      </xdr:spPr>
    </xdr:pic>
    <xdr:clientData/>
  </xdr:twoCellAnchor>
  <xdr:twoCellAnchor editAs="oneCell">
    <xdr:from>
      <xdr:col>0</xdr:col>
      <xdr:colOff>409575</xdr:colOff>
      <xdr:row>9</xdr:row>
      <xdr:rowOff>66675</xdr:rowOff>
    </xdr:from>
    <xdr:to>
      <xdr:col>14</xdr:col>
      <xdr:colOff>103614</xdr:colOff>
      <xdr:row>11</xdr:row>
      <xdr:rowOff>152346</xdr:rowOff>
    </xdr:to>
    <xdr:pic>
      <xdr:nvPicPr>
        <xdr:cNvPr id="7" name="图片 6">
          <a:extLst>
            <a:ext uri="{FF2B5EF4-FFF2-40B4-BE49-F238E27FC236}">
              <a16:creationId xmlns="" xmlns:a16="http://schemas.microsoft.com/office/drawing/2014/main" id="{00000000-0008-0000-1600-000007000000}"/>
            </a:ext>
          </a:extLst>
        </xdr:cNvPr>
        <xdr:cNvPicPr>
          <a:picLocks noChangeAspect="1"/>
        </xdr:cNvPicPr>
      </xdr:nvPicPr>
      <xdr:blipFill>
        <a:blip xmlns:r="http://schemas.openxmlformats.org/officeDocument/2006/relationships" r:embed="rId5"/>
        <a:stretch>
          <a:fillRect/>
        </a:stretch>
      </xdr:blipFill>
      <xdr:spPr>
        <a:xfrm>
          <a:off x="409575" y="1609725"/>
          <a:ext cx="9295239" cy="428571"/>
        </a:xfrm>
        <a:prstGeom prst="rect">
          <a:avLst/>
        </a:prstGeom>
      </xdr:spPr>
    </xdr:pic>
    <xdr:clientData/>
  </xdr:twoCellAnchor>
  <xdr:twoCellAnchor editAs="oneCell">
    <xdr:from>
      <xdr:col>1</xdr:col>
      <xdr:colOff>0</xdr:colOff>
      <xdr:row>48</xdr:row>
      <xdr:rowOff>0</xdr:rowOff>
    </xdr:from>
    <xdr:to>
      <xdr:col>7</xdr:col>
      <xdr:colOff>209010</xdr:colOff>
      <xdr:row>51</xdr:row>
      <xdr:rowOff>76126</xdr:rowOff>
    </xdr:to>
    <xdr:pic>
      <xdr:nvPicPr>
        <xdr:cNvPr id="8" name="图片 7">
          <a:extLst>
            <a:ext uri="{FF2B5EF4-FFF2-40B4-BE49-F238E27FC236}">
              <a16:creationId xmlns="" xmlns:a16="http://schemas.microsoft.com/office/drawing/2014/main" id="{00000000-0008-0000-1600-000008000000}"/>
            </a:ext>
          </a:extLst>
        </xdr:cNvPr>
        <xdr:cNvPicPr>
          <a:picLocks noChangeAspect="1"/>
        </xdr:cNvPicPr>
      </xdr:nvPicPr>
      <xdr:blipFill>
        <a:blip xmlns:r="http://schemas.openxmlformats.org/officeDocument/2006/relationships" r:embed="rId6"/>
        <a:stretch>
          <a:fillRect/>
        </a:stretch>
      </xdr:blipFill>
      <xdr:spPr>
        <a:xfrm>
          <a:off x="685800" y="8229600"/>
          <a:ext cx="4323810" cy="590476"/>
        </a:xfrm>
        <a:prstGeom prst="rect">
          <a:avLst/>
        </a:prstGeom>
      </xdr:spPr>
    </xdr:pic>
    <xdr:clientData/>
  </xdr:twoCellAnchor>
  <xdr:twoCellAnchor editAs="oneCell">
    <xdr:from>
      <xdr:col>0</xdr:col>
      <xdr:colOff>666750</xdr:colOff>
      <xdr:row>52</xdr:row>
      <xdr:rowOff>95250</xdr:rowOff>
    </xdr:from>
    <xdr:to>
      <xdr:col>12</xdr:col>
      <xdr:colOff>551436</xdr:colOff>
      <xdr:row>67</xdr:row>
      <xdr:rowOff>18738</xdr:rowOff>
    </xdr:to>
    <xdr:pic>
      <xdr:nvPicPr>
        <xdr:cNvPr id="9" name="图片 8">
          <a:extLst>
            <a:ext uri="{FF2B5EF4-FFF2-40B4-BE49-F238E27FC236}">
              <a16:creationId xmlns="" xmlns:a16="http://schemas.microsoft.com/office/drawing/2014/main" id="{00000000-0008-0000-1600-000009000000}"/>
            </a:ext>
          </a:extLst>
        </xdr:cNvPr>
        <xdr:cNvPicPr>
          <a:picLocks noChangeAspect="1"/>
        </xdr:cNvPicPr>
      </xdr:nvPicPr>
      <xdr:blipFill>
        <a:blip xmlns:r="http://schemas.openxmlformats.org/officeDocument/2006/relationships" r:embed="rId7"/>
        <a:stretch>
          <a:fillRect/>
        </a:stretch>
      </xdr:blipFill>
      <xdr:spPr>
        <a:xfrm>
          <a:off x="666750" y="9010650"/>
          <a:ext cx="8114286" cy="2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17</xdr:row>
      <xdr:rowOff>142875</xdr:rowOff>
    </xdr:from>
    <xdr:to>
      <xdr:col>8</xdr:col>
      <xdr:colOff>894440</xdr:colOff>
      <xdr:row>48</xdr:row>
      <xdr:rowOff>161222</xdr:rowOff>
    </xdr:to>
    <xdr:pic>
      <xdr:nvPicPr>
        <xdr:cNvPr id="2" name="图片 1">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561975" y="3510915"/>
          <a:ext cx="7274285" cy="6160067"/>
        </a:xfrm>
        <a:prstGeom prst="rect">
          <a:avLst/>
        </a:prstGeom>
      </xdr:spPr>
    </xdr:pic>
    <xdr:clientData/>
  </xdr:twoCellAnchor>
  <xdr:twoCellAnchor>
    <xdr:from>
      <xdr:col>5</xdr:col>
      <xdr:colOff>428625</xdr:colOff>
      <xdr:row>29</xdr:row>
      <xdr:rowOff>171450</xdr:rowOff>
    </xdr:from>
    <xdr:to>
      <xdr:col>5</xdr:col>
      <xdr:colOff>581025</xdr:colOff>
      <xdr:row>30</xdr:row>
      <xdr:rowOff>142875</xdr:rowOff>
    </xdr:to>
    <xdr:sp macro="" textlink="">
      <xdr:nvSpPr>
        <xdr:cNvPr id="3" name="椭圆 2">
          <a:extLst>
            <a:ext uri="{FF2B5EF4-FFF2-40B4-BE49-F238E27FC236}">
              <a16:creationId xmlns="" xmlns:a16="http://schemas.microsoft.com/office/drawing/2014/main" id="{00000000-0008-0000-1900-000003000000}"/>
            </a:ext>
          </a:extLst>
        </xdr:cNvPr>
        <xdr:cNvSpPr/>
      </xdr:nvSpPr>
      <xdr:spPr>
        <a:xfrm>
          <a:off x="4985385" y="5916930"/>
          <a:ext cx="152400" cy="169545"/>
        </a:xfrm>
        <a:prstGeom prst="ellipse">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1362075</xdr:colOff>
      <xdr:row>32</xdr:row>
      <xdr:rowOff>104775</xdr:rowOff>
    </xdr:from>
    <xdr:to>
      <xdr:col>1</xdr:col>
      <xdr:colOff>123825</xdr:colOff>
      <xdr:row>34</xdr:row>
      <xdr:rowOff>19050</xdr:rowOff>
    </xdr:to>
    <xdr:sp macro="" textlink="">
      <xdr:nvSpPr>
        <xdr:cNvPr id="4" name="五角星 3">
          <a:extLst>
            <a:ext uri="{FF2B5EF4-FFF2-40B4-BE49-F238E27FC236}">
              <a16:creationId xmlns="" xmlns:a16="http://schemas.microsoft.com/office/drawing/2014/main" id="{00000000-0008-0000-1900-000004000000}"/>
            </a:ext>
          </a:extLst>
        </xdr:cNvPr>
        <xdr:cNvSpPr/>
      </xdr:nvSpPr>
      <xdr:spPr>
        <a:xfrm>
          <a:off x="1362075" y="6444615"/>
          <a:ext cx="285750" cy="310515"/>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9525</xdr:colOff>
      <xdr:row>39</xdr:row>
      <xdr:rowOff>0</xdr:rowOff>
    </xdr:from>
    <xdr:to>
      <xdr:col>5</xdr:col>
      <xdr:colOff>295275</xdr:colOff>
      <xdr:row>40</xdr:row>
      <xdr:rowOff>95250</xdr:rowOff>
    </xdr:to>
    <xdr:sp macro="" textlink="">
      <xdr:nvSpPr>
        <xdr:cNvPr id="5" name="五角星 4">
          <a:extLst>
            <a:ext uri="{FF2B5EF4-FFF2-40B4-BE49-F238E27FC236}">
              <a16:creationId xmlns="" xmlns:a16="http://schemas.microsoft.com/office/drawing/2014/main" id="{00000000-0008-0000-1900-000005000000}"/>
            </a:ext>
          </a:extLst>
        </xdr:cNvPr>
        <xdr:cNvSpPr/>
      </xdr:nvSpPr>
      <xdr:spPr>
        <a:xfrm>
          <a:off x="4566285" y="7726680"/>
          <a:ext cx="285750" cy="293370"/>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866775</xdr:colOff>
      <xdr:row>27</xdr:row>
      <xdr:rowOff>9525</xdr:rowOff>
    </xdr:from>
    <xdr:to>
      <xdr:col>4</xdr:col>
      <xdr:colOff>152400</xdr:colOff>
      <xdr:row>28</xdr:row>
      <xdr:rowOff>104775</xdr:rowOff>
    </xdr:to>
    <xdr:sp macro="" textlink="">
      <xdr:nvSpPr>
        <xdr:cNvPr id="6" name="五角星 5">
          <a:extLst>
            <a:ext uri="{FF2B5EF4-FFF2-40B4-BE49-F238E27FC236}">
              <a16:creationId xmlns="" xmlns:a16="http://schemas.microsoft.com/office/drawing/2014/main" id="{00000000-0008-0000-1900-000006000000}"/>
            </a:ext>
          </a:extLst>
        </xdr:cNvPr>
        <xdr:cNvSpPr/>
      </xdr:nvSpPr>
      <xdr:spPr>
        <a:xfrm>
          <a:off x="3655695" y="5358765"/>
          <a:ext cx="283845" cy="293370"/>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581025</xdr:colOff>
      <xdr:row>50</xdr:row>
      <xdr:rowOff>57150</xdr:rowOff>
    </xdr:from>
    <xdr:to>
      <xdr:col>4</xdr:col>
      <xdr:colOff>237694</xdr:colOff>
      <xdr:row>54</xdr:row>
      <xdr:rowOff>85631</xdr:rowOff>
    </xdr:to>
    <xdr:pic>
      <xdr:nvPicPr>
        <xdr:cNvPr id="7" name="图片 6">
          <a:extLst>
            <a:ext uri="{FF2B5EF4-FFF2-40B4-BE49-F238E27FC236}">
              <a16:creationId xmlns=""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581025" y="9963150"/>
          <a:ext cx="3443809" cy="820961"/>
        </a:xfrm>
        <a:prstGeom prst="rect">
          <a:avLst/>
        </a:prstGeom>
      </xdr:spPr>
    </xdr:pic>
    <xdr:clientData/>
  </xdr:twoCellAnchor>
  <xdr:twoCellAnchor editAs="oneCell">
    <xdr:from>
      <xdr:col>0</xdr:col>
      <xdr:colOff>419100</xdr:colOff>
      <xdr:row>55</xdr:row>
      <xdr:rowOff>28575</xdr:rowOff>
    </xdr:from>
    <xdr:to>
      <xdr:col>10</xdr:col>
      <xdr:colOff>560904</xdr:colOff>
      <xdr:row>63</xdr:row>
      <xdr:rowOff>142680</xdr:rowOff>
    </xdr:to>
    <xdr:pic>
      <xdr:nvPicPr>
        <xdr:cNvPr id="8" name="图片 7">
          <a:extLst>
            <a:ext uri="{FF2B5EF4-FFF2-40B4-BE49-F238E27FC236}">
              <a16:creationId xmlns="" xmlns:a16="http://schemas.microsoft.com/office/drawing/2014/main" id="{00000000-0008-0000-1900-000008000000}"/>
            </a:ext>
          </a:extLst>
        </xdr:cNvPr>
        <xdr:cNvPicPr>
          <a:picLocks noChangeAspect="1"/>
        </xdr:cNvPicPr>
      </xdr:nvPicPr>
      <xdr:blipFill>
        <a:blip xmlns:r="http://schemas.openxmlformats.org/officeDocument/2006/relationships" r:embed="rId3"/>
        <a:stretch>
          <a:fillRect/>
        </a:stretch>
      </xdr:blipFill>
      <xdr:spPr>
        <a:xfrm>
          <a:off x="419100" y="10925175"/>
          <a:ext cx="8561904" cy="1699065"/>
        </a:xfrm>
        <a:prstGeom prst="rect">
          <a:avLst/>
        </a:prstGeom>
      </xdr:spPr>
    </xdr:pic>
    <xdr:clientData/>
  </xdr:twoCellAnchor>
  <xdr:twoCellAnchor editAs="oneCell">
    <xdr:from>
      <xdr:col>0</xdr:col>
      <xdr:colOff>419100</xdr:colOff>
      <xdr:row>64</xdr:row>
      <xdr:rowOff>57150</xdr:rowOff>
    </xdr:from>
    <xdr:to>
      <xdr:col>10</xdr:col>
      <xdr:colOff>732333</xdr:colOff>
      <xdr:row>82</xdr:row>
      <xdr:rowOff>180553</xdr:rowOff>
    </xdr:to>
    <xdr:pic>
      <xdr:nvPicPr>
        <xdr:cNvPr id="9" name="图片 8">
          <a:extLst>
            <a:ext uri="{FF2B5EF4-FFF2-40B4-BE49-F238E27FC236}">
              <a16:creationId xmlns="" xmlns:a16="http://schemas.microsoft.com/office/drawing/2014/main" id="{00000000-0008-0000-1900-000009000000}"/>
            </a:ext>
          </a:extLst>
        </xdr:cNvPr>
        <xdr:cNvPicPr>
          <a:picLocks noChangeAspect="1"/>
        </xdr:cNvPicPr>
      </xdr:nvPicPr>
      <xdr:blipFill>
        <a:blip xmlns:r="http://schemas.openxmlformats.org/officeDocument/2006/relationships" r:embed="rId4"/>
        <a:stretch>
          <a:fillRect/>
        </a:stretch>
      </xdr:blipFill>
      <xdr:spPr>
        <a:xfrm>
          <a:off x="419100" y="12736830"/>
          <a:ext cx="8733333" cy="3689563"/>
        </a:xfrm>
        <a:prstGeom prst="rect">
          <a:avLst/>
        </a:prstGeom>
      </xdr:spPr>
    </xdr:pic>
    <xdr:clientData/>
  </xdr:twoCellAnchor>
  <xdr:twoCellAnchor editAs="oneCell">
    <xdr:from>
      <xdr:col>0</xdr:col>
      <xdr:colOff>1285875</xdr:colOff>
      <xdr:row>83</xdr:row>
      <xdr:rowOff>171450</xdr:rowOff>
    </xdr:from>
    <xdr:to>
      <xdr:col>8</xdr:col>
      <xdr:colOff>799292</xdr:colOff>
      <xdr:row>108</xdr:row>
      <xdr:rowOff>47075</xdr:rowOff>
    </xdr:to>
    <xdr:pic>
      <xdr:nvPicPr>
        <xdr:cNvPr id="10" name="图片 9">
          <a:extLst>
            <a:ext uri="{FF2B5EF4-FFF2-40B4-BE49-F238E27FC236}">
              <a16:creationId xmlns="" xmlns:a16="http://schemas.microsoft.com/office/drawing/2014/main" id="{00000000-0008-0000-1900-00000A000000}"/>
            </a:ext>
          </a:extLst>
        </xdr:cNvPr>
        <xdr:cNvPicPr>
          <a:picLocks noChangeAspect="1"/>
        </xdr:cNvPicPr>
      </xdr:nvPicPr>
      <xdr:blipFill>
        <a:blip xmlns:r="http://schemas.openxmlformats.org/officeDocument/2006/relationships" r:embed="rId5"/>
        <a:stretch>
          <a:fillRect/>
        </a:stretch>
      </xdr:blipFill>
      <xdr:spPr>
        <a:xfrm>
          <a:off x="1285875" y="16615410"/>
          <a:ext cx="6455237" cy="4828625"/>
        </a:xfrm>
        <a:prstGeom prst="rect">
          <a:avLst/>
        </a:prstGeom>
      </xdr:spPr>
    </xdr:pic>
    <xdr:clientData/>
  </xdr:twoCellAnchor>
  <xdr:twoCellAnchor editAs="oneCell">
    <xdr:from>
      <xdr:col>0</xdr:col>
      <xdr:colOff>723900</xdr:colOff>
      <xdr:row>110</xdr:row>
      <xdr:rowOff>85725</xdr:rowOff>
    </xdr:from>
    <xdr:to>
      <xdr:col>4</xdr:col>
      <xdr:colOff>580569</xdr:colOff>
      <xdr:row>114</xdr:row>
      <xdr:rowOff>142777</xdr:rowOff>
    </xdr:to>
    <xdr:pic>
      <xdr:nvPicPr>
        <xdr:cNvPr id="11" name="图片 10">
          <a:extLst>
            <a:ext uri="{FF2B5EF4-FFF2-40B4-BE49-F238E27FC236}">
              <a16:creationId xmlns="" xmlns:a16="http://schemas.microsoft.com/office/drawing/2014/main" id="{00000000-0008-0000-1900-00000B000000}"/>
            </a:ext>
          </a:extLst>
        </xdr:cNvPr>
        <xdr:cNvPicPr>
          <a:picLocks noChangeAspect="1"/>
        </xdr:cNvPicPr>
      </xdr:nvPicPr>
      <xdr:blipFill>
        <a:blip xmlns:r="http://schemas.openxmlformats.org/officeDocument/2006/relationships" r:embed="rId6"/>
        <a:stretch>
          <a:fillRect/>
        </a:stretch>
      </xdr:blipFill>
      <xdr:spPr>
        <a:xfrm>
          <a:off x="723900" y="21878925"/>
          <a:ext cx="3643809" cy="849532"/>
        </a:xfrm>
        <a:prstGeom prst="rect">
          <a:avLst/>
        </a:prstGeom>
      </xdr:spPr>
    </xdr:pic>
    <xdr:clientData/>
  </xdr:twoCellAnchor>
  <xdr:twoCellAnchor editAs="oneCell">
    <xdr:from>
      <xdr:col>0</xdr:col>
      <xdr:colOff>590550</xdr:colOff>
      <xdr:row>115</xdr:row>
      <xdr:rowOff>57150</xdr:rowOff>
    </xdr:from>
    <xdr:to>
      <xdr:col>10</xdr:col>
      <xdr:colOff>199021</xdr:colOff>
      <xdr:row>124</xdr:row>
      <xdr:rowOff>9327</xdr:rowOff>
    </xdr:to>
    <xdr:pic>
      <xdr:nvPicPr>
        <xdr:cNvPr id="12" name="图片 11">
          <a:extLst>
            <a:ext uri="{FF2B5EF4-FFF2-40B4-BE49-F238E27FC236}">
              <a16:creationId xmlns="" xmlns:a16="http://schemas.microsoft.com/office/drawing/2014/main" id="{00000000-0008-0000-1900-00000C000000}"/>
            </a:ext>
          </a:extLst>
        </xdr:cNvPr>
        <xdr:cNvPicPr>
          <a:picLocks noChangeAspect="1"/>
        </xdr:cNvPicPr>
      </xdr:nvPicPr>
      <xdr:blipFill>
        <a:blip xmlns:r="http://schemas.openxmlformats.org/officeDocument/2006/relationships" r:embed="rId7"/>
        <a:stretch>
          <a:fillRect/>
        </a:stretch>
      </xdr:blipFill>
      <xdr:spPr>
        <a:xfrm>
          <a:off x="590550" y="22840950"/>
          <a:ext cx="8028571" cy="1735257"/>
        </a:xfrm>
        <a:prstGeom prst="rect">
          <a:avLst/>
        </a:prstGeom>
      </xdr:spPr>
    </xdr:pic>
    <xdr:clientData/>
  </xdr:twoCellAnchor>
  <xdr:twoCellAnchor editAs="oneCell">
    <xdr:from>
      <xdr:col>0</xdr:col>
      <xdr:colOff>638175</xdr:colOff>
      <xdr:row>124</xdr:row>
      <xdr:rowOff>142875</xdr:rowOff>
    </xdr:from>
    <xdr:to>
      <xdr:col>11</xdr:col>
      <xdr:colOff>427502</xdr:colOff>
      <xdr:row>143</xdr:row>
      <xdr:rowOff>132922</xdr:rowOff>
    </xdr:to>
    <xdr:pic>
      <xdr:nvPicPr>
        <xdr:cNvPr id="13" name="图片 12">
          <a:extLst>
            <a:ext uri="{FF2B5EF4-FFF2-40B4-BE49-F238E27FC236}">
              <a16:creationId xmlns="" xmlns:a16="http://schemas.microsoft.com/office/drawing/2014/main" id="{00000000-0008-0000-1900-00000D000000}"/>
            </a:ext>
          </a:extLst>
        </xdr:cNvPr>
        <xdr:cNvPicPr>
          <a:picLocks noChangeAspect="1"/>
        </xdr:cNvPicPr>
      </xdr:nvPicPr>
      <xdr:blipFill>
        <a:blip xmlns:r="http://schemas.openxmlformats.org/officeDocument/2006/relationships" r:embed="rId8"/>
        <a:stretch>
          <a:fillRect/>
        </a:stretch>
      </xdr:blipFill>
      <xdr:spPr>
        <a:xfrm>
          <a:off x="638175" y="24709755"/>
          <a:ext cx="8979047" cy="3754327"/>
        </a:xfrm>
        <a:prstGeom prst="rect">
          <a:avLst/>
        </a:prstGeom>
      </xdr:spPr>
    </xdr:pic>
    <xdr:clientData/>
  </xdr:twoCellAnchor>
  <xdr:twoCellAnchor editAs="oneCell">
    <xdr:from>
      <xdr:col>0</xdr:col>
      <xdr:colOff>676275</xdr:colOff>
      <xdr:row>144</xdr:row>
      <xdr:rowOff>9525</xdr:rowOff>
    </xdr:from>
    <xdr:to>
      <xdr:col>10</xdr:col>
      <xdr:colOff>722841</xdr:colOff>
      <xdr:row>164</xdr:row>
      <xdr:rowOff>28120</xdr:rowOff>
    </xdr:to>
    <xdr:pic>
      <xdr:nvPicPr>
        <xdr:cNvPr id="14" name="图片 13">
          <a:extLst>
            <a:ext uri="{FF2B5EF4-FFF2-40B4-BE49-F238E27FC236}">
              <a16:creationId xmlns="" xmlns:a16="http://schemas.microsoft.com/office/drawing/2014/main" id="{00000000-0008-0000-1900-00000E000000}"/>
            </a:ext>
          </a:extLst>
        </xdr:cNvPr>
        <xdr:cNvPicPr>
          <a:picLocks noChangeAspect="1"/>
        </xdr:cNvPicPr>
      </xdr:nvPicPr>
      <xdr:blipFill>
        <a:blip xmlns:r="http://schemas.openxmlformats.org/officeDocument/2006/relationships" r:embed="rId9"/>
        <a:stretch>
          <a:fillRect/>
        </a:stretch>
      </xdr:blipFill>
      <xdr:spPr>
        <a:xfrm>
          <a:off x="676275" y="28538805"/>
          <a:ext cx="8466666" cy="3980995"/>
        </a:xfrm>
        <a:prstGeom prst="rect">
          <a:avLst/>
        </a:prstGeom>
      </xdr:spPr>
    </xdr:pic>
    <xdr:clientData/>
  </xdr:twoCellAnchor>
  <xdr:twoCellAnchor editAs="oneCell">
    <xdr:from>
      <xdr:col>0</xdr:col>
      <xdr:colOff>819150</xdr:colOff>
      <xdr:row>165</xdr:row>
      <xdr:rowOff>19050</xdr:rowOff>
    </xdr:from>
    <xdr:to>
      <xdr:col>11</xdr:col>
      <xdr:colOff>379905</xdr:colOff>
      <xdr:row>189</xdr:row>
      <xdr:rowOff>28031</xdr:rowOff>
    </xdr:to>
    <xdr:pic>
      <xdr:nvPicPr>
        <xdr:cNvPr id="15" name="图片 14">
          <a:extLst>
            <a:ext uri="{FF2B5EF4-FFF2-40B4-BE49-F238E27FC236}">
              <a16:creationId xmlns="" xmlns:a16="http://schemas.microsoft.com/office/drawing/2014/main" id="{00000000-0008-0000-1900-00000F000000}"/>
            </a:ext>
          </a:extLst>
        </xdr:cNvPr>
        <xdr:cNvPicPr>
          <a:picLocks noChangeAspect="1"/>
        </xdr:cNvPicPr>
      </xdr:nvPicPr>
      <xdr:blipFill>
        <a:blip xmlns:r="http://schemas.openxmlformats.org/officeDocument/2006/relationships" r:embed="rId10"/>
        <a:stretch>
          <a:fillRect/>
        </a:stretch>
      </xdr:blipFill>
      <xdr:spPr>
        <a:xfrm>
          <a:off x="819150" y="32708850"/>
          <a:ext cx="8750475" cy="4763861"/>
        </a:xfrm>
        <a:prstGeom prst="rect">
          <a:avLst/>
        </a:prstGeom>
      </xdr:spPr>
    </xdr:pic>
    <xdr:clientData/>
  </xdr:twoCellAnchor>
  <xdr:twoCellAnchor editAs="oneCell">
    <xdr:from>
      <xdr:col>0</xdr:col>
      <xdr:colOff>1019175</xdr:colOff>
      <xdr:row>191</xdr:row>
      <xdr:rowOff>9525</xdr:rowOff>
    </xdr:from>
    <xdr:to>
      <xdr:col>4</xdr:col>
      <xdr:colOff>599654</xdr:colOff>
      <xdr:row>195</xdr:row>
      <xdr:rowOff>95149</xdr:rowOff>
    </xdr:to>
    <xdr:pic>
      <xdr:nvPicPr>
        <xdr:cNvPr id="16" name="图片 15">
          <a:extLst>
            <a:ext uri="{FF2B5EF4-FFF2-40B4-BE49-F238E27FC236}">
              <a16:creationId xmlns="" xmlns:a16="http://schemas.microsoft.com/office/drawing/2014/main" id="{00000000-0008-0000-1900-000010000000}"/>
            </a:ext>
          </a:extLst>
        </xdr:cNvPr>
        <xdr:cNvPicPr>
          <a:picLocks noChangeAspect="1"/>
        </xdr:cNvPicPr>
      </xdr:nvPicPr>
      <xdr:blipFill>
        <a:blip xmlns:r="http://schemas.openxmlformats.org/officeDocument/2006/relationships" r:embed="rId11"/>
        <a:stretch>
          <a:fillRect/>
        </a:stretch>
      </xdr:blipFill>
      <xdr:spPr>
        <a:xfrm>
          <a:off x="1019175" y="37850445"/>
          <a:ext cx="3367619" cy="878104"/>
        </a:xfrm>
        <a:prstGeom prst="rect">
          <a:avLst/>
        </a:prstGeom>
      </xdr:spPr>
    </xdr:pic>
    <xdr:clientData/>
  </xdr:twoCellAnchor>
  <xdr:twoCellAnchor editAs="oneCell">
    <xdr:from>
      <xdr:col>0</xdr:col>
      <xdr:colOff>971550</xdr:colOff>
      <xdr:row>196</xdr:row>
      <xdr:rowOff>133350</xdr:rowOff>
    </xdr:from>
    <xdr:to>
      <xdr:col>11</xdr:col>
      <xdr:colOff>189448</xdr:colOff>
      <xdr:row>221</xdr:row>
      <xdr:rowOff>8975</xdr:rowOff>
    </xdr:to>
    <xdr:pic>
      <xdr:nvPicPr>
        <xdr:cNvPr id="17" name="图片 16">
          <a:extLst>
            <a:ext uri="{FF2B5EF4-FFF2-40B4-BE49-F238E27FC236}">
              <a16:creationId xmlns="" xmlns:a16="http://schemas.microsoft.com/office/drawing/2014/main" id="{00000000-0008-0000-1900-000011000000}"/>
            </a:ext>
          </a:extLst>
        </xdr:cNvPr>
        <xdr:cNvPicPr>
          <a:picLocks noChangeAspect="1"/>
        </xdr:cNvPicPr>
      </xdr:nvPicPr>
      <xdr:blipFill>
        <a:blip xmlns:r="http://schemas.openxmlformats.org/officeDocument/2006/relationships" r:embed="rId12"/>
        <a:stretch>
          <a:fillRect/>
        </a:stretch>
      </xdr:blipFill>
      <xdr:spPr>
        <a:xfrm>
          <a:off x="971550" y="38964870"/>
          <a:ext cx="8407618" cy="4828625"/>
        </a:xfrm>
        <a:prstGeom prst="rect">
          <a:avLst/>
        </a:prstGeom>
      </xdr:spPr>
    </xdr:pic>
    <xdr:clientData/>
  </xdr:twoCellAnchor>
  <xdr:twoCellAnchor editAs="oneCell">
    <xdr:from>
      <xdr:col>0</xdr:col>
      <xdr:colOff>847725</xdr:colOff>
      <xdr:row>205</xdr:row>
      <xdr:rowOff>161925</xdr:rowOff>
    </xdr:from>
    <xdr:to>
      <xdr:col>11</xdr:col>
      <xdr:colOff>437052</xdr:colOff>
      <xdr:row>225</xdr:row>
      <xdr:rowOff>75759</xdr:rowOff>
    </xdr:to>
    <xdr:pic>
      <xdr:nvPicPr>
        <xdr:cNvPr id="18" name="图片 17">
          <a:extLst>
            <a:ext uri="{FF2B5EF4-FFF2-40B4-BE49-F238E27FC236}">
              <a16:creationId xmlns="" xmlns:a16="http://schemas.microsoft.com/office/drawing/2014/main" id="{00000000-0008-0000-1900-000012000000}"/>
            </a:ext>
          </a:extLst>
        </xdr:cNvPr>
        <xdr:cNvPicPr>
          <a:picLocks noChangeAspect="1"/>
        </xdr:cNvPicPr>
      </xdr:nvPicPr>
      <xdr:blipFill>
        <a:blip xmlns:r="http://schemas.openxmlformats.org/officeDocument/2006/relationships" r:embed="rId13"/>
        <a:stretch>
          <a:fillRect/>
        </a:stretch>
      </xdr:blipFill>
      <xdr:spPr>
        <a:xfrm>
          <a:off x="847725" y="40776525"/>
          <a:ext cx="8779047" cy="3876234"/>
        </a:xfrm>
        <a:prstGeom prst="rect">
          <a:avLst/>
        </a:prstGeom>
      </xdr:spPr>
    </xdr:pic>
    <xdr:clientData/>
  </xdr:twoCellAnchor>
  <xdr:twoCellAnchor editAs="oneCell">
    <xdr:from>
      <xdr:col>0</xdr:col>
      <xdr:colOff>952500</xdr:colOff>
      <xdr:row>226</xdr:row>
      <xdr:rowOff>133350</xdr:rowOff>
    </xdr:from>
    <xdr:to>
      <xdr:col>11</xdr:col>
      <xdr:colOff>637065</xdr:colOff>
      <xdr:row>265</xdr:row>
      <xdr:rowOff>84849</xdr:rowOff>
    </xdr:to>
    <xdr:pic>
      <xdr:nvPicPr>
        <xdr:cNvPr id="19" name="图片 18">
          <a:extLst>
            <a:ext uri="{FF2B5EF4-FFF2-40B4-BE49-F238E27FC236}">
              <a16:creationId xmlns="" xmlns:a16="http://schemas.microsoft.com/office/drawing/2014/main" id="{00000000-0008-0000-1900-000013000000}"/>
            </a:ext>
          </a:extLst>
        </xdr:cNvPr>
        <xdr:cNvPicPr>
          <a:picLocks noChangeAspect="1"/>
        </xdr:cNvPicPr>
      </xdr:nvPicPr>
      <xdr:blipFill>
        <a:blip xmlns:r="http://schemas.openxmlformats.org/officeDocument/2006/relationships" r:embed="rId14"/>
        <a:stretch>
          <a:fillRect/>
        </a:stretch>
      </xdr:blipFill>
      <xdr:spPr>
        <a:xfrm>
          <a:off x="952500" y="44908470"/>
          <a:ext cx="8874285" cy="7678179"/>
        </a:xfrm>
        <a:prstGeom prst="rect">
          <a:avLst/>
        </a:prstGeom>
      </xdr:spPr>
    </xdr:pic>
    <xdr:clientData/>
  </xdr:twoCellAnchor>
  <xdr:twoCellAnchor editAs="oneCell">
    <xdr:from>
      <xdr:col>0</xdr:col>
      <xdr:colOff>476250</xdr:colOff>
      <xdr:row>266</xdr:row>
      <xdr:rowOff>161925</xdr:rowOff>
    </xdr:from>
    <xdr:to>
      <xdr:col>7</xdr:col>
      <xdr:colOff>1155</xdr:colOff>
      <xdr:row>292</xdr:row>
      <xdr:rowOff>56575</xdr:rowOff>
    </xdr:to>
    <xdr:pic>
      <xdr:nvPicPr>
        <xdr:cNvPr id="20" name="图片 19">
          <a:extLst>
            <a:ext uri="{FF2B5EF4-FFF2-40B4-BE49-F238E27FC236}">
              <a16:creationId xmlns="" xmlns:a16="http://schemas.microsoft.com/office/drawing/2014/main" id="{00000000-0008-0000-1900-000014000000}"/>
            </a:ext>
          </a:extLst>
        </xdr:cNvPr>
        <xdr:cNvPicPr>
          <a:picLocks noChangeAspect="1"/>
        </xdr:cNvPicPr>
      </xdr:nvPicPr>
      <xdr:blipFill>
        <a:blip xmlns:r="http://schemas.openxmlformats.org/officeDocument/2006/relationships" r:embed="rId15"/>
        <a:stretch>
          <a:fillRect/>
        </a:stretch>
      </xdr:blipFill>
      <xdr:spPr>
        <a:xfrm>
          <a:off x="476250" y="52861845"/>
          <a:ext cx="5994285" cy="5045770"/>
        </a:xfrm>
        <a:prstGeom prst="rect">
          <a:avLst/>
        </a:prstGeom>
      </xdr:spPr>
    </xdr:pic>
    <xdr:clientData/>
  </xdr:twoCellAnchor>
  <xdr:twoCellAnchor editAs="oneCell">
    <xdr:from>
      <xdr:col>8</xdr:col>
      <xdr:colOff>0</xdr:colOff>
      <xdr:row>267</xdr:row>
      <xdr:rowOff>0</xdr:rowOff>
    </xdr:from>
    <xdr:to>
      <xdr:col>17</xdr:col>
      <xdr:colOff>404864</xdr:colOff>
      <xdr:row>291</xdr:row>
      <xdr:rowOff>37553</xdr:rowOff>
    </xdr:to>
    <xdr:pic>
      <xdr:nvPicPr>
        <xdr:cNvPr id="21" name="图片 20">
          <a:extLst>
            <a:ext uri="{FF2B5EF4-FFF2-40B4-BE49-F238E27FC236}">
              <a16:creationId xmlns="" xmlns:a16="http://schemas.microsoft.com/office/drawing/2014/main" id="{00000000-0008-0000-1900-000015000000}"/>
            </a:ext>
          </a:extLst>
        </xdr:cNvPr>
        <xdr:cNvPicPr>
          <a:picLocks noChangeAspect="1"/>
        </xdr:cNvPicPr>
      </xdr:nvPicPr>
      <xdr:blipFill>
        <a:blip xmlns:r="http://schemas.openxmlformats.org/officeDocument/2006/relationships" r:embed="rId16"/>
        <a:stretch>
          <a:fillRect/>
        </a:stretch>
      </xdr:blipFill>
      <xdr:spPr>
        <a:xfrm>
          <a:off x="6941820" y="52898040"/>
          <a:ext cx="7201904" cy="47924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022&#27982;&#21335;&#21830;&#19994;&#22303;&#22320;&#20108;&#23457;-&#35299;&#22269;&#26126;20220920-1048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基准地价系数修正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row r="98">
          <cell r="B98" t="str">
            <v>毗邻道路的类型与等级</v>
          </cell>
        </row>
        <row r="113">
          <cell r="B113" t="str">
            <v>宗地开发程度</v>
          </cell>
        </row>
        <row r="115">
          <cell r="B115" t="str">
            <v>工程地质条件</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4" customWidth="1"/>
    <col min="2" max="2" width="81" style="1371" customWidth="1"/>
    <col min="3" max="16384" width="9" style="1369"/>
  </cols>
  <sheetData>
    <row r="1" spans="1:2" s="1357" customFormat="1" ht="16.2" thickBot="1">
      <c r="A1" s="1356" t="s">
        <v>1186</v>
      </c>
      <c r="B1" s="1355" t="s">
        <v>1265</v>
      </c>
    </row>
    <row r="2" spans="1:2" s="1360" customFormat="1" ht="16.2" thickTop="1">
      <c r="A2" s="1358" t="s">
        <v>1187</v>
      </c>
      <c r="B2" s="1359" t="str">
        <f>'预评函-封皮'!B37:I37</f>
        <v>房地产市场价值预评估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6.2" thickBot="1">
      <c r="A5" s="1364" t="s">
        <v>1190</v>
      </c>
      <c r="B5" s="1365" t="str">
        <f>'预评函-封皮'!B49</f>
        <v>康正预评字号</v>
      </c>
    </row>
    <row r="6" spans="1:2" s="1360" customFormat="1" ht="16.2" thickTop="1">
      <c r="A6" s="1358" t="s">
        <v>1191</v>
      </c>
      <c r="B6" s="1359" t="str">
        <f>'预评函-1'!A4</f>
        <v>受贵公司委托，我公司对房地产市场价值进行了预评估。</v>
      </c>
    </row>
    <row r="7" spans="1:2" s="1363" customFormat="1">
      <c r="A7" s="1361" t="s">
        <v>1231</v>
      </c>
      <c r="B7" s="1362" t="str">
        <f>'预评函-1'!A7</f>
        <v>估价对象为房地产，为所有。根据《国有土地使用证》[]，估价对象（分摊）出让国有建设用地使用权面积为27014.8平方米，建筑面积为43436.4平方米。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估价对象为房地产,属开发建设的，该项目尚在开发建设中。根据《国有土地使用证》[]，估价对象（分摊）出让国有建设用地使用权面积为27014.8平方米，规划建筑面积为43436.4平方米。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2021年12月31日</v>
      </c>
    </row>
    <row r="13" spans="1:2" s="1363" customFormat="1">
      <c r="A13" s="1361" t="s">
        <v>1194</v>
      </c>
      <c r="B13" s="1362" t="str">
        <f>'预评函-1'!A18</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v>
      </c>
    </row>
    <row r="16" spans="1:2" s="1363" customFormat="1">
      <c r="A16" s="1361" t="s">
        <v>1197</v>
      </c>
      <c r="B16" s="1362" t="str">
        <f>'预评函-1'!A21</f>
        <v>——</v>
      </c>
    </row>
    <row r="17" spans="1:2" s="1363" customFormat="1">
      <c r="A17" s="1361" t="s">
        <v>1198</v>
      </c>
      <c r="B17" s="1362" t="str">
        <f>'预评函-1'!A22</f>
        <v>——</v>
      </c>
    </row>
    <row r="18" spans="1:2" s="1357" customFormat="1" ht="16.2" thickBot="1">
      <c r="A18" s="1364" t="s">
        <v>1199</v>
      </c>
      <c r="B18" s="1365" t="str">
        <f>'预评函-1'!A24</f>
        <v>本次评估采用的主估价方法为成本法和收益法。</v>
      </c>
    </row>
    <row r="19" spans="1:2" s="1360" customFormat="1" ht="16.2" thickTop="1">
      <c r="A19" s="1358" t="s">
        <v>1200</v>
      </c>
      <c r="B19" s="13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3" customFormat="1">
      <c r="A20" s="1361" t="s">
        <v>1201</v>
      </c>
      <c r="B20" s="1362">
        <f ca="1">'预评函-2'!D5</f>
        <v>24828</v>
      </c>
    </row>
    <row r="21" spans="1:2" s="1363" customFormat="1">
      <c r="A21" s="1361" t="s">
        <v>1202</v>
      </c>
      <c r="B21" s="1362">
        <f ca="1">'预评函-2'!D7</f>
        <v>5716</v>
      </c>
    </row>
    <row r="22" spans="1:2" s="1363" customFormat="1">
      <c r="A22" s="1361" t="s">
        <v>1203</v>
      </c>
      <c r="B22" s="1362" t="str">
        <f ca="1">'预评函-2'!D6</f>
        <v>贰亿肆仟捌佰贰拾捌万元整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24828</v>
      </c>
    </row>
    <row r="31" spans="1:2" s="1363" customFormat="1">
      <c r="A31" s="1361" t="s">
        <v>1241</v>
      </c>
      <c r="B31" s="1362">
        <f ca="1">'预评函-2'!D15</f>
        <v>5716</v>
      </c>
    </row>
    <row r="32" spans="1:2" s="1363" customFormat="1">
      <c r="A32" s="1361" t="s">
        <v>1208</v>
      </c>
      <c r="B32" s="1362" t="str">
        <f ca="1">'预评函-2'!D14</f>
        <v>贰亿肆仟捌佰贰拾捌万元整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ht="31.2">
      <c r="A42" s="1361" t="s">
        <v>1255</v>
      </c>
      <c r="B42" s="1362" t="str">
        <f>'预评函-3'!B2</f>
        <v>建筑面积</v>
      </c>
    </row>
    <row r="43" spans="1:2" s="1363" customFormat="1">
      <c r="A43" s="1361" t="s">
        <v>1256</v>
      </c>
      <c r="B43" s="1362">
        <f>'预评函-3'!B4</f>
        <v>43436.4</v>
      </c>
    </row>
    <row r="44" spans="1:2" s="1363" customFormat="1" ht="31.2">
      <c r="A44" s="1361" t="s">
        <v>1240</v>
      </c>
      <c r="B44" s="1362" t="str">
        <f>'预评函-3'!C2</f>
        <v>(分摊)土地面积</v>
      </c>
    </row>
    <row r="45" spans="1:2" s="1363" customFormat="1">
      <c r="A45" s="1361" t="s">
        <v>1212</v>
      </c>
      <c r="B45" s="1362">
        <f>'预评函-3'!C4</f>
        <v>27014.799999999999</v>
      </c>
    </row>
    <row r="46" spans="1:2" s="1363" customFormat="1">
      <c r="A46" s="1361" t="s">
        <v>1238</v>
      </c>
      <c r="B46" s="1362" t="str">
        <f>'预评函-3'!D2</f>
        <v>出让国有建设用地使用权价值</v>
      </c>
    </row>
    <row r="47" spans="1:2" s="1363" customFormat="1">
      <c r="A47" s="1361" t="s">
        <v>1213</v>
      </c>
      <c r="B47" s="1362">
        <f ca="1">'预评函-3'!D4</f>
        <v>-51915</v>
      </c>
    </row>
    <row r="48" spans="1:2" s="1363" customFormat="1">
      <c r="A48" s="1361" t="s">
        <v>1214</v>
      </c>
      <c r="B48" s="1362">
        <f ca="1">'预评函-3'!E4</f>
        <v>-11952</v>
      </c>
    </row>
    <row r="49" spans="1:2" s="1363" customFormat="1">
      <c r="A49" s="1361" t="s">
        <v>1215</v>
      </c>
      <c r="B49" s="1362" t="e">
        <f ca="1">'预评函-3'!D5</f>
        <v>#NUM!</v>
      </c>
    </row>
    <row r="50" spans="1:2" s="1363" customFormat="1">
      <c r="A50" s="1361" t="s">
        <v>1239</v>
      </c>
      <c r="B50" s="1362" t="str">
        <f>'预评函-3'!F2</f>
        <v>在建建筑物价值</v>
      </c>
    </row>
    <row r="51" spans="1:2" s="1363" customFormat="1">
      <c r="A51" s="1361" t="s">
        <v>1216</v>
      </c>
      <c r="B51" s="1362">
        <f ca="1">'预评函-3'!F4</f>
        <v>76743</v>
      </c>
    </row>
    <row r="52" spans="1:2" s="1363" customFormat="1">
      <c r="A52" s="1361" t="s">
        <v>1217</v>
      </c>
      <c r="B52" s="1362">
        <f ca="1">'预评函-3'!G4</f>
        <v>17668</v>
      </c>
    </row>
    <row r="53" spans="1:2" s="1363" customFormat="1">
      <c r="A53" s="1361" t="s">
        <v>1245</v>
      </c>
      <c r="B53" s="1362" t="str">
        <f ca="1">'预评函-3'!F5</f>
        <v>柒亿陆仟柒佰肆拾叁万元整</v>
      </c>
    </row>
    <row r="54" spans="1:2" s="1363" customFormat="1">
      <c r="A54" s="1361" t="s">
        <v>1263</v>
      </c>
      <c r="B54" s="1362" t="str">
        <f>'预评函-3'!A8</f>
        <v/>
      </c>
    </row>
    <row r="55" spans="1:2" s="1363" customFormat="1">
      <c r="A55" s="1361" t="s">
        <v>1246</v>
      </c>
      <c r="B55" s="1362" t="str">
        <f>'预评函-3'!A10</f>
        <v/>
      </c>
    </row>
    <row r="56" spans="1:2" s="1363" customFormat="1">
      <c r="A56" s="1361" t="s">
        <v>1247</v>
      </c>
      <c r="B56" s="1362" t="str">
        <f>'预评函-3'!A12</f>
        <v/>
      </c>
    </row>
    <row r="57" spans="1:2" s="1357" customFormat="1" ht="16.2" thickBot="1">
      <c r="A57" s="1364" t="s">
        <v>1264</v>
      </c>
      <c r="B57" s="1365" t="str">
        <f>'预评函-3'!A6</f>
        <v/>
      </c>
    </row>
    <row r="58" spans="1:2" s="1360" customFormat="1" ht="16.2"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6.2" thickBot="1">
      <c r="A69" s="1364" t="s">
        <v>1226</v>
      </c>
      <c r="B69" s="1366">
        <f>'预评函-4'!C31</f>
        <v>42551</v>
      </c>
    </row>
    <row r="70" spans="1:2" ht="16.2" thickTop="1">
      <c r="A70" s="1367" t="s">
        <v>1227</v>
      </c>
      <c r="B70" s="1368">
        <f>'预评函-4'!A4</f>
        <v>0</v>
      </c>
    </row>
    <row r="71" spans="1:2">
      <c r="A71" s="1361" t="s">
        <v>1228</v>
      </c>
      <c r="B71" s="1362">
        <f>'预评函-4'!B4</f>
        <v>0</v>
      </c>
    </row>
    <row r="72" spans="1:2">
      <c r="A72" s="1361" t="s">
        <v>1229</v>
      </c>
      <c r="B72" s="1370">
        <f>'预评函-4'!A5</f>
        <v>0</v>
      </c>
    </row>
    <row r="73" spans="1:2" s="1357" customFormat="1" ht="16.2" thickBot="1">
      <c r="A73" s="1364" t="s">
        <v>1230</v>
      </c>
      <c r="B73" s="1365">
        <f>'预评函-4'!B5</f>
        <v>0</v>
      </c>
    </row>
    <row r="74" spans="1:2" ht="16.2"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739" customWidth="1"/>
    <col min="2" max="2" width="23.21875" style="1690" customWidth="1"/>
    <col min="3" max="3" width="13" style="1734" customWidth="1"/>
    <col min="4" max="4" width="5.77734375" style="1731" customWidth="1"/>
    <col min="5" max="5" width="7.109375" style="1731" customWidth="1"/>
    <col min="6" max="6" width="10.6640625" style="1731" customWidth="1"/>
    <col min="7" max="7" width="7.44140625" style="1731" customWidth="1"/>
    <col min="8" max="8" width="9" style="1734" customWidth="1"/>
    <col min="9" max="9" width="11.6640625" style="1734" customWidth="1"/>
    <col min="10" max="10" width="9" style="1734" customWidth="1"/>
    <col min="11" max="19" width="9" style="1731" customWidth="1"/>
    <col min="20" max="23" width="9" style="1734" customWidth="1"/>
    <col min="24" max="24" width="21.109375" style="1690" customWidth="1"/>
    <col min="25" max="16384" width="9" style="1690"/>
  </cols>
  <sheetData>
    <row r="1" spans="1:23" s="1728" customFormat="1" ht="28.8">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3287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34"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37" t="s">
        <v>832</v>
      </c>
      <c r="C54" s="1734" t="s">
        <v>1248</v>
      </c>
    </row>
    <row r="55" spans="1:4">
      <c r="A55" s="3134"/>
      <c r="B55" s="1737" t="s">
        <v>833</v>
      </c>
      <c r="C55" s="1734" t="s">
        <v>1249</v>
      </c>
    </row>
    <row r="56" spans="1:4">
      <c r="A56" s="3134"/>
      <c r="B56" s="1737" t="s">
        <v>834</v>
      </c>
      <c r="C56" s="1734" t="s">
        <v>1253</v>
      </c>
    </row>
    <row r="57" spans="1:4">
      <c r="A57" s="3134"/>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3.2"/>
  <cols>
    <col min="1" max="1" width="16.88671875" style="1929" customWidth="1"/>
    <col min="2" max="2" width="10" style="1929" customWidth="1"/>
    <col min="3" max="3" width="11.44140625" style="1929" customWidth="1"/>
    <col min="4" max="4" width="10" style="1929" customWidth="1"/>
    <col min="5" max="5" width="12.6640625" style="1929" customWidth="1"/>
    <col min="6" max="6" width="10" style="1929" customWidth="1"/>
    <col min="7" max="7" width="10.77734375" style="1929" customWidth="1"/>
    <col min="8" max="8" width="10" style="1929" customWidth="1"/>
    <col min="9" max="9" width="11.10937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8" thickBot="1">
      <c r="A1" s="2588" t="s">
        <v>2913</v>
      </c>
      <c r="B1" s="3135" t="str">
        <f>IF(B10="北京市","北京市",C10)&amp;F10&amp;IF(结果表!G1="在建","出让国有建设用地使用权及在建建筑物",IF(结果表!G1="土地","出让国有建设用地使用权",))&amp;B9&amp;"预评估"</f>
        <v>房地产市场价值预评估</v>
      </c>
      <c r="C1" s="3136"/>
      <c r="D1" s="3136"/>
      <c r="E1" s="3136"/>
      <c r="F1" s="3136"/>
      <c r="G1" s="3136"/>
      <c r="H1" s="3136"/>
      <c r="I1" s="3137"/>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房地产市场价值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8" t="s">
        <v>2915</v>
      </c>
      <c r="B3" s="2595"/>
      <c r="C3" s="2596" t="s">
        <v>2916</v>
      </c>
      <c r="D3" s="2595">
        <v>44561</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8" thickBot="1">
      <c r="A4" s="1249"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8"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3065</v>
      </c>
      <c r="C8" s="2612"/>
      <c r="D8" s="3138" t="s">
        <v>2922</v>
      </c>
      <c r="E8" s="2613" t="s">
        <v>3066</v>
      </c>
      <c r="F8" s="2614"/>
      <c r="G8" s="2888"/>
      <c r="H8" s="2888"/>
      <c r="I8" s="2888"/>
      <c r="J8" s="2663"/>
      <c r="K8" s="2838"/>
      <c r="L8" s="2837"/>
      <c r="M8" s="2837"/>
      <c r="N8" s="2663"/>
      <c r="O8" s="2674"/>
      <c r="P8" s="2663"/>
      <c r="Q8" s="2663"/>
      <c r="R8" s="2663"/>
    </row>
    <row r="9" spans="1:28" ht="13.8" thickBot="1">
      <c r="A9" s="2615" t="s">
        <v>2923</v>
      </c>
      <c r="B9" s="2616" t="s">
        <v>3120</v>
      </c>
      <c r="C9" s="2617"/>
      <c r="D9" s="3139"/>
      <c r="E9" s="2616"/>
      <c r="F9" s="2618"/>
      <c r="G9" s="2890"/>
      <c r="H9" s="2890"/>
      <c r="I9" s="2890"/>
      <c r="J9" s="2663"/>
      <c r="K9" s="2840"/>
      <c r="L9" s="2837"/>
      <c r="M9" s="2837"/>
      <c r="N9" s="2663"/>
      <c r="O9" s="2674"/>
      <c r="P9" s="2663"/>
      <c r="Q9" s="2663"/>
      <c r="R9" s="2663"/>
    </row>
    <row r="10" spans="1:28" ht="13.8" thickTop="1">
      <c r="A10" s="2619" t="s">
        <v>2924</v>
      </c>
      <c r="B10" s="2620" t="s">
        <v>3067</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3068</v>
      </c>
      <c r="C11" s="2625"/>
      <c r="D11" s="2626"/>
      <c r="E11" s="2592"/>
      <c r="F11" s="2592"/>
      <c r="G11" s="2592"/>
      <c r="H11" s="2592"/>
      <c r="I11" s="2592"/>
      <c r="J11" s="2663"/>
      <c r="K11" s="2840"/>
      <c r="L11" s="2837"/>
      <c r="M11" s="2837"/>
      <c r="N11" s="2663"/>
      <c r="O11" s="2674"/>
      <c r="P11" s="2663"/>
      <c r="Q11" s="2663"/>
      <c r="R11" s="2663"/>
    </row>
    <row r="12" spans="1:28">
      <c r="A12" s="2627" t="s">
        <v>2927</v>
      </c>
      <c r="B12" s="2624" t="s">
        <v>3064</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0"/>
      <c r="B13" s="2629"/>
      <c r="C13" s="2630" t="s">
        <v>2935</v>
      </c>
      <c r="D13" s="964"/>
      <c r="E13" s="964">
        <v>47965</v>
      </c>
      <c r="F13" s="964"/>
      <c r="G13" s="964"/>
      <c r="H13" s="964"/>
      <c r="I13" s="964"/>
      <c r="J13" s="2663"/>
      <c r="K13" s="2840"/>
      <c r="L13" s="2837"/>
      <c r="M13" s="2837"/>
      <c r="N13" s="2663"/>
      <c r="O13" s="2674"/>
      <c r="P13" s="2663"/>
      <c r="Q13" s="2663"/>
      <c r="R13" s="2663"/>
    </row>
    <row r="14" spans="1:28">
      <c r="A14" s="1240"/>
      <c r="B14" s="2629"/>
      <c r="C14" s="2630" t="s">
        <v>2936</v>
      </c>
      <c r="D14" s="2631"/>
      <c r="E14" s="2631">
        <v>40</v>
      </c>
      <c r="F14" s="2631"/>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f>IF(B12="出让",IF(E13="","",ROUNDDOWN(MIN((E13-$D$3)/365,E14),2)),E14)</f>
        <v>9.32</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45"/>
      <c r="C16" s="3146"/>
      <c r="D16" s="3147"/>
      <c r="E16" s="2637" t="s">
        <v>2939</v>
      </c>
      <c r="F16" s="3148"/>
      <c r="G16" s="3149"/>
      <c r="H16" s="3149"/>
      <c r="I16" s="3150"/>
      <c r="J16" s="2663"/>
      <c r="K16" s="2842"/>
      <c r="L16" s="2675"/>
      <c r="M16" s="2675"/>
      <c r="N16" s="2733"/>
      <c r="O16" s="2675"/>
      <c r="P16" s="2733"/>
      <c r="Q16" s="2663"/>
      <c r="R16" s="2663"/>
    </row>
    <row r="17" spans="1:28">
      <c r="A17" s="319" t="s">
        <v>2940</v>
      </c>
      <c r="B17" s="308" t="s">
        <v>2941</v>
      </c>
      <c r="C17" s="11">
        <f>'数据-汇总表'!E3</f>
        <v>43436.4</v>
      </c>
      <c r="D17" s="2543" t="s">
        <v>2942</v>
      </c>
      <c r="E17" s="3151" t="s">
        <v>2943</v>
      </c>
      <c r="F17" s="3152"/>
      <c r="G17" s="3152"/>
      <c r="H17" s="3152"/>
      <c r="I17" s="3153"/>
      <c r="J17" s="2663"/>
      <c r="K17" s="2843"/>
      <c r="L17" s="2675"/>
      <c r="M17" s="2675"/>
      <c r="N17" s="2733"/>
      <c r="O17" s="2675"/>
      <c r="P17" s="2733"/>
      <c r="Q17" s="2663"/>
      <c r="R17" s="2663"/>
      <c r="S17" s="2663"/>
      <c r="T17" s="2663"/>
      <c r="U17" s="2663"/>
      <c r="V17" s="2663"/>
    </row>
    <row r="18" spans="1:28" ht="24.6" thickBot="1">
      <c r="A18" s="2638" t="s">
        <v>2944</v>
      </c>
      <c r="B18" s="1249" t="s">
        <v>2945</v>
      </c>
      <c r="C18" s="2639">
        <f>'数据-汇总表'!D3</f>
        <v>27014.799999999999</v>
      </c>
      <c r="D18" s="1251" t="s">
        <v>2946</v>
      </c>
      <c r="E18" s="3154" t="s">
        <v>2947</v>
      </c>
      <c r="F18" s="3155"/>
      <c r="G18" s="3155"/>
      <c r="H18" s="3155"/>
      <c r="I18" s="3156"/>
      <c r="J18" s="2663"/>
      <c r="K18" s="2843"/>
      <c r="L18" s="2675"/>
      <c r="M18" s="2675"/>
      <c r="N18" s="2733"/>
      <c r="O18" s="2675"/>
      <c r="P18" s="2733"/>
      <c r="Q18" s="2663"/>
      <c r="R18" s="2663"/>
      <c r="S18" s="2663"/>
      <c r="T18" s="2663"/>
      <c r="U18" s="2663"/>
      <c r="V18" s="2663"/>
    </row>
    <row r="19" spans="1:28" ht="37.200000000000003"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41" t="s">
        <v>2951</v>
      </c>
      <c r="C20" s="3142"/>
      <c r="D20" s="3143" t="s">
        <v>2952</v>
      </c>
      <c r="E20" s="3144"/>
      <c r="F20" s="2872" t="s">
        <v>1742</v>
      </c>
      <c r="G20" s="2889"/>
      <c r="H20" s="2889"/>
      <c r="I20" s="2889"/>
      <c r="J20" s="2663"/>
      <c r="K20" s="3140"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36.6" thickBot="1">
      <c r="A21" s="2857"/>
      <c r="B21" s="2858" t="s">
        <v>2954</v>
      </c>
      <c r="C21" s="2859" t="s">
        <v>1743</v>
      </c>
      <c r="D21" s="1751" t="s">
        <v>2955</v>
      </c>
      <c r="E21" s="2860" t="s">
        <v>1743</v>
      </c>
      <c r="F21" s="2873"/>
      <c r="G21" s="2889"/>
      <c r="H21" s="2889"/>
      <c r="I21" s="2889"/>
      <c r="J21" s="2663"/>
      <c r="K21" s="314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36.6" thickBot="1">
      <c r="A22" s="2857"/>
      <c r="B22" s="2861" t="s">
        <v>2956</v>
      </c>
      <c r="C22" s="2859" t="s">
        <v>1744</v>
      </c>
      <c r="D22" s="2888"/>
      <c r="E22" s="2888"/>
      <c r="F22" s="2888"/>
      <c r="G22" s="2889"/>
      <c r="H22" s="2889"/>
      <c r="I22" s="2889"/>
      <c r="J22" s="2663"/>
      <c r="K22" s="314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8"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8" thickTop="1">
      <c r="A27" s="3158"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8"/>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8"/>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9"/>
      <c r="B30" s="308" t="s">
        <v>2963</v>
      </c>
      <c r="C30" s="3160"/>
      <c r="D30" s="3161"/>
      <c r="E30" s="2889"/>
      <c r="F30" s="2889"/>
      <c r="G30" s="2889"/>
      <c r="H30" s="2889"/>
      <c r="I30" s="2889"/>
      <c r="J30" s="2663"/>
      <c r="K30" s="2840"/>
      <c r="L30" s="2837"/>
      <c r="M30" s="2837"/>
      <c r="N30" s="2663"/>
      <c r="O30" s="2674"/>
      <c r="P30" s="2663"/>
      <c r="Q30" s="2663"/>
      <c r="R30" s="2663"/>
      <c r="S30" s="2663"/>
      <c r="T30" s="2663"/>
      <c r="U30" s="2663"/>
      <c r="V30" s="2663"/>
    </row>
    <row r="31" spans="1:28">
      <c r="A31" s="3162"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63"/>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63"/>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57" t="s">
        <v>2973</v>
      </c>
      <c r="T34" s="2652" t="str">
        <f>NUMBERSTRING(7-K34,1)&amp;"通"</f>
        <v>七通</v>
      </c>
      <c r="U34" s="2663"/>
      <c r="V34" s="2663"/>
    </row>
    <row r="35" spans="1:30">
      <c r="A35" s="2653"/>
      <c r="B35" s="3164" t="s">
        <v>2974</v>
      </c>
      <c r="C35" s="3164"/>
      <c r="D35" s="3164"/>
      <c r="E35" s="3164"/>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7"/>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8" thickBot="1">
      <c r="A38" s="2856" t="s">
        <v>2976</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4"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2">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46.8">
      <c r="A3" s="3165"/>
      <c r="B3" s="3165"/>
      <c r="C3" s="3165"/>
      <c r="D3" s="3166"/>
      <c r="E3" s="316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8671875" defaultRowHeight="13.8"/>
  <cols>
    <col min="1" max="1" width="10.6640625" style="1756" customWidth="1"/>
    <col min="2" max="2" width="11" style="1756" customWidth="1"/>
    <col min="3" max="3" width="10.33203125" style="1756" customWidth="1"/>
    <col min="4" max="4" width="9.109375" style="1756" customWidth="1"/>
    <col min="5" max="6" width="10" style="1817" customWidth="1"/>
    <col min="7" max="8" width="10" style="1756" customWidth="1"/>
    <col min="9" max="9" width="10.6640625" style="1756" customWidth="1"/>
    <col min="10" max="10" width="9.44140625" style="1756" customWidth="1"/>
    <col min="11" max="11" width="11" style="1756" customWidth="1"/>
    <col min="12" max="14" width="9.44140625" style="1756" customWidth="1"/>
    <col min="15" max="15" width="9.88671875" style="1756" customWidth="1"/>
    <col min="16" max="16" width="9.77734375" style="1756" customWidth="1"/>
    <col min="17" max="17" width="9.33203125" style="1756" customWidth="1"/>
    <col min="18" max="18" width="9.21875" style="1756" customWidth="1"/>
    <col min="19" max="19" width="10.88671875" style="1756" customWidth="1"/>
    <col min="20" max="21" width="10.77734375" style="1756" customWidth="1"/>
    <col min="22" max="22" width="10.88671875" style="1756" customWidth="1"/>
    <col min="23" max="27" width="10.77734375" style="1756" customWidth="1"/>
    <col min="28" max="28" width="10.88671875" style="1756" customWidth="1"/>
    <col min="29" max="29" width="11" style="1756" bestFit="1" customWidth="1"/>
    <col min="30" max="30" width="10" style="1756" bestFit="1" customWidth="1"/>
    <col min="31" max="31" width="9.77734375" style="1756" customWidth="1"/>
    <col min="32" max="46" width="9.44140625" style="1756" customWidth="1"/>
    <col min="47" max="47" width="18.109375" style="1756" customWidth="1"/>
    <col min="48" max="50" width="9.77734375" style="1756" customWidth="1"/>
    <col min="51" max="55" width="10.44140625" style="1756" bestFit="1" customWidth="1"/>
    <col min="56" max="56" width="9.44140625" style="1756" bestFit="1" customWidth="1"/>
    <col min="57" max="63" width="9.109375" style="1756" bestFit="1" customWidth="1"/>
    <col min="64" max="64" width="9.44140625" style="1756" bestFit="1" customWidth="1"/>
    <col min="65" max="65" width="9.109375" style="1756" bestFit="1" customWidth="1"/>
    <col min="66" max="66" width="9.44140625" style="1756" bestFit="1" customWidth="1"/>
    <col min="67" max="69" width="9.109375" style="1756" bestFit="1" customWidth="1"/>
    <col min="70" max="70" width="9.44140625" style="1756" bestFit="1" customWidth="1"/>
    <col min="71" max="71" width="9" style="1756" customWidth="1"/>
    <col min="72" max="72" width="9.109375" style="1756" bestFit="1" customWidth="1"/>
    <col min="73" max="16384" width="8.88671875" style="1756"/>
  </cols>
  <sheetData>
    <row r="1" spans="1:72" ht="21">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3.2">
      <c r="A3" s="13">
        <f>Sheet1!G7</f>
        <v>27014.799999999999</v>
      </c>
      <c r="B3" s="14">
        <f>IF(C3="否",G5-AT5,G5)</f>
        <v>43436.4</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3.2">
      <c r="A5" s="15" t="s">
        <v>1757</v>
      </c>
      <c r="B5" s="1529"/>
      <c r="C5" s="1529"/>
      <c r="D5" s="1531"/>
      <c r="E5" s="16" t="s">
        <v>1</v>
      </c>
      <c r="F5" s="16">
        <f>SUM(F13:F587)</f>
        <v>0</v>
      </c>
      <c r="G5" s="16">
        <f>SUM(G13:G587)</f>
        <v>43436.4</v>
      </c>
      <c r="H5" s="16">
        <f t="shared" ref="H5:AT5" si="0">SUM(H13:H656)</f>
        <v>43436.4</v>
      </c>
      <c r="I5" s="16">
        <f t="shared" si="0"/>
        <v>43436.4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43436.4</v>
      </c>
      <c r="BA5" s="18">
        <f t="shared" si="1"/>
        <v>43436.4</v>
      </c>
      <c r="BB5" s="18">
        <f t="shared" si="1"/>
        <v>43436.4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3.2">
      <c r="A6" s="15" t="s">
        <v>1758</v>
      </c>
      <c r="B6" s="1769"/>
      <c r="C6" s="1769"/>
      <c r="D6" s="1770"/>
      <c r="E6" s="16">
        <f>H6+AC6+AT6</f>
        <v>27014.799999999999</v>
      </c>
      <c r="F6" s="16" t="s">
        <v>1</v>
      </c>
      <c r="G6" s="16" t="s">
        <v>2</v>
      </c>
      <c r="H6" s="20">
        <f>SUMIF(I$12:AB$12,"总值",I6:AB6)</f>
        <v>27014.799999999999</v>
      </c>
      <c r="I6" s="16">
        <f t="shared" ref="I6:AB6" si="2">ROUND($A$3*I5/$B$3,2)</f>
        <v>27014.799999999999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27014.799999999999</v>
      </c>
      <c r="AZ6" s="16" t="s">
        <v>3</v>
      </c>
      <c r="BA6" s="16">
        <f>ROUND($AY$6*BA5/$AZ$5,2)</f>
        <v>27014.799999999999</v>
      </c>
      <c r="BB6" s="16">
        <f>ROUND($AY$6*BB5/$AZ$5,2)</f>
        <v>27014.799999999999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5.2">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3.2">
      <c r="A9" s="1777"/>
      <c r="B9" s="1777"/>
      <c r="C9" s="1777"/>
      <c r="D9" s="1777"/>
      <c r="E9" s="1777"/>
      <c r="F9" s="1777"/>
      <c r="G9" s="1201"/>
      <c r="H9" s="1785" t="s">
        <v>1777</v>
      </c>
      <c r="I9" s="1786" t="s">
        <v>3070</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3.2">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3.2">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3.2">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3.2">
      <c r="A13" s="1181"/>
      <c r="B13" s="1181"/>
      <c r="C13" s="1181"/>
      <c r="D13" s="1808" t="s">
        <v>3069</v>
      </c>
      <c r="E13" s="16">
        <f>IF($C$3="是",ROUND($A$3*G13/$B$3,2),ROUND($A$3*(G13-AT13)/$B$3,2))</f>
        <v>27014.799999999999</v>
      </c>
      <c r="F13" s="32"/>
      <c r="G13" s="33">
        <f>H13+AC13+AT13</f>
        <v>43436.4</v>
      </c>
      <c r="H13" s="20">
        <f>SUMIF(I$12:AB$12,"总值",I13:AB13)</f>
        <v>43436.4</v>
      </c>
      <c r="I13" s="1809">
        <v>43436.4</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27014.799999999999</v>
      </c>
      <c r="AZ13" s="16">
        <f>BA13+BL13</f>
        <v>43436.4</v>
      </c>
      <c r="BA13" s="16">
        <f>SUM(BB13:BK13)</f>
        <v>43436.4</v>
      </c>
      <c r="BB13" s="16">
        <f>IF($D13="是",I13-J13,0)</f>
        <v>43436.4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3.2">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3.2">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3.2">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3.2">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F35" sqref="F35"/>
    </sheetView>
  </sheetViews>
  <sheetFormatPr defaultColWidth="9.21875" defaultRowHeight="13.8"/>
  <cols>
    <col min="1" max="1" width="12.109375" style="1821" customWidth="1"/>
    <col min="2" max="2" width="10.21875" style="1821" customWidth="1"/>
    <col min="3" max="3" width="18.44140625" style="1821" customWidth="1"/>
    <col min="4" max="4" width="11.6640625" style="1821" customWidth="1"/>
    <col min="5" max="5" width="13.33203125" style="1821" customWidth="1"/>
    <col min="6" max="8" width="11.44140625" style="1821" customWidth="1"/>
    <col min="9" max="9" width="11.109375" style="1821" customWidth="1"/>
    <col min="10" max="10" width="3.109375" style="2874" customWidth="1"/>
    <col min="11" max="16" width="10" style="1821" customWidth="1"/>
    <col min="17" max="17" width="2.6640625" style="1821" customWidth="1"/>
    <col min="18" max="18" width="9.33203125" style="1821" bestFit="1" customWidth="1"/>
    <col min="19" max="19" width="10.44140625" style="1821" bestFit="1" customWidth="1"/>
    <col min="20" max="16384" width="9.21875" style="1821"/>
  </cols>
  <sheetData>
    <row r="1" spans="1:16" ht="18" thickBot="1">
      <c r="A1" s="1820" t="s">
        <v>1816</v>
      </c>
      <c r="B1" s="1300"/>
      <c r="C1" s="1300"/>
      <c r="D1" s="1300"/>
      <c r="E1" s="1300"/>
      <c r="F1" s="1300"/>
      <c r="G1" s="1300"/>
      <c r="H1" s="1300"/>
      <c r="I1" s="1300"/>
      <c r="J1" s="1300"/>
      <c r="K1" s="1300"/>
      <c r="L1" s="1300"/>
      <c r="M1" s="1300"/>
      <c r="N1" s="1300"/>
      <c r="O1" s="1300"/>
      <c r="P1" s="1300"/>
    </row>
    <row r="2" spans="1:16" ht="14.4">
      <c r="A2" s="3176" t="s">
        <v>1817</v>
      </c>
      <c r="B2" s="3176"/>
      <c r="C2" s="3176"/>
      <c r="D2" s="903" t="s">
        <v>1793</v>
      </c>
      <c r="E2" s="1822" t="s">
        <v>1794</v>
      </c>
      <c r="F2" s="2884"/>
      <c r="G2" s="2875"/>
      <c r="H2" s="2876"/>
      <c r="I2" s="2546" t="s">
        <v>1818</v>
      </c>
      <c r="J2" s="2884"/>
      <c r="K2" s="2884"/>
      <c r="L2" s="2884"/>
      <c r="M2" s="2884"/>
      <c r="N2" s="2886"/>
      <c r="O2" s="2884"/>
      <c r="P2" s="2884"/>
    </row>
    <row r="3" spans="1:16" ht="15" thickBot="1">
      <c r="A3" s="3177" t="s">
        <v>1791</v>
      </c>
      <c r="B3" s="3177"/>
      <c r="C3" s="3177"/>
      <c r="D3" s="46">
        <f>'数据-基础表'!AY6</f>
        <v>27014.799999999999</v>
      </c>
      <c r="E3" s="46">
        <f>'数据-基础表'!AZ5</f>
        <v>43436.4</v>
      </c>
      <c r="F3" s="2884"/>
      <c r="G3" s="1306"/>
      <c r="H3" s="1156" t="s">
        <v>1792</v>
      </c>
      <c r="I3" s="963">
        <f>ROUND('数据-基础表'!B3/'数据-基础表'!A3,2)</f>
        <v>1.61</v>
      </c>
      <c r="J3" s="2884"/>
      <c r="K3" s="2884"/>
      <c r="L3" s="2884"/>
      <c r="M3" s="2884"/>
      <c r="N3" s="2886"/>
      <c r="O3" s="2884"/>
      <c r="P3" s="2884"/>
    </row>
    <row r="4" spans="1:16" ht="14.4">
      <c r="A4" s="3178"/>
      <c r="B4" s="3179"/>
      <c r="C4" s="3180"/>
      <c r="D4" s="1824" t="s">
        <v>1793</v>
      </c>
      <c r="E4" s="1825" t="s">
        <v>1794</v>
      </c>
      <c r="F4" s="2884"/>
      <c r="G4" s="2877" t="s">
        <v>1819</v>
      </c>
      <c r="H4" s="1156" t="s">
        <v>1799</v>
      </c>
      <c r="I4" s="963">
        <f>ROUND(SUMIF('数据-基础表'!I9:AS9,"地上",'数据-基础表'!I5:AS5)/'数据-基础表'!A3,2)</f>
        <v>1.61</v>
      </c>
      <c r="J4" s="2884"/>
      <c r="K4" s="2884"/>
      <c r="L4" s="2884"/>
      <c r="M4" s="2884"/>
      <c r="N4" s="2886"/>
      <c r="O4" s="2884"/>
      <c r="P4" s="2884"/>
    </row>
    <row r="5" spans="1:16" ht="14.4">
      <c r="A5" s="47" t="s">
        <v>1795</v>
      </c>
      <c r="B5" s="3181" t="s">
        <v>1796</v>
      </c>
      <c r="C5" s="3181"/>
      <c r="D5" s="48">
        <f>ROUND($D$3*E5/$E$3,2)</f>
        <v>0</v>
      </c>
      <c r="E5" s="49">
        <f>SUMIF('数据-基础表'!$11:$11,"住宅",'数据-基础表'!$5:$5)</f>
        <v>0</v>
      </c>
      <c r="F5" s="2884"/>
      <c r="G5" s="1306"/>
      <c r="H5" s="1156" t="s">
        <v>1792</v>
      </c>
      <c r="I5" s="963">
        <f>ROUND(E31/D31,2)</f>
        <v>1.61</v>
      </c>
      <c r="J5" s="2884"/>
      <c r="K5" s="2884"/>
      <c r="L5" s="2884"/>
      <c r="M5" s="2884"/>
      <c r="N5" s="2884"/>
      <c r="O5" s="2884"/>
      <c r="P5" s="2884"/>
    </row>
    <row r="6" spans="1:16" ht="15" thickBot="1">
      <c r="A6" s="1827"/>
      <c r="B6" s="3181" t="s">
        <v>1797</v>
      </c>
      <c r="C6" s="3181"/>
      <c r="D6" s="48">
        <f>ROUND($D$3*E6/$E$3,2)</f>
        <v>27014.799999999999</v>
      </c>
      <c r="E6" s="49">
        <f>E3-E5</f>
        <v>43436.4</v>
      </c>
      <c r="F6" s="2884"/>
      <c r="G6" s="2878" t="s">
        <v>1798</v>
      </c>
      <c r="H6" s="1307" t="s">
        <v>1799</v>
      </c>
      <c r="I6" s="2879">
        <f>ROUND(F31/D31,2)</f>
        <v>1.61</v>
      </c>
      <c r="J6" s="2884"/>
      <c r="K6" s="2884"/>
      <c r="L6" s="2884"/>
      <c r="M6" s="2884"/>
      <c r="N6" s="2884"/>
      <c r="O6" s="2884"/>
      <c r="P6" s="2884"/>
    </row>
    <row r="7" spans="1:16" ht="15" thickBot="1">
      <c r="A7" s="3173"/>
      <c r="B7" s="3174"/>
      <c r="C7" s="3175"/>
      <c r="D7" s="1824" t="s">
        <v>1793</v>
      </c>
      <c r="E7" s="1828" t="s">
        <v>1800</v>
      </c>
      <c r="F7" s="2884"/>
      <c r="G7" s="2880" t="s">
        <v>1801</v>
      </c>
      <c r="H7" s="2881"/>
      <c r="I7" s="2882"/>
      <c r="J7" s="2884"/>
      <c r="K7" s="2884"/>
      <c r="L7" s="2884"/>
      <c r="M7" s="2884"/>
      <c r="N7" s="2884"/>
      <c r="O7" s="2884"/>
      <c r="P7" s="2884"/>
    </row>
    <row r="8" spans="1:16" ht="14.4">
      <c r="A8" s="47" t="s">
        <v>1802</v>
      </c>
      <c r="B8" s="50" t="s">
        <v>1803</v>
      </c>
      <c r="C8" s="48" t="s">
        <v>1804</v>
      </c>
      <c r="D8" s="48">
        <f t="shared" ref="D8:D15" si="0">ROUND($D$3*E8/$E$3,2)</f>
        <v>27014.799999999999</v>
      </c>
      <c r="E8" s="51">
        <f>SUMIF('数据-基础表'!BB10:BK10,"地上",'数据-基础表'!BB5:BK5)</f>
        <v>43436.4</v>
      </c>
      <c r="F8" s="2884"/>
      <c r="G8" s="2885"/>
      <c r="H8" s="2885"/>
      <c r="I8" s="2884"/>
      <c r="J8" s="2884"/>
      <c r="K8" s="2884"/>
      <c r="L8" s="2884"/>
      <c r="M8" s="2884"/>
      <c r="N8" s="2884"/>
      <c r="O8" s="2884"/>
      <c r="P8" s="2884"/>
    </row>
    <row r="9" spans="1:16" ht="14.4">
      <c r="A9" s="1829"/>
      <c r="B9" s="1830"/>
      <c r="C9" s="48" t="s">
        <v>1805</v>
      </c>
      <c r="D9" s="48">
        <f t="shared" si="0"/>
        <v>0</v>
      </c>
      <c r="E9" s="52">
        <v>0</v>
      </c>
      <c r="F9" s="2884"/>
      <c r="G9" s="2885"/>
      <c r="H9" s="2885"/>
      <c r="I9" s="2884"/>
      <c r="J9" s="2884"/>
      <c r="K9" s="2884"/>
      <c r="L9" s="2884"/>
      <c r="M9" s="2884"/>
      <c r="N9" s="2884"/>
      <c r="O9" s="2884"/>
      <c r="P9" s="2884"/>
    </row>
    <row r="10" spans="1:16" ht="14.4">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ht="14.4">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ht="14.4">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ht="14.4">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ht="14.4">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 thickBot="1">
      <c r="A16" s="1827"/>
      <c r="B16" s="1830"/>
      <c r="C16" s="50" t="s">
        <v>1809</v>
      </c>
      <c r="D16" s="50">
        <f>SUM(D8:D15)</f>
        <v>27014.799999999999</v>
      </c>
      <c r="E16" s="53">
        <f>SUM(E8:E15)</f>
        <v>43436.4</v>
      </c>
      <c r="F16" s="2884"/>
      <c r="G16" s="2885"/>
      <c r="H16" s="1831" t="s">
        <v>1821</v>
      </c>
      <c r="I16" s="1832"/>
      <c r="J16" s="1300"/>
      <c r="K16" s="3170" t="s">
        <v>1821</v>
      </c>
      <c r="L16" s="3171"/>
      <c r="M16" s="3171"/>
      <c r="N16" s="3171"/>
      <c r="O16" s="3171"/>
      <c r="P16" s="3172"/>
    </row>
    <row r="17" spans="1:19" ht="14.4">
      <c r="A17" s="1833" t="s">
        <v>1822</v>
      </c>
      <c r="B17" s="1834" t="s">
        <v>1823</v>
      </c>
      <c r="C17" s="1835" t="s">
        <v>1824</v>
      </c>
      <c r="D17" s="1836" t="s">
        <v>1812</v>
      </c>
      <c r="E17" s="1837" t="s">
        <v>1813</v>
      </c>
      <c r="F17" s="1838"/>
      <c r="G17" s="1839"/>
      <c r="H17" s="1840" t="s">
        <v>1825</v>
      </c>
      <c r="I17" s="1841" t="s">
        <v>1810</v>
      </c>
      <c r="J17" s="1300"/>
      <c r="K17" s="3167" t="s">
        <v>1826</v>
      </c>
      <c r="L17" s="3168"/>
      <c r="M17" s="3169"/>
      <c r="N17" s="3167" t="s">
        <v>1827</v>
      </c>
      <c r="O17" s="3168"/>
      <c r="P17" s="3169"/>
      <c r="R17" s="1823" t="s">
        <v>1828</v>
      </c>
      <c r="S17" s="60"/>
    </row>
    <row r="18" spans="1:19" ht="14.4">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ht="14.4">
      <c r="A19" s="1850"/>
      <c r="B19" s="50" t="s">
        <v>1811</v>
      </c>
      <c r="C19" s="3060" t="s">
        <v>3121</v>
      </c>
      <c r="D19" s="48">
        <f>ROUND($D$3*E19/$E$3,2)</f>
        <v>27014.799999999999</v>
      </c>
      <c r="E19" s="56">
        <f t="shared" ref="E19:E26" si="1">SUM(F19:G19)</f>
        <v>43436.4</v>
      </c>
      <c r="F19" s="3024">
        <f>'数据-基础表'!I13</f>
        <v>43436.4</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27014.799999999999</v>
      </c>
      <c r="S19" s="1157">
        <f t="shared" si="5"/>
        <v>43436.4</v>
      </c>
    </row>
    <row r="20" spans="1:19" ht="14.4">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ht="14.4">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ht="14.4">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ht="14.4">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ht="14.4">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ht="14.4">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ht="14.4">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 thickBot="1">
      <c r="A27" s="1854"/>
      <c r="B27" s="48"/>
      <c r="C27" s="1857" t="s">
        <v>1840</v>
      </c>
      <c r="D27" s="1301">
        <f>SUM(D19:D26)</f>
        <v>27014.799999999999</v>
      </c>
      <c r="E27" s="1302">
        <f>IF(SUM(E19:E26)='数据-基础表'!BA5,SUM(E19:E26),IF(F27="地上面积有误","面积有误","地下面积有误"))</f>
        <v>43436.4</v>
      </c>
      <c r="F27" s="1301">
        <f>IF(SUM(F19:F26)=E8,SUM(F19:F26),"地上面积有误")</f>
        <v>43436.4</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27014.799999999999</v>
      </c>
      <c r="S27" s="1156">
        <f>IF(SUM(S19:S26)=$E$3,SUM(S19:S26),SUM(S19:S26)&amp;"误差"&amp;ROUND(SUM(S19:S26)-E3,2))</f>
        <v>43436.4</v>
      </c>
    </row>
    <row r="28" spans="1:19" ht="14.4">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ht="14.4">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4.4">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 thickBot="1">
      <c r="A31" s="1860"/>
      <c r="B31" s="1861"/>
      <c r="C31" s="943" t="s">
        <v>1844</v>
      </c>
      <c r="D31" s="684">
        <f>D27+D30</f>
        <v>27014.799999999999</v>
      </c>
      <c r="E31" s="684">
        <f>E27+E30</f>
        <v>43436.4</v>
      </c>
      <c r="F31" s="685">
        <f>F27+F30</f>
        <v>43436.4</v>
      </c>
      <c r="G31" s="686">
        <f>G27+G30</f>
        <v>0</v>
      </c>
      <c r="H31" s="2884"/>
      <c r="I31" s="2884"/>
      <c r="J31" s="2884"/>
      <c r="K31" s="2884"/>
      <c r="L31" s="2884"/>
      <c r="M31" s="2884"/>
      <c r="N31" s="2884"/>
      <c r="O31" s="2884"/>
      <c r="P31" s="2884"/>
    </row>
    <row r="32" spans="1:19" ht="14.4">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5"/>
  <sheetViews>
    <sheetView workbookViewId="0">
      <selection activeCell="G19" sqref="G19"/>
    </sheetView>
  </sheetViews>
  <sheetFormatPr defaultColWidth="9" defaultRowHeight="15.6"/>
  <cols>
    <col min="1" max="1" width="9" style="3071"/>
    <col min="2" max="2" width="29.33203125" style="3071" customWidth="1"/>
    <col min="3" max="3" width="20.44140625" style="3071" customWidth="1"/>
    <col min="4" max="4" width="19.44140625" style="3071" customWidth="1"/>
    <col min="5" max="5" width="9" style="3071"/>
    <col min="6" max="6" width="10.88671875" style="3071" customWidth="1"/>
    <col min="7" max="16384" width="9" style="3071"/>
  </cols>
  <sheetData>
    <row r="3" spans="2:9">
      <c r="B3" s="3071" t="s">
        <v>3122</v>
      </c>
      <c r="C3" s="3071" t="s">
        <v>3124</v>
      </c>
      <c r="D3" s="3071" t="s">
        <v>3126</v>
      </c>
      <c r="E3" s="3071" t="s">
        <v>3128</v>
      </c>
      <c r="F3" s="3071" t="s">
        <v>3130</v>
      </c>
      <c r="G3" s="3071" t="s">
        <v>3131</v>
      </c>
    </row>
    <row r="4" spans="2:9">
      <c r="B4" s="3071" t="s">
        <v>3123</v>
      </c>
      <c r="C4" s="3071" t="s">
        <v>3125</v>
      </c>
      <c r="D4" s="3071" t="s">
        <v>3127</v>
      </c>
      <c r="E4" s="3071" t="s">
        <v>3129</v>
      </c>
      <c r="F4" s="3072">
        <v>47965</v>
      </c>
      <c r="G4" s="3071">
        <v>2773.6</v>
      </c>
      <c r="I4" s="3071">
        <f>G10-I5-I6</f>
        <v>4408.0700000000033</v>
      </c>
    </row>
    <row r="5" spans="2:9">
      <c r="B5" s="3071" t="s">
        <v>3132</v>
      </c>
      <c r="C5" s="3071" t="s">
        <v>3125</v>
      </c>
      <c r="D5" s="3071" t="s">
        <v>3127</v>
      </c>
      <c r="E5" s="3071" t="s">
        <v>3129</v>
      </c>
      <c r="F5" s="3072">
        <v>47965</v>
      </c>
      <c r="G5" s="3071">
        <v>10767.3</v>
      </c>
      <c r="I5" s="3071">
        <f>ROUND(G5*1.61,2)</f>
        <v>17335.349999999999</v>
      </c>
    </row>
    <row r="6" spans="2:9">
      <c r="B6" s="3071" t="s">
        <v>3133</v>
      </c>
      <c r="C6" s="3071" t="s">
        <v>3125</v>
      </c>
      <c r="D6" s="3071" t="s">
        <v>3127</v>
      </c>
      <c r="E6" s="3071" t="s">
        <v>3129</v>
      </c>
      <c r="F6" s="3072">
        <v>47965</v>
      </c>
      <c r="G6" s="3071">
        <v>13473.9</v>
      </c>
      <c r="I6" s="3071">
        <f>ROUND(G6*1.61,2)</f>
        <v>21692.98</v>
      </c>
    </row>
    <row r="7" spans="2:9">
      <c r="G7" s="3071">
        <f>SUM(G4:G6)</f>
        <v>27014.799999999999</v>
      </c>
    </row>
    <row r="9" spans="2:9">
      <c r="B9" s="3071" t="s">
        <v>3134</v>
      </c>
      <c r="C9" s="3071" t="s">
        <v>3136</v>
      </c>
      <c r="D9" s="3071" t="s">
        <v>3137</v>
      </c>
      <c r="E9" s="3071" t="s">
        <v>3139</v>
      </c>
      <c r="F9" s="3071" t="s">
        <v>3141</v>
      </c>
      <c r="G9" s="3071" t="s">
        <v>3142</v>
      </c>
    </row>
    <row r="10" spans="2:9">
      <c r="B10" s="3071" t="s">
        <v>3135</v>
      </c>
      <c r="C10" s="3071" t="s">
        <v>3125</v>
      </c>
      <c r="D10" s="3071" t="s">
        <v>3138</v>
      </c>
      <c r="E10" s="3071" t="s">
        <v>3140</v>
      </c>
      <c r="F10" s="3071">
        <v>3</v>
      </c>
      <c r="G10" s="3071">
        <v>43436.4</v>
      </c>
    </row>
    <row r="12" spans="2:9">
      <c r="F12" s="3071" t="s">
        <v>3148</v>
      </c>
      <c r="G12" s="3071">
        <v>15347.3</v>
      </c>
    </row>
    <row r="13" spans="2:9">
      <c r="F13" s="3071" t="s">
        <v>3149</v>
      </c>
      <c r="G13" s="3071">
        <v>13292.8</v>
      </c>
    </row>
    <row r="14" spans="2:9">
      <c r="F14" s="3071" t="s">
        <v>3150</v>
      </c>
      <c r="G14" s="3071">
        <v>14796.3</v>
      </c>
    </row>
    <row r="15" spans="2:9">
      <c r="G15" s="3071">
        <f>SUM(G12:G14)</f>
        <v>43436.399999999994</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8" sqref="P28"/>
    </sheetView>
  </sheetViews>
  <sheetFormatPr defaultColWidth="13.77734375" defaultRowHeight="13.2"/>
  <cols>
    <col min="1" max="1" width="22.44140625" style="1929" customWidth="1"/>
    <col min="2" max="2" width="12" style="1866" customWidth="1"/>
    <col min="3" max="3" width="12.77734375" style="1866" customWidth="1"/>
    <col min="4" max="4" width="9.109375" style="1930" customWidth="1"/>
    <col min="5" max="5" width="15" style="1866" bestFit="1" customWidth="1"/>
    <col min="6" max="10" width="8.88671875" style="1866" customWidth="1"/>
    <col min="11" max="12" width="12.33203125" style="1784" customWidth="1"/>
    <col min="13" max="13" width="8.6640625" style="1866" customWidth="1"/>
    <col min="14" max="14" width="11.88671875" style="1866" customWidth="1"/>
    <col min="15" max="15" width="8.44140625" style="1866" customWidth="1"/>
    <col min="16" max="17" width="10.88671875" style="1866" customWidth="1"/>
    <col min="18" max="19" width="12.44140625" style="1866" customWidth="1"/>
    <col min="20" max="20" width="12.109375" style="1866" customWidth="1"/>
    <col min="21" max="21" width="7.44140625" style="1866" customWidth="1"/>
    <col min="22" max="22" width="6.33203125" style="1866" customWidth="1"/>
    <col min="23" max="30" width="6.77734375" style="1866" customWidth="1"/>
    <col min="31" max="31" width="8" style="1866" customWidth="1"/>
    <col min="32" max="34" width="7.21875" style="1866" customWidth="1"/>
    <col min="35" max="39" width="8" style="1866" customWidth="1"/>
    <col min="40" max="40" width="13.77734375" style="1865"/>
    <col min="41" max="41" width="11.6640625" style="1865" customWidth="1"/>
    <col min="42" max="42" width="9.77734375" style="1865" customWidth="1"/>
    <col min="43" max="67" width="13.77734375" style="1865"/>
    <col min="68" max="16384" width="13.77734375" style="1866"/>
  </cols>
  <sheetData>
    <row r="1" spans="1:67" ht="18" thickBot="1">
      <c r="A1" s="1863" t="s">
        <v>1846</v>
      </c>
      <c r="B1" s="687"/>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 thickBot="1">
      <c r="A2" s="1867" t="s">
        <v>1847</v>
      </c>
      <c r="B2" s="1175">
        <f>项目基本情况!D3</f>
        <v>44561</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4.4"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57.6">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3071</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3.8">
      <c r="A6" s="1896" t="str">
        <f>'数据-汇总表'!C19</f>
        <v>商业</v>
      </c>
      <c r="B6" s="1897" t="str">
        <f>IF(A6=0,"","经营性")</f>
        <v>经营性</v>
      </c>
      <c r="C6" s="1898" t="s">
        <v>1343</v>
      </c>
      <c r="D6" s="966">
        <f>SUMIF(项目基本情况!D$12:I$12,C6,项目基本情况!D$14:I$14)</f>
        <v>40</v>
      </c>
      <c r="E6" s="965">
        <f>IF(B6="","",SUMIF(项目基本情况!D$12:I$12,C6,项目基本情况!D$13:I$13))</f>
        <v>47965</v>
      </c>
      <c r="F6" s="68">
        <f>SUMIF(项目基本情况!D$12:I$12,C6,项目基本情况!D$15:I$15)</f>
        <v>9.32</v>
      </c>
      <c r="G6" s="69">
        <f>IF(ISERROR(ROUND(POWER(1+H6,D6-F6)*(POWER(1+H6,F6)-1)/(POWER(1+H6,D6)-1),3)),0,ROUND(POWER(1+H6,D6-F6)*(POWER(1+H6,F6)-1)/(POWER(1+H6,D6)-1),3))</f>
        <v>0.42599999999999999</v>
      </c>
      <c r="H6" s="740">
        <v>0.05</v>
      </c>
      <c r="I6" s="740">
        <v>5.5E-2</v>
      </c>
      <c r="J6" s="70">
        <v>7.4999999999999997E-2</v>
      </c>
      <c r="K6" s="1160">
        <f>SUMIF('数据-汇总表'!C$19:C$33,A6,'数据-汇总表'!E$19:E$33)</f>
        <v>43436.4</v>
      </c>
      <c r="L6" s="741">
        <v>3500</v>
      </c>
      <c r="M6" s="71">
        <f t="shared" ref="M6:M14" si="0">ROUND(K6*L6/10000,0)</f>
        <v>15203</v>
      </c>
      <c r="N6" s="739">
        <f>N21</f>
        <v>0.81</v>
      </c>
      <c r="O6" s="71" t="str">
        <f>IF($N$5="成新度","——",ROUND(M6*N6,0))</f>
        <v>——</v>
      </c>
      <c r="P6" s="72" t="str">
        <f>IF($N$5="成新度","——",M6-O6)</f>
        <v>——</v>
      </c>
      <c r="Q6" s="742">
        <v>0.2</v>
      </c>
      <c r="R6" s="73">
        <f ca="1">SUMIF('数据-汇总表'!C$19:C$33,A6,'数据-汇总表'!R$19:R$27)</f>
        <v>27014.799999999999</v>
      </c>
      <c r="S6" s="54">
        <f>IF('数据-汇总表'!$I$17="按面积比例",SUMIF('数据-汇总表'!C$19:C$33,A6,'数据-汇总表'!K$19:K$33),SUMIF('数据-汇总表'!C$19:C$33,A6,'数据-汇总表'!N$19:N$33))</f>
        <v>0</v>
      </c>
      <c r="T6" s="1333">
        <f>ROUND($L$14*S6/10000,0)</f>
        <v>0</v>
      </c>
      <c r="U6" s="3070">
        <v>1</v>
      </c>
      <c r="V6" s="3086">
        <v>0.03</v>
      </c>
      <c r="W6" s="75">
        <v>0.1</v>
      </c>
      <c r="X6" s="1170"/>
      <c r="Y6" s="76">
        <f>N6</f>
        <v>0.81</v>
      </c>
      <c r="Z6" s="77"/>
      <c r="AA6" s="70"/>
      <c r="AB6" s="70"/>
      <c r="AC6" s="1170"/>
      <c r="AD6" s="78"/>
      <c r="AE6" s="1171">
        <f ca="1">IF(AN6="",0,SUMIF(INDIRECT("'"&amp;AN6&amp;"'"&amp;"!E:E"),$AE$5,INDIRECT("'"&amp;AN6&amp;"'"&amp;"!F:F")))</f>
        <v>9.32</v>
      </c>
      <c r="AF6" s="1530"/>
      <c r="AG6" s="143">
        <f>IF(AF6="",0,AE6-AF6)</f>
        <v>0</v>
      </c>
      <c r="AH6" s="79"/>
      <c r="AI6" s="81">
        <v>365</v>
      </c>
      <c r="AJ6" s="82"/>
      <c r="AK6" s="90">
        <v>1.4999999999999999E-2</v>
      </c>
      <c r="AL6" s="84">
        <v>1.5E-3</v>
      </c>
      <c r="AM6" s="85">
        <v>1.4999999999999999E-2</v>
      </c>
      <c r="AN6" s="1899" t="s">
        <v>3073</v>
      </c>
      <c r="AO6" s="55">
        <f ca="1">SUMIF(INDIRECT("'"&amp;AN6&amp;"'"&amp;"!A:A"),"总价",INDIRECT("'"&amp;AN6&amp;"'"&amp;"!B:B"))</f>
        <v>13108</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3.8">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3.8">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3.8">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3.8">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3.8">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3.8">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3.8">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4">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8.8">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 thickBot="1">
      <c r="A16" s="1903" t="s">
        <v>1895</v>
      </c>
      <c r="B16" s="93"/>
      <c r="C16" s="941"/>
      <c r="D16" s="1904"/>
      <c r="E16" s="93"/>
      <c r="F16" s="93"/>
      <c r="G16" s="94">
        <f>ROUND(SUMPRODUCT(G6:G13,K6:K13)/SUMPRODUCT((G6:G13&gt;0)*(K6:K13)),3)</f>
        <v>0.42599999999999999</v>
      </c>
      <c r="H16" s="95">
        <f>ROUND(SUMPRODUCT(H6:H13,K6:K13)/SUMPRODUCT((H6:H13&gt;0)*(K6:K13)),3)</f>
        <v>0.05</v>
      </c>
      <c r="I16" s="96"/>
      <c r="J16" s="96"/>
      <c r="K16" s="97">
        <f>SUM(K6:K15)</f>
        <v>43436.4</v>
      </c>
      <c r="L16" s="98">
        <f>ROUND(M16*10000/SUM(K6:K14),0)</f>
        <v>3500</v>
      </c>
      <c r="M16" s="98">
        <f>SUM(M6:M14)</f>
        <v>15203</v>
      </c>
      <c r="N16" s="99">
        <f>ROUND(SUMPRODUCT(M6:M14,N6:N14)/M16,3)</f>
        <v>0.81</v>
      </c>
      <c r="O16" s="98">
        <f>SUM(O6:O14)</f>
        <v>0</v>
      </c>
      <c r="P16" s="98">
        <f>SUM(P6:P14)</f>
        <v>0</v>
      </c>
      <c r="Q16" s="100">
        <f>ROUND(SUMPRODUCT(Q6:Q13,K6:K13)/SUMPRODUCT((Q6:Q13&gt;0)*(K6:K13)),2)</f>
        <v>0.2</v>
      </c>
      <c r="R16" s="1164">
        <f ca="1">SUM(R6:R13)</f>
        <v>27014.799999999999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8"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v>2008</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4">
      <c r="A19" s="1906" t="s">
        <v>1897</v>
      </c>
      <c r="B19" s="108">
        <v>0</v>
      </c>
      <c r="C19" s="3028" t="s">
        <v>3050</v>
      </c>
      <c r="D19" s="2903"/>
      <c r="E19" s="2900"/>
      <c r="F19" s="2900"/>
      <c r="G19" s="2900"/>
      <c r="H19" s="2900"/>
      <c r="I19" s="2900"/>
      <c r="J19" s="2900"/>
      <c r="K19" s="2899"/>
      <c r="L19" s="2899"/>
      <c r="M19" s="2898"/>
      <c r="N19" s="2898">
        <f>ROUND(1-(2022-N18)/60,2)</f>
        <v>0.77</v>
      </c>
      <c r="O19" s="2898"/>
      <c r="P19" s="2898"/>
      <c r="Q19" s="2898"/>
      <c r="R19" s="2898"/>
      <c r="S19" s="2898"/>
      <c r="T19" s="2898"/>
      <c r="U19" s="2898">
        <f>ROUND(12000000/365/'数据-汇总表'!F27,2)</f>
        <v>0.76</v>
      </c>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4">
      <c r="A20" s="1907" t="s">
        <v>1898</v>
      </c>
      <c r="B20" s="109">
        <v>2</v>
      </c>
      <c r="C20" s="3029" t="s">
        <v>3048</v>
      </c>
      <c r="D20" s="2903"/>
      <c r="E20" s="2900"/>
      <c r="F20" s="2900"/>
      <c r="G20" s="2900"/>
      <c r="H20" s="2900"/>
      <c r="I20" s="2900"/>
      <c r="J20" s="2900"/>
      <c r="K20" s="2899"/>
      <c r="L20" s="2899"/>
      <c r="M20" s="2898"/>
      <c r="N20" s="2898">
        <v>0.85</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4">
      <c r="A21" s="1908" t="s">
        <v>1899</v>
      </c>
      <c r="B21" s="109">
        <v>2</v>
      </c>
      <c r="C21" s="2900"/>
      <c r="D21" s="2903"/>
      <c r="E21" s="2900"/>
      <c r="F21" s="2900"/>
      <c r="G21" s="2900"/>
      <c r="H21" s="2900"/>
      <c r="I21" s="2900"/>
      <c r="J21" s="2900"/>
      <c r="K21" s="2899"/>
      <c r="L21" s="2899"/>
      <c r="M21" s="2898"/>
      <c r="N21" s="2898">
        <f>ROUND((N19+N20)/2,2)</f>
        <v>0.81</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4">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4">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4.4"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8.8">
      <c r="A27" s="1911" t="s">
        <v>1906</v>
      </c>
      <c r="B27" s="112"/>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8.8">
      <c r="A28" s="1913" t="s">
        <v>1907</v>
      </c>
      <c r="B28" s="115">
        <v>120</v>
      </c>
      <c r="C28" s="2907"/>
      <c r="D28" s="2906" t="s">
        <v>3143</v>
      </c>
      <c r="E28" s="2886"/>
      <c r="F28" s="2886">
        <v>120</v>
      </c>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9.4" thickBot="1">
      <c r="A29" s="1914" t="s">
        <v>1908</v>
      </c>
      <c r="B29" s="117">
        <f ca="1">成本法!C10</f>
        <v>521</v>
      </c>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8.8">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8.8">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9.4"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4">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4">
      <c r="A34" s="1913" t="s">
        <v>1913</v>
      </c>
      <c r="B34" s="118">
        <v>0</v>
      </c>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4">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4">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4">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4">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8.2" thickBot="1">
      <c r="A40" s="3044" t="s">
        <v>3072</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4">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4">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4">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4">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4">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4">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4">
      <c r="A48" s="1920" t="s">
        <v>1926</v>
      </c>
      <c r="B48" s="126">
        <v>0.04</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4">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4">
      <c r="A52" s="1921" t="s">
        <v>1930</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8.8">
      <c r="A53" s="1913" t="s">
        <v>1931</v>
      </c>
      <c r="B53" s="1922" t="s">
        <v>442</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4">
      <c r="A54" s="1923" t="s">
        <v>1933</v>
      </c>
      <c r="B54" s="80">
        <v>30</v>
      </c>
      <c r="C54" s="2886">
        <v>30</v>
      </c>
      <c r="D54" s="2903" t="s">
        <v>3144</v>
      </c>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4">
      <c r="A55" s="1923" t="s">
        <v>1934</v>
      </c>
      <c r="B55" s="80">
        <v>21</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4">
      <c r="A56" s="1923" t="s">
        <v>1935</v>
      </c>
      <c r="B56" s="80">
        <v>15</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4">
      <c r="A57" s="1923" t="s">
        <v>1936</v>
      </c>
      <c r="B57" s="80">
        <v>9</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4">
      <c r="A58" s="1923" t="s">
        <v>1937</v>
      </c>
      <c r="B58" s="80">
        <v>6</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4">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4">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4">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4">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0" customWidth="1"/>
    <col min="2" max="2" width="24.44140625" style="1755" customWidth="1"/>
    <col min="3" max="3" width="24.44140625" style="2734" customWidth="1"/>
    <col min="4" max="4" width="2.6640625" style="2734" customWidth="1"/>
    <col min="5" max="5" width="5.88671875" style="2734" customWidth="1"/>
    <col min="6" max="6" width="27" style="1755" customWidth="1"/>
    <col min="7" max="7" width="27" style="2735" customWidth="1"/>
    <col min="8" max="8" width="11.88671875" style="2715" customWidth="1"/>
    <col min="9" max="9" width="16.77734375" style="2716" customWidth="1"/>
    <col min="10" max="10" width="2.6640625" style="2715" customWidth="1"/>
    <col min="11" max="11" width="11.88671875" style="2715" customWidth="1"/>
    <col min="12" max="12" width="16.77734375" style="2716" customWidth="1"/>
    <col min="13" max="13" width="2.6640625" style="2715" customWidth="1"/>
    <col min="14" max="14" width="11.88671875" style="2715" customWidth="1"/>
    <col min="15" max="15" width="16.77734375" style="2716" customWidth="1"/>
    <col min="16" max="16" width="2.6640625" style="2715" customWidth="1"/>
    <col min="17" max="17" width="11.88671875" style="2715" customWidth="1"/>
    <col min="18" max="18" width="16.77734375" style="2717" customWidth="1"/>
    <col min="19" max="29" width="9" style="906"/>
    <col min="30" max="16384" width="9" style="1870"/>
  </cols>
  <sheetData>
    <row r="1" spans="1:29" s="2681" customFormat="1" ht="18" thickBot="1">
      <c r="A1" s="3182" t="s">
        <v>3031</v>
      </c>
      <c r="B1" s="3183"/>
      <c r="C1" s="3183"/>
      <c r="D1" s="3183"/>
      <c r="E1" s="3183"/>
      <c r="F1" s="3183"/>
      <c r="G1" s="318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4.4"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7.200000000000003">
      <c r="A4" s="2666"/>
      <c r="B4" s="329" t="s">
        <v>2999</v>
      </c>
      <c r="C4" s="2692" t="s">
        <v>3000</v>
      </c>
      <c r="D4" s="2689"/>
      <c r="E4" s="2693"/>
      <c r="F4" s="1555" t="s">
        <v>3001</v>
      </c>
      <c r="G4" s="2694" t="s">
        <v>3002</v>
      </c>
      <c r="H4" s="906"/>
      <c r="I4" s="906"/>
      <c r="J4" s="906"/>
      <c r="K4" s="906"/>
      <c r="L4" s="906"/>
      <c r="M4" s="906"/>
      <c r="N4" s="906"/>
      <c r="O4" s="906"/>
      <c r="P4" s="906"/>
      <c r="Q4" s="906"/>
      <c r="R4" s="906"/>
    </row>
    <row r="5" spans="1:29" ht="37.200000000000003">
      <c r="A5" s="2666"/>
      <c r="B5" s="329" t="s">
        <v>3003</v>
      </c>
      <c r="C5" s="2692" t="s">
        <v>3004</v>
      </c>
      <c r="D5" s="2689"/>
      <c r="E5" s="2693"/>
      <c r="F5" s="329" t="s">
        <v>3005</v>
      </c>
      <c r="G5" s="2694" t="s">
        <v>3006</v>
      </c>
      <c r="H5" s="906"/>
      <c r="I5" s="906"/>
      <c r="J5" s="906"/>
      <c r="K5" s="906"/>
      <c r="L5" s="906"/>
      <c r="M5" s="906"/>
      <c r="N5" s="906"/>
      <c r="O5" s="906"/>
      <c r="P5" s="906"/>
      <c r="Q5" s="906"/>
      <c r="R5" s="906"/>
    </row>
    <row r="6" spans="1:29" ht="48">
      <c r="A6" s="2666"/>
      <c r="B6" s="329" t="s">
        <v>3007</v>
      </c>
      <c r="C6" s="2694" t="s">
        <v>3002</v>
      </c>
      <c r="D6" s="2689"/>
      <c r="E6" s="2693"/>
      <c r="F6" s="329" t="s">
        <v>3008</v>
      </c>
      <c r="G6" s="2694" t="s">
        <v>3009</v>
      </c>
      <c r="H6" s="906"/>
      <c r="I6" s="906"/>
      <c r="J6" s="906"/>
      <c r="K6" s="906"/>
      <c r="L6" s="906"/>
      <c r="M6" s="906"/>
      <c r="N6" s="906"/>
      <c r="O6" s="906"/>
      <c r="P6" s="906"/>
      <c r="Q6" s="906"/>
      <c r="R6" s="906"/>
    </row>
    <row r="7" spans="1:29" ht="36.6"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ht="24">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4.4"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7.399999999999999">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 thickBot="1">
      <c r="A13" s="2714" t="s">
        <v>3032</v>
      </c>
      <c r="B13" s="2708"/>
      <c r="C13" s="2708"/>
      <c r="D13" s="2706"/>
      <c r="E13" s="2708"/>
      <c r="F13" s="2708"/>
      <c r="G13" s="2708"/>
    </row>
    <row r="14" spans="1:29" ht="14.4" thickBot="1">
      <c r="A14" s="2718"/>
      <c r="B14" s="2718"/>
      <c r="C14" s="2719" t="s">
        <v>3015</v>
      </c>
      <c r="D14" s="2689"/>
      <c r="E14" s="2720"/>
      <c r="F14" s="2720"/>
      <c r="G14" s="2684" t="s">
        <v>3016</v>
      </c>
    </row>
    <row r="15" spans="1:29" ht="52.8">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9.6">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9.6">
      <c r="A17" s="2670"/>
      <c r="B17" s="2724" t="s">
        <v>3003</v>
      </c>
      <c r="C17" s="2725" t="str">
        <f>C5</f>
        <v>估价对象位于XX商圈，周边办公楼项目较多，入驻率高，办公集聚程度较好</v>
      </c>
      <c r="D17" s="2695"/>
      <c r="E17" s="2671"/>
      <c r="F17" s="2726" t="s">
        <v>3020</v>
      </c>
      <c r="G17" s="2728"/>
    </row>
    <row r="18" spans="1:18" ht="52.8">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6.4">
      <c r="A19" s="2670"/>
      <c r="B19" s="2726" t="s">
        <v>3021</v>
      </c>
      <c r="C19" s="2728"/>
      <c r="D19" s="2689"/>
      <c r="E19" s="2671"/>
      <c r="F19" s="329" t="s">
        <v>3005</v>
      </c>
      <c r="G19" s="2727" t="str">
        <f>G5</f>
        <v>估价对象所在区域公共配套设施齐备情况</v>
      </c>
    </row>
    <row r="20" spans="1:18" ht="26.4">
      <c r="A20" s="2670"/>
      <c r="B20" s="2726" t="s">
        <v>3022</v>
      </c>
      <c r="C20" s="2725" t="str">
        <f>C9</f>
        <v>区域自然环境：；人文环境；综合评价环境状况一般</v>
      </c>
      <c r="D20" s="2695"/>
      <c r="E20" s="2671"/>
      <c r="F20" s="329" t="s">
        <v>3008</v>
      </c>
      <c r="G20" s="2727" t="str">
        <f>G6</f>
        <v>估价对象所在区域基础设施水平</v>
      </c>
    </row>
    <row r="21" spans="1:18" ht="26.4">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4.4"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4.4"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737" customWidth="1"/>
    <col min="2" max="9" width="15.77734375" style="2737" customWidth="1"/>
    <col min="10" max="16384" width="9" style="2737"/>
  </cols>
  <sheetData>
    <row r="1" spans="1:11" ht="16.2">
      <c r="A1" s="2736" t="s">
        <v>1331</v>
      </c>
      <c r="B1" s="2736">
        <f>SUM(B14:B23)</f>
        <v>43436.4</v>
      </c>
      <c r="C1" s="2913"/>
      <c r="D1" s="2913"/>
      <c r="E1" s="2913"/>
      <c r="F1" s="2913"/>
      <c r="G1" s="2914"/>
      <c r="H1" s="2915"/>
      <c r="I1" s="2915"/>
      <c r="J1" s="2915"/>
      <c r="K1" s="2915"/>
    </row>
    <row r="2" spans="1:11" ht="16.2">
      <c r="A2" s="2736" t="s">
        <v>1319</v>
      </c>
      <c r="B2" s="2736">
        <f>SUM(C14:C23)</f>
        <v>27014.799999999999</v>
      </c>
      <c r="C2" s="2913"/>
      <c r="D2" s="2913"/>
      <c r="E2" s="2913"/>
      <c r="F2" s="2913"/>
      <c r="G2" s="2914"/>
      <c r="H2" s="2915"/>
      <c r="I2" s="2915"/>
      <c r="J2" s="2915"/>
      <c r="K2" s="2915"/>
    </row>
    <row r="3" spans="1:11" ht="15.6">
      <c r="A3" s="2736" t="s">
        <v>1328</v>
      </c>
      <c r="B3" s="2738">
        <f>项目基本情况!D3</f>
        <v>44561</v>
      </c>
      <c r="C3" s="2913"/>
      <c r="D3" s="2913"/>
      <c r="E3" s="2913"/>
      <c r="F3" s="2913"/>
      <c r="G3" s="2914"/>
      <c r="H3" s="2915"/>
      <c r="I3" s="2915"/>
      <c r="J3" s="2915"/>
      <c r="K3" s="2915"/>
    </row>
    <row r="4" spans="1:11" ht="31.2">
      <c r="A4" s="2736" t="s">
        <v>1327</v>
      </c>
      <c r="B4" s="2736" t="s">
        <v>1326</v>
      </c>
      <c r="C4" s="2736" t="s">
        <v>1325</v>
      </c>
      <c r="D4" s="2736" t="s">
        <v>1324</v>
      </c>
      <c r="E4" s="2913"/>
      <c r="F4" s="2914"/>
      <c r="G4" s="2914"/>
      <c r="H4" s="2915"/>
      <c r="I4" s="2915"/>
      <c r="J4" s="2915"/>
      <c r="K4" s="2915"/>
    </row>
    <row r="5" spans="1:11" ht="15.6">
      <c r="A5" s="2736" t="s">
        <v>1323</v>
      </c>
      <c r="B5" s="2736">
        <f ca="1">SUM(D14:D23)</f>
        <v>24828</v>
      </c>
      <c r="C5" s="2736">
        <f ca="1">ROUND(B5*10000/$B$1,0)</f>
        <v>5716</v>
      </c>
      <c r="D5" s="2736">
        <f ca="1">ROUND(B5*10000/$B$2,0)</f>
        <v>9191</v>
      </c>
      <c r="E5" s="2913"/>
      <c r="F5" s="2914"/>
      <c r="G5" s="2914"/>
      <c r="H5" s="2915"/>
      <c r="I5" s="2915"/>
      <c r="J5" s="2915"/>
      <c r="K5" s="2915"/>
    </row>
    <row r="6" spans="1:11" ht="15.6">
      <c r="A6" s="2736" t="s">
        <v>1322</v>
      </c>
      <c r="B6" s="2736">
        <f ca="1">SUM(G14:G23)</f>
        <v>24828</v>
      </c>
      <c r="C6" s="2736">
        <f ca="1">ROUND(B6*10000/$B$1,0)</f>
        <v>5716</v>
      </c>
      <c r="D6" s="2736">
        <f ca="1">ROUND(B6*10000/$B$2,0)</f>
        <v>9191</v>
      </c>
      <c r="E6" s="2913"/>
      <c r="F6" s="2914"/>
      <c r="G6" s="2914"/>
      <c r="H6" s="2915"/>
      <c r="I6" s="2915"/>
      <c r="J6" s="2915"/>
      <c r="K6" s="2915"/>
    </row>
    <row r="7" spans="1:11" ht="15.6">
      <c r="A7" s="2736" t="s">
        <v>1330</v>
      </c>
      <c r="B7" s="2736">
        <f>SUM(H14:H23)</f>
        <v>0</v>
      </c>
      <c r="C7" s="2736">
        <f>ROUND(B7*10000/$B$1,0)</f>
        <v>0</v>
      </c>
      <c r="D7" s="2736">
        <f>ROUND(B7*10000/$B$2,0)</f>
        <v>0</v>
      </c>
      <c r="E7" s="2913"/>
      <c r="F7" s="2914"/>
      <c r="G7" s="2914"/>
      <c r="H7" s="2915"/>
      <c r="I7" s="2915"/>
      <c r="J7" s="2915"/>
      <c r="K7" s="2915"/>
    </row>
    <row r="8" spans="1:11" ht="15.6">
      <c r="A8" s="2736" t="s">
        <v>1252</v>
      </c>
      <c r="B8" s="2736">
        <f>SUM(I14:I23)</f>
        <v>0</v>
      </c>
      <c r="C8" s="2736">
        <f>ROUND(B8*10000/$B$1,0)</f>
        <v>0</v>
      </c>
      <c r="D8" s="2736">
        <f>ROUND(B8*10000/$B$2,0)</f>
        <v>0</v>
      </c>
      <c r="E8" s="2913"/>
      <c r="F8" s="2914"/>
      <c r="G8" s="2914"/>
      <c r="H8" s="2915"/>
      <c r="I8" s="2915"/>
      <c r="J8" s="2915"/>
      <c r="K8" s="2915"/>
    </row>
    <row r="9" spans="1:11" ht="15.6">
      <c r="A9" s="2736" t="s">
        <v>1321</v>
      </c>
      <c r="B9" s="2744"/>
      <c r="C9" s="2913"/>
      <c r="D9" s="2913"/>
      <c r="E9" s="2913"/>
      <c r="F9" s="2914"/>
      <c r="G9" s="2914"/>
      <c r="H9" s="2915"/>
      <c r="I9" s="2915"/>
      <c r="J9" s="2915"/>
      <c r="K9" s="2915"/>
    </row>
    <row r="10" spans="1:11" ht="15.6">
      <c r="A10" s="2736" t="s">
        <v>1320</v>
      </c>
      <c r="B10" s="2744"/>
      <c r="C10" s="2913"/>
      <c r="D10" s="2913"/>
      <c r="E10" s="2913"/>
      <c r="F10" s="2914"/>
      <c r="G10" s="2914"/>
      <c r="H10" s="2915"/>
      <c r="I10" s="2915"/>
      <c r="J10" s="2915"/>
      <c r="K10" s="2915"/>
    </row>
    <row r="11" spans="1:11" ht="15.6">
      <c r="A11" s="2736" t="s">
        <v>1336</v>
      </c>
      <c r="B11" s="2744"/>
      <c r="C11" s="2913"/>
      <c r="D11" s="2913"/>
      <c r="E11" s="2913"/>
      <c r="F11" s="2914"/>
      <c r="G11" s="2914"/>
      <c r="H11" s="2915"/>
      <c r="I11" s="2915"/>
      <c r="J11" s="2915"/>
      <c r="K11" s="2915"/>
    </row>
    <row r="12" spans="1:11" ht="15.6">
      <c r="A12" s="2913"/>
      <c r="B12" s="2913"/>
      <c r="C12" s="2913"/>
      <c r="D12" s="2913"/>
      <c r="E12" s="2913"/>
      <c r="F12" s="2914"/>
      <c r="G12" s="2914"/>
      <c r="H12" s="2915"/>
      <c r="I12" s="2915"/>
      <c r="J12" s="2915"/>
      <c r="K12" s="2915"/>
    </row>
    <row r="13" spans="1:11" ht="31.8">
      <c r="A13" s="2739" t="s">
        <v>1335</v>
      </c>
      <c r="B13" s="2740" t="s">
        <v>1332</v>
      </c>
      <c r="C13" s="2740" t="s">
        <v>1334</v>
      </c>
      <c r="D13" s="2740" t="s">
        <v>1333</v>
      </c>
      <c r="E13" s="2736" t="s">
        <v>1325</v>
      </c>
      <c r="F13" s="2736" t="s">
        <v>1324</v>
      </c>
      <c r="G13" s="2740" t="s">
        <v>1318</v>
      </c>
      <c r="H13" s="2740" t="s">
        <v>1329</v>
      </c>
      <c r="I13" s="2740" t="s">
        <v>1317</v>
      </c>
      <c r="J13" s="2914"/>
      <c r="K13" s="2915"/>
    </row>
    <row r="14" spans="1:11" ht="15.6">
      <c r="A14" s="2741" t="s">
        <v>1316</v>
      </c>
      <c r="B14" s="2742">
        <f>结果表!B118</f>
        <v>43436.4</v>
      </c>
      <c r="C14" s="2742">
        <f>结果表!C118</f>
        <v>27014.799999999999</v>
      </c>
      <c r="D14" s="2742">
        <f ca="1">结果表!H118</f>
        <v>24828</v>
      </c>
      <c r="E14" s="2742">
        <f ca="1">ROUND(D14*10000/B14,0)</f>
        <v>5716</v>
      </c>
      <c r="F14" s="2742">
        <f ca="1">ROUND(D14*10000/C14,0)</f>
        <v>9191</v>
      </c>
      <c r="G14" s="2742">
        <f ca="1">结果表!D122</f>
        <v>24828</v>
      </c>
      <c r="H14" s="2742" t="str">
        <f>结果表!D124</f>
        <v>——</v>
      </c>
      <c r="I14" s="2742" t="str">
        <f>结果表!D126</f>
        <v>——</v>
      </c>
      <c r="J14" s="2914"/>
      <c r="K14" s="2915"/>
    </row>
    <row r="15" spans="1:11" ht="15.6">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5.6">
      <c r="A16" s="2741" t="s">
        <v>1314</v>
      </c>
      <c r="B16" s="2743"/>
      <c r="C16" s="2743"/>
      <c r="D16" s="2743"/>
      <c r="E16" s="2742" t="e">
        <f t="shared" si="0"/>
        <v>#DIV/0!</v>
      </c>
      <c r="F16" s="2742" t="e">
        <f t="shared" si="1"/>
        <v>#DIV/0!</v>
      </c>
      <c r="G16" s="1498"/>
      <c r="H16" s="1498"/>
      <c r="I16" s="2743"/>
      <c r="J16" s="2915"/>
      <c r="K16" s="2915"/>
    </row>
    <row r="17" spans="1:11" ht="15.6">
      <c r="A17" s="2741" t="s">
        <v>1313</v>
      </c>
      <c r="B17" s="2743"/>
      <c r="C17" s="2743"/>
      <c r="D17" s="2743"/>
      <c r="E17" s="2742" t="e">
        <f t="shared" si="0"/>
        <v>#DIV/0!</v>
      </c>
      <c r="F17" s="2742" t="e">
        <f t="shared" si="1"/>
        <v>#DIV/0!</v>
      </c>
      <c r="G17" s="1498"/>
      <c r="H17" s="1498"/>
      <c r="I17" s="2743"/>
      <c r="J17" s="2915"/>
      <c r="K17" s="2915"/>
    </row>
    <row r="18" spans="1:11" ht="15.6">
      <c r="A18" s="2741" t="s">
        <v>1312</v>
      </c>
      <c r="B18" s="2743"/>
      <c r="C18" s="2743"/>
      <c r="D18" s="2743"/>
      <c r="E18" s="2742" t="e">
        <f t="shared" si="0"/>
        <v>#DIV/0!</v>
      </c>
      <c r="F18" s="2742" t="e">
        <f t="shared" si="1"/>
        <v>#DIV/0!</v>
      </c>
      <c r="G18" s="2743"/>
      <c r="H18" s="2743"/>
      <c r="I18" s="2743"/>
      <c r="J18" s="2915"/>
      <c r="K18" s="2915"/>
    </row>
    <row r="19" spans="1:11" ht="15.6">
      <c r="A19" s="2741" t="s">
        <v>1311</v>
      </c>
      <c r="B19" s="2743"/>
      <c r="C19" s="2743"/>
      <c r="D19" s="2743"/>
      <c r="E19" s="2742" t="e">
        <f t="shared" si="0"/>
        <v>#DIV/0!</v>
      </c>
      <c r="F19" s="2742" t="e">
        <f t="shared" si="1"/>
        <v>#DIV/0!</v>
      </c>
      <c r="G19" s="2743"/>
      <c r="H19" s="2743"/>
      <c r="I19" s="2743"/>
      <c r="J19" s="2915"/>
      <c r="K19" s="2915"/>
    </row>
    <row r="20" spans="1:11" ht="15.6">
      <c r="A20" s="2741" t="s">
        <v>1310</v>
      </c>
      <c r="B20" s="2743"/>
      <c r="C20" s="2743"/>
      <c r="D20" s="2743"/>
      <c r="E20" s="2742" t="e">
        <f t="shared" si="0"/>
        <v>#DIV/0!</v>
      </c>
      <c r="F20" s="2742" t="e">
        <f t="shared" si="1"/>
        <v>#DIV/0!</v>
      </c>
      <c r="G20" s="2743"/>
      <c r="H20" s="2743"/>
      <c r="I20" s="2743"/>
      <c r="J20" s="2915"/>
      <c r="K20" s="2915"/>
    </row>
    <row r="21" spans="1:11" ht="15.6">
      <c r="A21" s="2741" t="s">
        <v>1309</v>
      </c>
      <c r="B21" s="2743"/>
      <c r="C21" s="2743"/>
      <c r="D21" s="2743"/>
      <c r="E21" s="2742" t="e">
        <f t="shared" si="0"/>
        <v>#DIV/0!</v>
      </c>
      <c r="F21" s="2742" t="e">
        <f t="shared" si="1"/>
        <v>#DIV/0!</v>
      </c>
      <c r="G21" s="2743"/>
      <c r="H21" s="2743"/>
      <c r="I21" s="2743"/>
      <c r="J21" s="2915"/>
      <c r="K21" s="2915"/>
    </row>
    <row r="22" spans="1:11" ht="15.6">
      <c r="A22" s="2741" t="s">
        <v>1308</v>
      </c>
      <c r="B22" s="2743"/>
      <c r="C22" s="2743"/>
      <c r="D22" s="2743"/>
      <c r="E22" s="2742" t="e">
        <f t="shared" si="0"/>
        <v>#DIV/0!</v>
      </c>
      <c r="F22" s="2742" t="e">
        <f t="shared" si="1"/>
        <v>#DIV/0!</v>
      </c>
      <c r="G22" s="2743"/>
      <c r="H22" s="2743"/>
      <c r="I22" s="2743"/>
      <c r="J22" s="2915"/>
      <c r="K22" s="2915"/>
    </row>
    <row r="23" spans="1:11" ht="15.6">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5" sqref="K25"/>
    </sheetView>
  </sheetViews>
  <sheetFormatPr defaultColWidth="12.6640625" defaultRowHeight="21.75" customHeight="1"/>
  <cols>
    <col min="1" max="2" width="12.6640625" style="1937"/>
    <col min="3" max="4" width="12.6640625" style="1937" customWidth="1"/>
    <col min="5" max="9" width="12.6640625" style="1937"/>
    <col min="10" max="11" width="12.6640625" style="733" customWidth="1"/>
    <col min="12" max="12" width="12.6640625" style="733"/>
    <col min="13" max="13" width="14.109375" style="733" bestFit="1" customWidth="1"/>
    <col min="14" max="26" width="12.6640625" style="733"/>
    <col min="27" max="35" width="12.6640625" style="1936"/>
    <col min="36" max="16384" width="12.6640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54" t="str">
        <f>项目基本情况!S2</f>
        <v>房地产</v>
      </c>
      <c r="B2" s="3255"/>
      <c r="C2" s="3255"/>
      <c r="D2" s="3255"/>
      <c r="E2" s="3255"/>
      <c r="F2" s="3255"/>
      <c r="G2" s="3255"/>
      <c r="H2" s="3255"/>
      <c r="I2" s="3256"/>
    </row>
    <row r="3" spans="1:12" ht="13.2">
      <c r="A3" s="3258" t="s">
        <v>1950</v>
      </c>
      <c r="B3" s="3259"/>
      <c r="C3" s="3259"/>
      <c r="D3" s="3259"/>
      <c r="E3" s="3259"/>
      <c r="F3" s="3259"/>
      <c r="G3" s="3259"/>
      <c r="H3" s="3259"/>
      <c r="I3" s="3259"/>
    </row>
    <row r="4" spans="1:12" ht="14.4">
      <c r="A4" s="1938" t="s">
        <v>1951</v>
      </c>
      <c r="B4" s="1939" t="s">
        <v>1952</v>
      </c>
      <c r="C4" s="3090" t="s">
        <v>3288</v>
      </c>
      <c r="D4" s="1940" t="s">
        <v>3073</v>
      </c>
      <c r="E4" s="3263" t="s">
        <v>1953</v>
      </c>
      <c r="F4" s="3264"/>
      <c r="G4" s="3264"/>
      <c r="H4" s="3264"/>
      <c r="I4" s="32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99" t="s">
        <v>1954</v>
      </c>
      <c r="B5" s="3257">
        <v>25</v>
      </c>
      <c r="C5" s="3260"/>
      <c r="D5" s="3248"/>
      <c r="E5" s="136" t="s">
        <v>1955</v>
      </c>
      <c r="F5" s="1941"/>
      <c r="G5" s="1941"/>
      <c r="H5" s="1941"/>
      <c r="I5" s="1555"/>
    </row>
    <row r="6" spans="1:12" ht="13.2">
      <c r="A6" s="3199"/>
      <c r="B6" s="3257"/>
      <c r="C6" s="3262"/>
      <c r="D6" s="3248"/>
      <c r="E6" s="136" t="s">
        <v>1956</v>
      </c>
      <c r="F6" s="1941"/>
      <c r="G6" s="1941"/>
      <c r="H6" s="1941"/>
      <c r="I6" s="1555"/>
    </row>
    <row r="7" spans="1:12" ht="13.2">
      <c r="A7" s="3199"/>
      <c r="B7" s="3257"/>
      <c r="C7" s="3261"/>
      <c r="D7" s="3248"/>
      <c r="E7" s="136" t="s">
        <v>1957</v>
      </c>
      <c r="F7" s="1941"/>
      <c r="G7" s="1941"/>
      <c r="H7" s="1941"/>
      <c r="I7" s="1555"/>
    </row>
    <row r="8" spans="1:12" ht="13.2">
      <c r="A8" s="3199" t="s">
        <v>1958</v>
      </c>
      <c r="B8" s="3257">
        <v>15</v>
      </c>
      <c r="C8" s="3260"/>
      <c r="D8" s="3248"/>
      <c r="E8" s="136" t="s">
        <v>1959</v>
      </c>
      <c r="F8" s="1941"/>
      <c r="G8" s="1941"/>
      <c r="H8" s="1941"/>
      <c r="I8" s="1555"/>
    </row>
    <row r="9" spans="1:12" ht="13.2">
      <c r="A9" s="3199"/>
      <c r="B9" s="3257"/>
      <c r="C9" s="3261"/>
      <c r="D9" s="3248"/>
      <c r="E9" s="136" t="s">
        <v>1960</v>
      </c>
      <c r="F9" s="1941"/>
      <c r="G9" s="1941"/>
      <c r="H9" s="1941"/>
      <c r="I9" s="1555"/>
    </row>
    <row r="10" spans="1:12" ht="13.2">
      <c r="A10" s="3199" t="s">
        <v>1961</v>
      </c>
      <c r="B10" s="3257">
        <v>15</v>
      </c>
      <c r="C10" s="3260"/>
      <c r="D10" s="3248"/>
      <c r="E10" s="136" t="s">
        <v>1962</v>
      </c>
      <c r="F10" s="1941"/>
      <c r="G10" s="1941"/>
      <c r="H10" s="1941"/>
      <c r="I10" s="1555"/>
    </row>
    <row r="11" spans="1:12" ht="13.2">
      <c r="A11" s="3199"/>
      <c r="B11" s="3257"/>
      <c r="C11" s="3261"/>
      <c r="D11" s="3248"/>
      <c r="E11" s="136" t="s">
        <v>1963</v>
      </c>
      <c r="F11" s="1941"/>
      <c r="G11" s="1941"/>
      <c r="H11" s="1941"/>
      <c r="I11" s="1555"/>
    </row>
    <row r="12" spans="1:12" ht="13.2">
      <c r="A12" s="3199" t="s">
        <v>1964</v>
      </c>
      <c r="B12" s="3257">
        <v>15</v>
      </c>
      <c r="C12" s="3260"/>
      <c r="D12" s="3248"/>
      <c r="E12" s="136" t="s">
        <v>1965</v>
      </c>
      <c r="F12" s="1941"/>
      <c r="G12" s="1941"/>
      <c r="H12" s="1941"/>
      <c r="I12" s="1555"/>
    </row>
    <row r="13" spans="1:12" ht="13.2">
      <c r="A13" s="3199"/>
      <c r="B13" s="3257"/>
      <c r="C13" s="3261"/>
      <c r="D13" s="3248"/>
      <c r="E13" s="136" t="s">
        <v>1966</v>
      </c>
      <c r="F13" s="1941"/>
      <c r="G13" s="1941"/>
      <c r="H13" s="1941"/>
      <c r="I13" s="1555"/>
    </row>
    <row r="14" spans="1:12" ht="13.2">
      <c r="A14" s="3199" t="s">
        <v>1967</v>
      </c>
      <c r="B14" s="3257">
        <v>30</v>
      </c>
      <c r="C14" s="3260">
        <v>6</v>
      </c>
      <c r="D14" s="3248">
        <v>4</v>
      </c>
      <c r="E14" s="136" t="s">
        <v>1968</v>
      </c>
      <c r="F14" s="1941"/>
      <c r="G14" s="1941"/>
      <c r="H14" s="1941"/>
      <c r="I14" s="1555"/>
    </row>
    <row r="15" spans="1:12" ht="13.2">
      <c r="A15" s="3199"/>
      <c r="B15" s="3257"/>
      <c r="C15" s="3262"/>
      <c r="D15" s="3248"/>
      <c r="E15" s="136" t="s">
        <v>1969</v>
      </c>
      <c r="F15" s="1941"/>
      <c r="G15" s="1941"/>
      <c r="H15" s="1941"/>
      <c r="I15" s="1555"/>
    </row>
    <row r="16" spans="1:12" ht="13.2">
      <c r="A16" s="3199"/>
      <c r="B16" s="3257"/>
      <c r="C16" s="3261"/>
      <c r="D16" s="3248"/>
      <c r="E16" s="136" t="s">
        <v>1970</v>
      </c>
      <c r="F16" s="1941"/>
      <c r="G16" s="1941"/>
      <c r="H16" s="1941"/>
      <c r="I16" s="1555"/>
    </row>
    <row r="17" spans="1:36" ht="14.4">
      <c r="A17" s="1942" t="s">
        <v>1971</v>
      </c>
      <c r="B17" s="60"/>
      <c r="C17" s="137">
        <f>SUM(C5:C16)</f>
        <v>6</v>
      </c>
      <c r="D17" s="137">
        <f>SUM(D5:D16)</f>
        <v>4</v>
      </c>
      <c r="E17" s="134"/>
      <c r="F17" s="134"/>
      <c r="G17" s="134"/>
      <c r="H17" s="134"/>
      <c r="I17" s="134"/>
      <c r="K17" s="308"/>
      <c r="L17" s="308" t="s">
        <v>1972</v>
      </c>
      <c r="M17" s="308" t="s">
        <v>1973</v>
      </c>
    </row>
    <row r="18" spans="1:36" ht="31.95" customHeight="1" thickBot="1">
      <c r="A18" s="1943" t="s">
        <v>1974</v>
      </c>
      <c r="B18" s="1944"/>
      <c r="C18" s="138">
        <f>ROUND(C17/SUM(C17:D17),2)</f>
        <v>0.6</v>
      </c>
      <c r="D18" s="138">
        <f>1-C18</f>
        <v>0.4</v>
      </c>
      <c r="E18" s="3279" t="s">
        <v>2872</v>
      </c>
      <c r="F18" s="3280"/>
      <c r="G18" s="3280"/>
      <c r="H18" s="3280"/>
      <c r="I18" s="3280"/>
      <c r="K18" s="308" t="s">
        <v>1975</v>
      </c>
      <c r="L18" s="308">
        <f>IF(C1="",'数据-汇总表'!E3,SUMIF(项目类型,C1,'数据-汇总表'!E17:E26)+SUMIF(项目类型,C1,'数据-汇总表'!I17:I26))</f>
        <v>43436.4</v>
      </c>
      <c r="M18" s="308">
        <f>IF(C1="",'数据-汇总表'!E3,SUMIF(项目类型,C1,'数据-汇总表'!E17:E26))</f>
        <v>43436.4</v>
      </c>
    </row>
    <row r="19" spans="1:36" ht="14.4">
      <c r="A19" s="1945" t="s">
        <v>1976</v>
      </c>
      <c r="B19" s="1946" t="s">
        <v>1977</v>
      </c>
      <c r="C19" s="139">
        <f ca="1">SUMIF(INDIRECT("'"&amp;C4&amp;"'"&amp;"!A:A"),结果表!B19,INDIRECT("'"&amp;C4&amp;"'"&amp;"!B:B"))</f>
        <v>32641</v>
      </c>
      <c r="D19" s="140">
        <f ca="1">SUMIF(INDIRECT("'"&amp;D4&amp;"'"&amp;"!A:A"),结果表!B19,INDIRECT("'"&amp;D4&amp;"'"&amp;"!B:B"))</f>
        <v>13108</v>
      </c>
      <c r="E19" s="1945" t="s">
        <v>1978</v>
      </c>
      <c r="F19" s="1946" t="s">
        <v>1977</v>
      </c>
      <c r="G19" s="141">
        <f ca="1">ROUND(C19*$C$18+D19*$D$18,0)</f>
        <v>24828</v>
      </c>
      <c r="H19" s="1947" t="s">
        <v>1979</v>
      </c>
      <c r="I19" s="134"/>
      <c r="K19" s="308" t="s">
        <v>1980</v>
      </c>
      <c r="L19" s="308">
        <f>IF(C1="",'数据-汇总表'!D3,SUMIF(项目类型,C1,'数据-汇总表'!D17:D26)+SUMIF(项目类型,C1,'数据-汇总表'!H17:H27))</f>
        <v>27014.799999999999</v>
      </c>
      <c r="M19" s="308">
        <f>IF(C1="",'数据-汇总表'!D3,SUMIF(项目类型,C1,'数据-汇总表'!D17:D26))</f>
        <v>27014.799999999999</v>
      </c>
    </row>
    <row r="20" spans="1:36" ht="14.4">
      <c r="A20" s="1948"/>
      <c r="B20" s="1156" t="s">
        <v>1981</v>
      </c>
      <c r="C20" s="142">
        <f ca="1">SUMIF(INDIRECT("'"&amp;C4&amp;"'"&amp;"!A:A"),结果表!B20,INDIRECT("'"&amp;C4&amp;"'"&amp;"!B:B"))</f>
        <v>7515</v>
      </c>
      <c r="D20" s="143">
        <f ca="1">SUMIF(INDIRECT("'"&amp;D4&amp;"'"&amp;"!A:A"),结果表!B20,INDIRECT("'"&amp;D4&amp;"'"&amp;"!B:B"))</f>
        <v>3018</v>
      </c>
      <c r="E20" s="1948"/>
      <c r="F20" s="1156" t="s">
        <v>1981</v>
      </c>
      <c r="G20" s="144">
        <f ca="1">ROUND(C20*$C$18+D20*$D$18,0)</f>
        <v>5716</v>
      </c>
      <c r="H20" s="916" t="s">
        <v>1982</v>
      </c>
      <c r="I20" s="134"/>
    </row>
    <row r="21" spans="1:36" ht="15" customHeight="1" thickBot="1">
      <c r="A21" s="936"/>
      <c r="B21" s="1949" t="s">
        <v>1983</v>
      </c>
      <c r="C21" s="727">
        <f ca="1">ROUND(C19*10000/L19,0)</f>
        <v>12083</v>
      </c>
      <c r="D21" s="728">
        <f ca="1">ROUND(D19*10000/L19,0)</f>
        <v>4852</v>
      </c>
      <c r="E21" s="936"/>
      <c r="F21" s="1949" t="s">
        <v>1983</v>
      </c>
      <c r="G21" s="145">
        <f ca="1">ROUND(G19*10000/L19,0)</f>
        <v>9191</v>
      </c>
      <c r="H21" s="1950" t="s">
        <v>1982</v>
      </c>
      <c r="I21" s="134"/>
    </row>
    <row r="22" spans="1:36" ht="15" thickBot="1">
      <c r="A22" s="1872" t="s">
        <v>1984</v>
      </c>
      <c r="B22" s="1951"/>
      <c r="C22" s="1952"/>
      <c r="D22" s="729">
        <f ca="1">IF(C19&lt;D19,D19/C19-1,C19/D19-1)</f>
        <v>1.4901586817210863</v>
      </c>
      <c r="E22" s="134"/>
      <c r="F22" s="134"/>
      <c r="G22" s="134"/>
      <c r="H22" s="134"/>
      <c r="I22" s="134"/>
    </row>
    <row r="23" spans="1:36" ht="13.8" thickBot="1">
      <c r="A23" s="1931"/>
      <c r="B23" s="1931"/>
      <c r="C23" s="1931"/>
      <c r="D23" s="1931"/>
      <c r="E23" s="134"/>
      <c r="F23" s="134"/>
      <c r="G23" s="134"/>
      <c r="H23" s="134"/>
      <c r="I23" s="134"/>
    </row>
    <row r="24" spans="1:36" ht="14.4">
      <c r="A24" s="3272" t="s">
        <v>1985</v>
      </c>
      <c r="B24" s="1946" t="s">
        <v>1977</v>
      </c>
      <c r="C24" s="141">
        <f>IF(B30=0,0,D30)</f>
        <v>0</v>
      </c>
      <c r="D24" s="1953"/>
      <c r="E24" s="134"/>
      <c r="F24" s="134"/>
      <c r="G24" s="134"/>
      <c r="H24" s="134"/>
      <c r="I24" s="134"/>
    </row>
    <row r="25" spans="1:36" ht="14.4">
      <c r="A25" s="3273"/>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3.8">
      <c r="A27" s="1955"/>
      <c r="B27" s="147">
        <v>0</v>
      </c>
      <c r="C27" s="147">
        <v>0</v>
      </c>
      <c r="D27" s="148">
        <f>ROUND(C27*B27/10000,0)</f>
        <v>0</v>
      </c>
      <c r="E27" s="134"/>
      <c r="F27" s="134"/>
      <c r="G27" s="134"/>
      <c r="H27" s="134"/>
      <c r="I27" s="134"/>
    </row>
    <row r="28" spans="1:36" ht="13.8">
      <c r="A28" s="1955"/>
      <c r="B28" s="147"/>
      <c r="C28" s="147"/>
      <c r="D28" s="148"/>
      <c r="E28" s="134"/>
      <c r="F28" s="134"/>
      <c r="G28" s="134"/>
      <c r="H28" s="134"/>
      <c r="I28" s="134"/>
    </row>
    <row r="29" spans="1:36" ht="13.8">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1991</v>
      </c>
      <c r="B32" s="1958"/>
      <c r="C32" s="149">
        <f ca="1">IF(D32="总价",G19-C24,G20-C25)</f>
        <v>24828</v>
      </c>
      <c r="D32" s="1959" t="s">
        <v>3074</v>
      </c>
      <c r="E32" s="134"/>
      <c r="F32" s="134"/>
      <c r="G32" s="134"/>
      <c r="H32" s="134"/>
      <c r="I32" s="134"/>
    </row>
    <row r="33" spans="1:15" ht="14.4">
      <c r="A33" s="893" t="s">
        <v>1992</v>
      </c>
      <c r="B33" s="1960"/>
      <c r="C33" s="1961"/>
      <c r="D33" s="1962" t="s">
        <v>3073</v>
      </c>
      <c r="E33" s="1963" t="s">
        <v>1993</v>
      </c>
      <c r="F33" s="1964" t="str">
        <f>IF(D32="楼面单价","取值（单价）","取值（总价）")</f>
        <v>取值（总价）</v>
      </c>
      <c r="G33" s="134"/>
      <c r="H33" s="134"/>
      <c r="I33" s="134"/>
    </row>
    <row r="34" spans="1:15" ht="14.4">
      <c r="A34" s="1965"/>
      <c r="B34" s="1966" t="s">
        <v>1994</v>
      </c>
      <c r="C34" s="153">
        <f ca="1">IF(C33="自定义",F34,C32-C35)</f>
        <v>-51915</v>
      </c>
      <c r="D34" s="969">
        <f ca="1">IF(C33="自定义",ROUND(C34/C32,3),IF(C33="收益比率",SUMIF(INDIRECT("'"&amp;D33&amp;"'"&amp;"!b:b"),"土地收益比率",INDIRECT("'"&amp;D33&amp;"'"&amp;"!c:c")),SUMIF(INDIRECT("'"&amp;D33&amp;"'"&amp;"!b:b"),"土地成本比率",INDIRECT("'"&amp;D33&amp;"'"&amp;"!c:c"))))</f>
        <v>-2.0910000000000002</v>
      </c>
      <c r="E34" s="1967" t="s">
        <v>1995</v>
      </c>
      <c r="F34" s="1496"/>
      <c r="G34" s="134"/>
      <c r="H34" s="134"/>
      <c r="I34" s="134"/>
    </row>
    <row r="35" spans="1:15" ht="15" thickBot="1">
      <c r="A35" s="1968"/>
      <c r="B35" s="1969" t="s">
        <v>1996</v>
      </c>
      <c r="C35" s="1331">
        <f ca="1">IF(C33="自定义",F35,ROUND(C32*D35,0))</f>
        <v>76743</v>
      </c>
      <c r="D35" s="1332">
        <f ca="1">IF(C33="自定义",ROUND(C35/C32,3),IF(C33="收益比率",SUMIF(INDIRECT("'"&amp;D33&amp;"'"&amp;"!b:b"),"建筑物收益比率",INDIRECT("'"&amp;D33&amp;"'"&amp;"!c:c")),SUMIF(INDIRECT("'"&amp;D33&amp;"'"&amp;"!b:b"),"建筑物成本比率",INDIRECT("'"&amp;D33&amp;"'"&amp;"!c:c"))))</f>
        <v>3.0910000000000002</v>
      </c>
      <c r="E35" s="1970" t="s">
        <v>1997</v>
      </c>
      <c r="F35" s="159"/>
      <c r="G35" s="134"/>
      <c r="H35" s="134"/>
      <c r="I35" s="134"/>
    </row>
    <row r="36" spans="1:15" ht="15" thickBot="1">
      <c r="A36" s="3249" t="s">
        <v>1998</v>
      </c>
      <c r="B36" s="1971" t="s">
        <v>1999</v>
      </c>
      <c r="C36" s="150"/>
      <c r="D36" s="1972"/>
      <c r="E36" s="1973"/>
      <c r="F36" s="1974"/>
      <c r="G36" s="134"/>
      <c r="H36" s="134"/>
      <c r="I36" s="134"/>
    </row>
    <row r="37" spans="1:15" ht="15" thickBot="1">
      <c r="A37" s="3250"/>
      <c r="B37" s="1858" t="s">
        <v>2000</v>
      </c>
      <c r="C37" s="152"/>
      <c r="D37" s="1300"/>
      <c r="E37" s="1300"/>
      <c r="F37" s="1974"/>
      <c r="G37" s="134"/>
      <c r="H37" s="134"/>
      <c r="I37" s="134"/>
    </row>
    <row r="38" spans="1:15" ht="15" thickBot="1">
      <c r="A38" s="3251"/>
      <c r="B38" s="1975" t="s">
        <v>2001</v>
      </c>
      <c r="C38" s="682"/>
      <c r="D38" s="1976" t="s">
        <v>2002</v>
      </c>
      <c r="E38" s="1300"/>
      <c r="F38" s="1974"/>
      <c r="G38" s="134"/>
      <c r="H38" s="134"/>
      <c r="I38" s="134"/>
    </row>
    <row r="39" spans="1:15" ht="14.4">
      <c r="A39" s="1948" t="s">
        <v>2003</v>
      </c>
      <c r="B39" s="1977" t="s">
        <v>2004</v>
      </c>
      <c r="C39" s="1978" t="s">
        <v>2005</v>
      </c>
      <c r="D39" s="1978" t="s">
        <v>2006</v>
      </c>
      <c r="E39" s="1979" t="s">
        <v>2007</v>
      </c>
      <c r="F39" s="1974"/>
      <c r="G39" s="134"/>
      <c r="H39" s="134"/>
      <c r="I39" s="134"/>
    </row>
    <row r="40" spans="1:15" ht="13.8">
      <c r="A40" s="1980" t="s">
        <v>2008</v>
      </c>
      <c r="B40" s="154"/>
      <c r="C40" s="155"/>
      <c r="D40" s="155"/>
      <c r="E40" s="156"/>
      <c r="F40" s="1974"/>
      <c r="G40" s="134"/>
      <c r="H40" s="134"/>
      <c r="I40" s="134"/>
    </row>
    <row r="41" spans="1:15" ht="13.8">
      <c r="A41" s="1980" t="s">
        <v>2009</v>
      </c>
      <c r="B41" s="154"/>
      <c r="C41" s="155"/>
      <c r="D41" s="155"/>
      <c r="E41" s="156"/>
      <c r="F41" s="1974"/>
      <c r="G41" s="134"/>
      <c r="H41" s="134"/>
      <c r="I41" s="134"/>
    </row>
    <row r="42" spans="1:15" ht="14.4" thickBot="1">
      <c r="A42" s="1981"/>
      <c r="B42" s="157"/>
      <c r="C42" s="158"/>
      <c r="D42" s="158"/>
      <c r="E42" s="159"/>
      <c r="F42" s="1974"/>
      <c r="G42" s="134"/>
      <c r="H42" s="134"/>
      <c r="I42" s="134"/>
    </row>
    <row r="43" spans="1:15" ht="13.2">
      <c r="A43" s="1760"/>
      <c r="B43" s="1760"/>
      <c r="C43" s="1760"/>
      <c r="D43" s="1760"/>
      <c r="E43" s="1760"/>
      <c r="F43" s="1982"/>
      <c r="G43" s="1982"/>
      <c r="H43" s="1982"/>
      <c r="I43" s="1983"/>
    </row>
    <row r="44" spans="1:15" ht="17.399999999999999">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69" t="s">
        <v>2012</v>
      </c>
      <c r="B45" s="3270"/>
      <c r="C45" s="3271"/>
      <c r="D45" s="160">
        <f ca="1">ROUND(H101*F45,0)</f>
        <v>24828</v>
      </c>
      <c r="E45" s="161" t="s">
        <v>2013</v>
      </c>
      <c r="F45" s="162">
        <v>1</v>
      </c>
      <c r="G45" s="163" t="s">
        <v>2014</v>
      </c>
      <c r="H45" s="134"/>
      <c r="I45" s="134"/>
      <c r="J45" s="3186" t="s">
        <v>2015</v>
      </c>
      <c r="K45" s="3186"/>
      <c r="L45" s="3186"/>
      <c r="M45" s="3186"/>
      <c r="N45" s="3186"/>
      <c r="O45" s="3186"/>
    </row>
    <row r="46" spans="1:15" ht="14.25" customHeight="1">
      <c r="A46" s="3266" t="s">
        <v>2016</v>
      </c>
      <c r="B46" s="3267"/>
      <c r="C46" s="3267"/>
      <c r="D46" s="3267"/>
      <c r="E46" s="3267"/>
      <c r="F46" s="3267"/>
      <c r="G46" s="3268"/>
      <c r="H46" s="1990"/>
      <c r="I46" s="164"/>
      <c r="J46" s="2747">
        <v>1</v>
      </c>
      <c r="K46" s="3187" t="s">
        <v>2017</v>
      </c>
      <c r="L46" s="3187"/>
      <c r="M46" s="3188"/>
      <c r="N46" s="3188"/>
      <c r="O46" s="3188"/>
    </row>
    <row r="47" spans="1:15" ht="12" customHeight="1">
      <c r="A47" s="165" t="s">
        <v>2018</v>
      </c>
      <c r="B47" s="166"/>
      <c r="C47" s="167"/>
      <c r="D47" s="1246" t="s">
        <v>2019</v>
      </c>
      <c r="E47" s="308" t="s">
        <v>2020</v>
      </c>
      <c r="F47" s="168" t="s">
        <v>2021</v>
      </c>
      <c r="G47" s="2770" t="s">
        <v>2022</v>
      </c>
      <c r="H47" s="2771"/>
      <c r="I47" s="164"/>
      <c r="J47" s="2747">
        <v>2</v>
      </c>
      <c r="K47" s="3187" t="s">
        <v>2023</v>
      </c>
      <c r="L47" s="3187"/>
      <c r="M47" s="3189">
        <f>'数据-取费表'!B2</f>
        <v>44561</v>
      </c>
      <c r="N47" s="3189"/>
      <c r="O47" s="3189"/>
    </row>
    <row r="48" spans="1:15" ht="26.4">
      <c r="A48" s="3252" t="s">
        <v>2024</v>
      </c>
      <c r="B48" s="3253"/>
      <c r="C48" s="3253"/>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87" t="s">
        <v>2026</v>
      </c>
      <c r="L48" s="3187"/>
      <c r="M48" s="3190">
        <f ca="1">H101</f>
        <v>24828</v>
      </c>
      <c r="N48" s="3190"/>
      <c r="O48" s="3190"/>
    </row>
    <row r="49" spans="1:35" ht="25.5" customHeight="1">
      <c r="A49" s="2554" t="s">
        <v>2027</v>
      </c>
      <c r="B49" s="3235" t="s">
        <v>2028</v>
      </c>
      <c r="C49" s="3235"/>
      <c r="D49" s="1773">
        <v>0</v>
      </c>
      <c r="E49" s="330" t="s">
        <v>2029</v>
      </c>
      <c r="F49" s="2648" t="s">
        <v>34</v>
      </c>
      <c r="G49" s="3218"/>
      <c r="H49" s="2526" t="s">
        <v>2875</v>
      </c>
      <c r="I49" s="2527"/>
      <c r="J49" s="2747">
        <v>4</v>
      </c>
      <c r="K49" s="3187" t="str">
        <f>IF(项目基本情况!E8="房地产抵押价值","房地产抵押价值","抵押担保权已注销时的房地产抵押价值")</f>
        <v>房地产抵押价值</v>
      </c>
      <c r="L49" s="3187"/>
      <c r="M49" s="3190">
        <f ca="1">IF(项目基本情况!E8="房地产抵押价值",H107,H109)</f>
        <v>24828</v>
      </c>
      <c r="N49" s="3190"/>
      <c r="O49" s="3190"/>
    </row>
    <row r="50" spans="1:35" ht="25.5" customHeight="1">
      <c r="A50" s="2775"/>
      <c r="B50" s="3235" t="s">
        <v>2030</v>
      </c>
      <c r="C50" s="3235"/>
      <c r="D50" s="2776"/>
      <c r="E50" s="338"/>
      <c r="F50" s="2648"/>
      <c r="G50" s="3219"/>
      <c r="H50" s="2528" t="s">
        <v>2876</v>
      </c>
      <c r="I50" s="2527"/>
      <c r="J50" s="3186" t="s">
        <v>2031</v>
      </c>
      <c r="K50" s="3186"/>
      <c r="L50" s="3186"/>
      <c r="M50" s="3186"/>
      <c r="N50" s="3186"/>
      <c r="O50" s="3186"/>
    </row>
    <row r="51" spans="1:35" ht="20.399999999999999" customHeight="1">
      <c r="A51" s="2777"/>
      <c r="B51" s="3235" t="s">
        <v>2032</v>
      </c>
      <c r="C51" s="3235"/>
      <c r="D51" s="1246"/>
      <c r="E51" s="333"/>
      <c r="F51" s="2648"/>
      <c r="G51" s="3220"/>
      <c r="H51" s="2528" t="s">
        <v>2877</v>
      </c>
      <c r="I51" s="2527"/>
      <c r="J51" s="2748" t="s">
        <v>2033</v>
      </c>
      <c r="K51" s="3187" t="s">
        <v>2034</v>
      </c>
      <c r="L51" s="3187"/>
      <c r="M51" s="2748" t="s">
        <v>2035</v>
      </c>
      <c r="N51" s="2748" t="s">
        <v>2036</v>
      </c>
      <c r="O51" s="2748" t="s">
        <v>2037</v>
      </c>
    </row>
    <row r="52" spans="1:35" ht="24" customHeight="1">
      <c r="A52" s="2556" t="s">
        <v>2038</v>
      </c>
      <c r="B52" s="3235" t="s">
        <v>2039</v>
      </c>
      <c r="C52" s="3235"/>
      <c r="D52" s="1246">
        <f ca="1">ROUND(D45*'数据-取费表'!B41/(1+'数据-取费表'!C42),0)</f>
        <v>1324</v>
      </c>
      <c r="E52" s="2555" t="s">
        <v>2040</v>
      </c>
      <c r="F52" s="2778">
        <f>'数据-取费表'!B41</f>
        <v>5.6000000000000001E-2</v>
      </c>
      <c r="G52" s="2779"/>
      <c r="H52" s="2768"/>
      <c r="I52" s="1991"/>
      <c r="J52" s="2747">
        <v>1</v>
      </c>
      <c r="K52" s="3212" t="s">
        <v>2041</v>
      </c>
      <c r="L52" s="3212"/>
      <c r="M52" s="2749" t="b">
        <f>D48</f>
        <v>0</v>
      </c>
      <c r="N52" s="2747" t="str">
        <f>E48</f>
        <v>销售额×税（费）率</v>
      </c>
      <c r="O52" s="2750">
        <f>F48</f>
        <v>5.6000000000000001E-2</v>
      </c>
    </row>
    <row r="53" spans="1:35" ht="12" customHeight="1">
      <c r="A53" s="2556" t="s">
        <v>2042</v>
      </c>
      <c r="B53" s="3236" t="s">
        <v>3036</v>
      </c>
      <c r="C53" s="3237"/>
      <c r="D53" s="1246">
        <f ca="1">ROUND(D45*'数据-取费表'!B41/(1+'数据-取费表'!C42),0)</f>
        <v>1324</v>
      </c>
      <c r="E53" s="2555" t="s">
        <v>2040</v>
      </c>
      <c r="F53" s="2778">
        <f>'数据-取费表'!B41</f>
        <v>5.6000000000000001E-2</v>
      </c>
      <c r="G53" s="2779"/>
      <c r="H53" s="2768"/>
      <c r="I53" s="1991"/>
      <c r="J53" s="2747">
        <v>2</v>
      </c>
      <c r="K53" s="3212" t="s">
        <v>2043</v>
      </c>
      <c r="L53" s="3212"/>
      <c r="M53" s="2749">
        <f t="shared" ref="M53:O54" ca="1" si="0">D55</f>
        <v>12</v>
      </c>
      <c r="N53" s="2747" t="str">
        <f t="shared" si="0"/>
        <v>销售额×税（费）率</v>
      </c>
      <c r="O53" s="2750" t="str">
        <f t="shared" si="0"/>
        <v>免征</v>
      </c>
    </row>
    <row r="54" spans="1:35" ht="12" customHeight="1">
      <c r="A54" s="2556" t="s">
        <v>2044</v>
      </c>
      <c r="B54" s="3236" t="s">
        <v>3037</v>
      </c>
      <c r="C54" s="3237"/>
      <c r="D54" s="1246">
        <f ca="1">C68</f>
        <v>1324</v>
      </c>
      <c r="E54" s="333" t="s">
        <v>2045</v>
      </c>
      <c r="F54" s="2778">
        <f>'数据-取费表'!B41</f>
        <v>5.6000000000000001E-2</v>
      </c>
      <c r="G54" s="2779"/>
      <c r="H54" s="2780"/>
      <c r="I54" s="1991"/>
      <c r="J54" s="2747">
        <v>3</v>
      </c>
      <c r="K54" s="3212" t="s">
        <v>2046</v>
      </c>
      <c r="L54" s="3212"/>
      <c r="M54" s="2749">
        <f t="shared" ca="1" si="0"/>
        <v>14053</v>
      </c>
      <c r="N54" s="2747" t="str">
        <f t="shared" si="0"/>
        <v>增值额×税（费）率</v>
      </c>
      <c r="O54" s="2751" t="str">
        <f t="shared" si="0"/>
        <v>免征</v>
      </c>
    </row>
    <row r="55" spans="1:35" ht="24" customHeight="1">
      <c r="A55" s="3275" t="s">
        <v>2047</v>
      </c>
      <c r="B55" s="3253"/>
      <c r="C55" s="3253"/>
      <c r="D55" s="2545">
        <f ca="1">IF(H55="个人住宅",0,ROUND(D45*I55,0))</f>
        <v>12</v>
      </c>
      <c r="E55" s="2555" t="s">
        <v>2048</v>
      </c>
      <c r="F55" s="2778" t="str">
        <f>IF(H55="正常",I55,"免征")</f>
        <v>免征</v>
      </c>
      <c r="G55" s="2779"/>
      <c r="H55" s="2774"/>
      <c r="I55" s="170">
        <f>'数据-取费表'!B49</f>
        <v>5.0000000000000001E-4</v>
      </c>
      <c r="J55" s="2747">
        <f>IF(H59="非个人房产","",4)</f>
        <v>4</v>
      </c>
      <c r="K55" s="3212" t="str">
        <f>IF(H59="非个人房产","——","个人所得税")</f>
        <v>个人所得税</v>
      </c>
      <c r="L55" s="3212"/>
      <c r="M55" s="2752">
        <f ca="1">D59</f>
        <v>236</v>
      </c>
      <c r="N55" s="2226" t="str">
        <f>E59</f>
        <v>差额计税</v>
      </c>
      <c r="O55" s="2753">
        <f>F59</f>
        <v>0.01</v>
      </c>
    </row>
    <row r="56" spans="1:35" ht="25.2">
      <c r="A56" s="3275" t="s">
        <v>2049</v>
      </c>
      <c r="B56" s="3253"/>
      <c r="C56" s="3253"/>
      <c r="D56" s="2545">
        <f ca="1">IF(H56="个人住宅",D57,D58)</f>
        <v>14053</v>
      </c>
      <c r="E56" s="2555" t="s">
        <v>2050</v>
      </c>
      <c r="F56" s="2778" t="str">
        <f>IF(H56="正常",F58,"免征")</f>
        <v>免征</v>
      </c>
      <c r="G56" s="2781" t="s">
        <v>2051</v>
      </c>
      <c r="H56" s="2782"/>
      <c r="I56" s="1992"/>
      <c r="J56" s="2747" t="str">
        <f>IF(项目基本情况!K6="上海银行",IF(J55="",4,J55+1),"")</f>
        <v/>
      </c>
      <c r="K56" s="3193" t="str">
        <f>IF(项目基本情况!K6="上海银行","其他处置费用","")</f>
        <v/>
      </c>
      <c r="L56" s="3194"/>
      <c r="M56" s="2749" t="str">
        <f>IF(项目基本情况!K6="上海银行",M69,"")</f>
        <v/>
      </c>
      <c r="N56" s="3193" t="str">
        <f>IF(项目基本情况!K6="上海银行","包含处置中涉及的律师、诉讼、拍卖、评估等费用","")</f>
        <v/>
      </c>
      <c r="O56" s="3196"/>
    </row>
    <row r="57" spans="1:35" ht="13.2">
      <c r="A57" s="2556" t="s">
        <v>2027</v>
      </c>
      <c r="B57" s="3236" t="s">
        <v>2052</v>
      </c>
      <c r="C57" s="3237"/>
      <c r="D57" s="1773">
        <v>0</v>
      </c>
      <c r="E57" s="330" t="s">
        <v>2029</v>
      </c>
      <c r="F57" s="308"/>
      <c r="G57" s="2779"/>
      <c r="H57" s="2783"/>
      <c r="I57" s="1992"/>
      <c r="J57" s="3212">
        <f>IF(AND(J55="",J56=""),4,IF(项目基本情况!K6="上海银行",结果表!J56+1,结果表!J55+1))</f>
        <v>5</v>
      </c>
      <c r="K57" s="3212" t="s">
        <v>2053</v>
      </c>
      <c r="L57" s="2754" t="s">
        <v>2054</v>
      </c>
      <c r="M57" s="2755"/>
      <c r="N57" s="2756">
        <f ca="1">SUMIF(M52:M56,"&lt;9e307")</f>
        <v>14301</v>
      </c>
      <c r="O57" s="2757"/>
      <c r="P57" s="2917">
        <f ca="1">N57/M49</f>
        <v>0.57600289995166742</v>
      </c>
    </row>
    <row r="58" spans="1:35" ht="25.2">
      <c r="A58" s="2556" t="s">
        <v>2038</v>
      </c>
      <c r="B58" s="3236" t="s">
        <v>2055</v>
      </c>
      <c r="C58" s="3235"/>
      <c r="D58" s="2545">
        <f ca="1">IF(H58="转让取得",C81,C97)</f>
        <v>14053</v>
      </c>
      <c r="E58" s="2555" t="s">
        <v>2050</v>
      </c>
      <c r="F58" s="308" t="s">
        <v>34</v>
      </c>
      <c r="G58" s="2779"/>
      <c r="H58" s="2782"/>
      <c r="I58" s="1992"/>
      <c r="J58" s="3212"/>
      <c r="K58" s="3212"/>
      <c r="L58" s="2754" t="s">
        <v>2056</v>
      </c>
      <c r="M58" s="2758"/>
      <c r="N58" s="2759" t="str">
        <f ca="1">NUMBERSTRING(INT(N57*10000),2)&amp;"元整"</f>
        <v>壹亿肆仟叁佰零壹万元整</v>
      </c>
      <c r="O58" s="2760"/>
    </row>
    <row r="59" spans="1:35" ht="24.6" thickBot="1">
      <c r="A59" s="3216" t="s">
        <v>2057</v>
      </c>
      <c r="B59" s="3217"/>
      <c r="C59" s="3217"/>
      <c r="D59" s="2784">
        <f ca="1">IF(H59="非个人房产","——",IF(H59="个人住宅（满五唯一有凭证）",0,IF(H59="个人其他（无凭证）",ROUND(D45*F59,0),ROUND(C67*F59,0))))</f>
        <v>236</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14">
        <f>J57+1</f>
        <v>6</v>
      </c>
      <c r="K59" s="3212" t="s">
        <v>2058</v>
      </c>
      <c r="L59" s="2747" t="s">
        <v>2054</v>
      </c>
      <c r="M59" s="2761"/>
      <c r="N59" s="2762">
        <f ca="1">M49-N57</f>
        <v>10527</v>
      </c>
      <c r="O59" s="2763"/>
    </row>
    <row r="60" spans="1:35" ht="12" customHeight="1">
      <c r="A60" s="1993"/>
      <c r="B60" s="1931"/>
      <c r="C60" s="1931"/>
      <c r="D60" s="1931"/>
      <c r="E60" s="1761"/>
      <c r="F60" s="1992"/>
      <c r="G60" s="1992"/>
      <c r="H60" s="1994"/>
      <c r="I60" s="134"/>
      <c r="J60" s="3215"/>
      <c r="K60" s="3212"/>
      <c r="L60" s="2754" t="s">
        <v>2056</v>
      </c>
      <c r="M60" s="2758"/>
      <c r="N60" s="2759" t="str">
        <f ca="1">NUMBERSTRING(INT(N59*10000),2)&amp;"元整"</f>
        <v>壹亿零伍佰贰拾柒万元整</v>
      </c>
      <c r="O60" s="2760"/>
    </row>
    <row r="61" spans="1:35" ht="13.8" thickBot="1">
      <c r="A61" s="3274" t="s">
        <v>2059</v>
      </c>
      <c r="B61" s="3274"/>
      <c r="C61" s="3274"/>
      <c r="D61" s="3274"/>
      <c r="E61" s="3274"/>
      <c r="F61" s="1992"/>
      <c r="G61" s="1992"/>
      <c r="H61" s="1994"/>
      <c r="I61" s="134"/>
      <c r="J61" s="2747">
        <f>J59+1</f>
        <v>7</v>
      </c>
      <c r="K61" s="3212" t="s">
        <v>2060</v>
      </c>
      <c r="L61" s="3212"/>
      <c r="M61" s="2764"/>
      <c r="N61" s="2765">
        <f ca="1">ROUND(N59*10000/'数据-汇总表'!E3,0)</f>
        <v>2424</v>
      </c>
      <c r="O61" s="2766"/>
    </row>
    <row r="62" spans="1:35" ht="13.2">
      <c r="A62" s="3231" t="s">
        <v>2061</v>
      </c>
      <c r="B62" s="3232"/>
      <c r="C62" s="2207"/>
      <c r="D62" s="2207" t="s">
        <v>2062</v>
      </c>
      <c r="E62" s="171" t="s">
        <v>2063</v>
      </c>
      <c r="F62" s="1992"/>
      <c r="G62" s="1992"/>
      <c r="H62" s="1994"/>
      <c r="I62" s="134"/>
    </row>
    <row r="63" spans="1:35" ht="13.2">
      <c r="A63" s="178" t="s">
        <v>775</v>
      </c>
      <c r="B63" s="172" t="s">
        <v>2064</v>
      </c>
      <c r="C63" s="2788">
        <f ca="1">ROUND((C64+C65)/(1+'数据-取费表'!C42),0)</f>
        <v>23646</v>
      </c>
      <c r="D63" s="172"/>
      <c r="E63" s="173"/>
      <c r="F63" s="1992"/>
      <c r="G63" s="1992"/>
      <c r="H63" s="1994"/>
      <c r="I63" s="134"/>
      <c r="J63" s="3195" t="s">
        <v>2065</v>
      </c>
      <c r="K63" s="1499" t="s">
        <v>2066</v>
      </c>
      <c r="L63" s="1499">
        <f ca="1">IF(M49&gt;10000,M49*0.5%,IF(AND(M49&gt;1000,M49&lt;=10000),M49*1%,IF(AND(M49&gt;100,M49&lt;=1000),M49*3%,IF(AND(M49&gt;10,M49&lt;=100),M49*5%,M49*8%))))</f>
        <v>124.14</v>
      </c>
      <c r="M63" s="308">
        <f ca="1">ROUND(L63,1)</f>
        <v>124.1</v>
      </c>
      <c r="N63" s="2767"/>
      <c r="Z63" s="1936"/>
      <c r="AI63" s="1937"/>
    </row>
    <row r="64" spans="1:35" ht="14.25" customHeight="1">
      <c r="A64" s="174" t="s">
        <v>770</v>
      </c>
      <c r="B64" s="175" t="s">
        <v>2067</v>
      </c>
      <c r="C64" s="2789">
        <f ca="1">D45</f>
        <v>24828</v>
      </c>
      <c r="D64" s="175" t="s">
        <v>32</v>
      </c>
      <c r="E64" s="177"/>
      <c r="F64" s="1992"/>
      <c r="G64" s="1992"/>
      <c r="H64" s="1994"/>
      <c r="I64" s="134"/>
      <c r="J64" s="3195"/>
      <c r="K64" s="1499" t="s">
        <v>2068</v>
      </c>
      <c r="L64" s="1499">
        <f ca="1">IF(M49&gt;2000,M49*0.5%,IF(AND(M49&gt;1000,M49&lt;=2000),M49*0.6%,IF(AND(M49&gt;500,M49&lt;=1000),M49*0.7%,IF(AND(M49&gt;200,M49&lt;=500),M49*0.8%,IF(AND(M49&gt;100,M49&lt;=200),M49*0.9%,IF(AND(M49&gt;50,M49&lt;=100),M49*1%,IF(AND(M49&gt;20,M49&lt;=50),M49*1.5%,IF(AND(M49&gt;10,M49&lt;=20),M49*2%,IF(AND(M49&gt;1,M49&lt;=10),M49*2.5%)))))))))</f>
        <v>124.14</v>
      </c>
      <c r="M64" s="308">
        <f t="shared" ref="M64:M65" ca="1" si="1">ROUND(L64,1)</f>
        <v>124.1</v>
      </c>
      <c r="N64" s="2768" t="s">
        <v>2069</v>
      </c>
      <c r="Z64" s="1936"/>
      <c r="AI64" s="1937"/>
    </row>
    <row r="65" spans="1:35" ht="14.25" customHeight="1">
      <c r="A65" s="174" t="s">
        <v>771</v>
      </c>
      <c r="B65" s="175" t="s">
        <v>2070</v>
      </c>
      <c r="C65" s="2790"/>
      <c r="D65" s="175"/>
      <c r="E65" s="177"/>
      <c r="F65" s="1992"/>
      <c r="G65" s="1992"/>
      <c r="H65" s="1994"/>
      <c r="I65" s="134"/>
      <c r="J65" s="3195"/>
      <c r="K65" s="1499" t="s">
        <v>2071</v>
      </c>
      <c r="L65" s="1499">
        <f ca="1">IF(M49&gt;1000,M49*0.1%,IF(AND(M49&gt;500,M49&lt;=1000),M49*0.5%,IF(AND(M49&gt;50,M49&lt;=500),M49*1%,IF(AND(M49&gt;1,M49&lt;=50),M49*1.5%))))</f>
        <v>24.827999999999999</v>
      </c>
      <c r="M65" s="308">
        <f t="shared" ca="1" si="1"/>
        <v>24.8</v>
      </c>
      <c r="N65" s="2768" t="s">
        <v>2069</v>
      </c>
      <c r="Z65" s="1936"/>
      <c r="AI65" s="1937"/>
    </row>
    <row r="66" spans="1:35" ht="14.25" customHeight="1">
      <c r="A66" s="178" t="s">
        <v>772</v>
      </c>
      <c r="B66" s="179" t="s">
        <v>2072</v>
      </c>
      <c r="C66" s="2791"/>
      <c r="D66" s="179" t="s">
        <v>32</v>
      </c>
      <c r="E66" s="1507" t="s">
        <v>1337</v>
      </c>
      <c r="F66" s="1992"/>
      <c r="G66" s="1992"/>
      <c r="H66" s="1994"/>
      <c r="I66" s="134"/>
      <c r="J66" s="3195"/>
      <c r="K66" s="1499" t="s">
        <v>2073</v>
      </c>
      <c r="L66" s="1499">
        <f ca="1">M49*0.5%</f>
        <v>124.14</v>
      </c>
      <c r="M66" s="308">
        <f ca="1">IF(L66&gt;0.5,0.5,ROUND(L66,0))</f>
        <v>0.5</v>
      </c>
      <c r="N66" s="2768" t="s">
        <v>2074</v>
      </c>
      <c r="Z66" s="1936"/>
      <c r="AI66" s="1937"/>
    </row>
    <row r="67" spans="1:35" ht="14.25" customHeight="1">
      <c r="A67" s="178" t="s">
        <v>773</v>
      </c>
      <c r="B67" s="179" t="s">
        <v>2075</v>
      </c>
      <c r="C67" s="2792">
        <f ca="1">C63-C66</f>
        <v>23646</v>
      </c>
      <c r="D67" s="175" t="s">
        <v>32</v>
      </c>
      <c r="E67" s="177"/>
      <c r="F67" s="1992"/>
      <c r="G67" s="1992"/>
      <c r="H67" s="1994"/>
      <c r="I67" s="134"/>
      <c r="J67" s="3195"/>
      <c r="K67" s="1499" t="s">
        <v>2076</v>
      </c>
      <c r="L67" s="1499">
        <f ca="1">IF(M49&gt;=10000,(8.25+(M49-10000)*0.01%),IF(AND(M49&gt;=8000,M49&lt;10000),(7.85+(M49-8000)*0.02%),IF(AND(M49&gt;=5000,M49&lt;8000),(6.65+(M49-5000)*0.04%),IF(AND(M49&gt;=2000,M49&lt;5000),(4.25+(PM49-2000)*0.08%),IF(AND(M49&gt;=1000,M49&lt;2000),(2.75+(M49-1000)*0.15%),IF(AND(M49&gt;=100,M49&lt;1000),(0.5+(M49-100)*0.25%),IF(AND(M49&gt;0,M49&lt;100),M49*0.5%)))))))</f>
        <v>9.732800000000001</v>
      </c>
      <c r="M67" s="308">
        <f ca="1">ROUND(L67*0.9,1)</f>
        <v>8.8000000000000007</v>
      </c>
      <c r="N67" s="2767"/>
      <c r="Z67" s="1936"/>
      <c r="AI67" s="1937"/>
    </row>
    <row r="68" spans="1:35" ht="14.25" customHeight="1" thickBot="1">
      <c r="A68" s="181" t="s">
        <v>774</v>
      </c>
      <c r="B68" s="182" t="s">
        <v>2077</v>
      </c>
      <c r="C68" s="2793">
        <f ca="1">IF(C67&lt;=0,0,ROUND(C67*D68,0))</f>
        <v>1324</v>
      </c>
      <c r="D68" s="2794">
        <f>'数据-取费表'!B41</f>
        <v>5.6000000000000001E-2</v>
      </c>
      <c r="E68" s="184"/>
      <c r="F68" s="1992"/>
      <c r="G68" s="1992"/>
      <c r="H68" s="1994"/>
      <c r="I68" s="134"/>
      <c r="J68" s="3195"/>
      <c r="K68" s="1499" t="s">
        <v>2078</v>
      </c>
      <c r="L68" s="1499">
        <f ca="1">IF(M49&gt;10000,M49*0.5%,IF(AND(M49&gt;5000,M49&lt;=10000),M49*1%,IF(AND(M49&gt;1000,M49&lt;=5000),M49*2%,IF(AND(M49&gt;200,M49&lt;=1000),M49*3%,M49*5%))))</f>
        <v>124.14</v>
      </c>
      <c r="M68" s="308">
        <f ca="1">ROUND(L68,1)</f>
        <v>124.1</v>
      </c>
      <c r="N68" s="2767"/>
      <c r="Z68" s="1936"/>
      <c r="AI68" s="1937"/>
    </row>
    <row r="69" spans="1:35" s="1956" customFormat="1" ht="16.5" customHeight="1">
      <c r="A69" s="1995"/>
      <c r="B69" s="1996"/>
      <c r="C69" s="1997"/>
      <c r="D69" s="1998"/>
      <c r="E69" s="1999"/>
      <c r="F69" s="1761"/>
      <c r="G69" s="1761"/>
      <c r="H69" s="1760"/>
      <c r="I69" s="1931"/>
      <c r="J69" s="3195"/>
      <c r="K69" s="1499" t="s">
        <v>2079</v>
      </c>
      <c r="L69" s="1499"/>
      <c r="M69" s="308">
        <f ca="1">ROUND(SUM(M63:M68),0)</f>
        <v>406</v>
      </c>
      <c r="N69" s="2769">
        <f ca="1">M69/M49</f>
        <v>1.6352505236023843E-2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4.4" thickBot="1">
      <c r="A70" s="3239" t="s">
        <v>2080</v>
      </c>
      <c r="B70" s="3240"/>
      <c r="C70" s="3240"/>
      <c r="D70" s="3240"/>
      <c r="E70" s="3240"/>
      <c r="F70" s="3240"/>
      <c r="G70" s="3240"/>
      <c r="H70" s="324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31" t="s">
        <v>2061</v>
      </c>
      <c r="B71" s="3232"/>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8" t="s">
        <v>775</v>
      </c>
      <c r="B72" s="179" t="s">
        <v>2081</v>
      </c>
      <c r="C72" s="2792">
        <f ca="1">ROUND(D45/(1+'数据-取费表'!C42),0)</f>
        <v>23646</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8" t="s">
        <v>772</v>
      </c>
      <c r="B73" s="168" t="s">
        <v>2082</v>
      </c>
      <c r="C73" s="2792">
        <f ca="1">C74+C78</f>
        <v>142</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36" t="s">
        <v>2088</v>
      </c>
      <c r="F76" s="3235"/>
      <c r="G76" s="3235"/>
      <c r="H76" s="323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4.0500000000000001E-2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142</v>
      </c>
      <c r="D78" s="2801">
        <f>'数据-取费表'!B43</f>
        <v>6.000000000000001E-3</v>
      </c>
      <c r="E78" s="3228" t="s">
        <v>2092</v>
      </c>
      <c r="F78" s="3229"/>
      <c r="G78" s="3229"/>
      <c r="H78" s="3230"/>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8" t="s">
        <v>779</v>
      </c>
      <c r="B79" s="179" t="s">
        <v>2093</v>
      </c>
      <c r="C79" s="2792">
        <f ca="1">C72-C73</f>
        <v>23504</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165.52112676056339</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1" t="s">
        <v>781</v>
      </c>
      <c r="B81" s="182" t="s">
        <v>2095</v>
      </c>
      <c r="C81" s="2803">
        <f ca="1">ROUND(IF(C79&lt;=0,0,IF(C80&gt;=200%,C79*60%-C73*35%,IF(C80&gt;=100%,C79*50%-C73*15%,IF(C80&gt;=50%,C79*40%-C73*5%,IF(C80&lt;50%,C79*30%,0))))),0)</f>
        <v>14053</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39" t="s">
        <v>2096</v>
      </c>
      <c r="B83" s="3240"/>
      <c r="C83" s="3240"/>
      <c r="D83" s="3240"/>
      <c r="E83" s="3240"/>
      <c r="F83" s="3240"/>
      <c r="G83" s="3240"/>
      <c r="H83" s="324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231" t="s">
        <v>2061</v>
      </c>
      <c r="B84" s="3232"/>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8" t="s">
        <v>775</v>
      </c>
      <c r="B85" s="179" t="s">
        <v>2081</v>
      </c>
      <c r="C85" s="2792">
        <f ca="1">ROUND(D45/(1+'数据-取费表'!C42),0)</f>
        <v>23646</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8" t="s">
        <v>772</v>
      </c>
      <c r="B86" s="168" t="s">
        <v>2082</v>
      </c>
      <c r="C86" s="2792">
        <f ca="1">IF(H88="仅含出让金",C87+C90+C91+C92+C93+C94,C87+C91+C92+C93+C94)</f>
        <v>142</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4" t="s">
        <v>777</v>
      </c>
      <c r="B89" s="175" t="s">
        <v>2089</v>
      </c>
      <c r="C89" s="2800">
        <f>ROUND(C88*D89,0)</f>
        <v>0</v>
      </c>
      <c r="D89" s="2801">
        <f>'数据-取费表'!B48+'数据-取费表'!B49</f>
        <v>4.0500000000000001E-2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4" t="s">
        <v>771</v>
      </c>
      <c r="B90" s="175" t="s">
        <v>2102</v>
      </c>
      <c r="C90" s="2806"/>
      <c r="D90" s="2801"/>
      <c r="E90" s="199" t="str">
        <f>IF(H88="-","土地取得成本中已包含该笔费用"," ")</f>
        <v xml:space="preserve"> </v>
      </c>
      <c r="F90" s="2548"/>
      <c r="G90" s="3197" t="s">
        <v>2870</v>
      </c>
      <c r="H90" s="3198"/>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28" t="s">
        <v>2105</v>
      </c>
      <c r="F91" s="3229"/>
      <c r="G91" s="3229"/>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28" t="s">
        <v>2108</v>
      </c>
      <c r="F92" s="3229"/>
      <c r="G92" s="3229"/>
      <c r="H92" s="3230"/>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142</v>
      </c>
      <c r="D93" s="2801">
        <f>'数据-取费表'!B43</f>
        <v>6.000000000000001E-3</v>
      </c>
      <c r="E93" s="3228" t="s">
        <v>2092</v>
      </c>
      <c r="F93" s="3229"/>
      <c r="G93" s="3229"/>
      <c r="H93" s="323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76" t="s">
        <v>2112</v>
      </c>
      <c r="F94" s="3277"/>
      <c r="G94" s="3277"/>
      <c r="H94" s="327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8" t="s">
        <v>779</v>
      </c>
      <c r="B95" s="179" t="s">
        <v>2093</v>
      </c>
      <c r="C95" s="2792">
        <f ca="1">ROUND(C85-C86,0)</f>
        <v>23504</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165.52112676056339</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81" t="s">
        <v>781</v>
      </c>
      <c r="B97" s="182" t="s">
        <v>2095</v>
      </c>
      <c r="C97" s="2803">
        <f ca="1">ROUND(IF(C95&lt;=0,0,IF(C96&gt;=200%,C95*60%-C86*35%,IF(C96&gt;=100%,C95*50%-C86*15%,IF(C96&gt;=50%,C95*40%-C86*5%,IF(C96&lt;50%,C95*30%,0))))),0)</f>
        <v>14053</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78" t="s">
        <v>2114</v>
      </c>
      <c r="B100" s="3179"/>
      <c r="C100" s="3179"/>
      <c r="D100" s="3213"/>
      <c r="E100" s="3179" t="s">
        <v>2115</v>
      </c>
      <c r="F100" s="3179"/>
      <c r="G100" s="3179"/>
      <c r="H100" s="3213"/>
      <c r="I100" s="134"/>
    </row>
    <row r="101" spans="1:35" ht="18.75" customHeight="1">
      <c r="A101" s="3221" t="s">
        <v>2116</v>
      </c>
      <c r="B101" s="3222"/>
      <c r="C101" s="2809" t="str">
        <f>C4</f>
        <v>成本法</v>
      </c>
      <c r="D101" s="2810" t="str">
        <f>D4</f>
        <v>收益法</v>
      </c>
      <c r="E101" s="3191" t="s">
        <v>2117</v>
      </c>
      <c r="F101" s="3192"/>
      <c r="G101" s="2011" t="s">
        <v>2118</v>
      </c>
      <c r="H101" s="2819">
        <f ca="1">H118</f>
        <v>24828</v>
      </c>
      <c r="I101" s="134"/>
    </row>
    <row r="102" spans="1:35" ht="18.75" customHeight="1">
      <c r="A102" s="3223" t="s">
        <v>2119</v>
      </c>
      <c r="B102" s="2808" t="s">
        <v>2118</v>
      </c>
      <c r="C102" s="2809">
        <f ca="1">C19</f>
        <v>32641</v>
      </c>
      <c r="D102" s="2810">
        <f ca="1">D19</f>
        <v>13108</v>
      </c>
      <c r="E102" s="3191"/>
      <c r="F102" s="3192"/>
      <c r="G102" s="2011" t="s">
        <v>2120</v>
      </c>
      <c r="H102" s="2779">
        <f ca="1">I118</f>
        <v>5716</v>
      </c>
      <c r="I102" s="134"/>
    </row>
    <row r="103" spans="1:35" ht="42.75" customHeight="1">
      <c r="A103" s="3223"/>
      <c r="B103" s="2808" t="s">
        <v>2120</v>
      </c>
      <c r="C103" s="2811">
        <f ca="1">C20</f>
        <v>7515</v>
      </c>
      <c r="D103" s="2812">
        <f ca="1">D20</f>
        <v>3018</v>
      </c>
      <c r="E103" s="3184" t="s">
        <v>2121</v>
      </c>
      <c r="F103" s="3185"/>
      <c r="G103" s="2012" t="s">
        <v>2122</v>
      </c>
      <c r="H103" s="2819">
        <f>IF(D36="正常操作",H104+H105+H106,H105+H106)</f>
        <v>0</v>
      </c>
      <c r="I103" s="134"/>
    </row>
    <row r="104" spans="1:35" ht="18.75" customHeight="1">
      <c r="A104" s="3223" t="s">
        <v>2123</v>
      </c>
      <c r="B104" s="2813" t="s">
        <v>2118</v>
      </c>
      <c r="C104" s="2814">
        <f ca="1">H118</f>
        <v>24828</v>
      </c>
      <c r="D104" s="2815"/>
      <c r="E104" s="1858" t="s">
        <v>2124</v>
      </c>
      <c r="F104" s="1849"/>
      <c r="G104" s="2012" t="s">
        <v>2122</v>
      </c>
      <c r="H104" s="2820">
        <f>IF(D36="同一抵押权人同一抵押物续贷",C36&amp;"（续贷，未扣减，详见特别提示）",C36)</f>
        <v>0</v>
      </c>
      <c r="I104" s="134"/>
    </row>
    <row r="105" spans="1:35" ht="18.75" customHeight="1" thickBot="1">
      <c r="A105" s="3233"/>
      <c r="B105" s="2816" t="s">
        <v>2120</v>
      </c>
      <c r="C105" s="2817">
        <f ca="1">I118</f>
        <v>5716</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24" t="str">
        <f>IF(项目基本情况!E8="已注销","——","3.房地产抵押价值")</f>
        <v>3.房地产抵押价值</v>
      </c>
      <c r="F107" s="3192"/>
      <c r="G107" s="2011" t="s">
        <v>2118</v>
      </c>
      <c r="H107" s="2819">
        <f ca="1">IF(E107="——","——",H101-H103)</f>
        <v>24828</v>
      </c>
      <c r="I107" s="134"/>
    </row>
    <row r="108" spans="1:35" ht="18.75" customHeight="1">
      <c r="A108" s="134"/>
      <c r="B108" s="134"/>
      <c r="C108" s="134"/>
      <c r="D108" s="134"/>
      <c r="E108" s="3224"/>
      <c r="F108" s="3192"/>
      <c r="G108" s="2011" t="s">
        <v>2120</v>
      </c>
      <c r="H108" s="2779">
        <f ca="1">ROUND(H107*10000/'数据-汇总表'!E3,0)</f>
        <v>5716</v>
      </c>
      <c r="I108" s="134"/>
    </row>
    <row r="109" spans="1:35" ht="18.75" customHeight="1">
      <c r="A109" s="134"/>
      <c r="B109" s="134"/>
      <c r="C109" s="134"/>
      <c r="D109" s="134"/>
      <c r="E109" s="3224" t="str">
        <f>IF(项目基本情况!E8="已注销及未注销","4.抵押担保权已注销时的房地产抵押价值",IF(项目基本情况!E8="已注销","3.抵押担保权已注销时的房地产抵押价值","——"))</f>
        <v>——</v>
      </c>
      <c r="F109" s="3192"/>
      <c r="G109" s="2011" t="s">
        <v>2118</v>
      </c>
      <c r="H109" s="2822" t="str">
        <f>IF(E109="——","——",H101-H105-H106)</f>
        <v>——</v>
      </c>
      <c r="I109" s="134"/>
    </row>
    <row r="110" spans="1:35" ht="18.75" customHeight="1">
      <c r="A110" s="134"/>
      <c r="B110" s="134"/>
      <c r="C110" s="134"/>
      <c r="D110" s="134"/>
      <c r="E110" s="3224"/>
      <c r="F110" s="3192"/>
      <c r="G110" s="2011" t="s">
        <v>2120</v>
      </c>
      <c r="H110" s="2779" t="str">
        <f>IF(H109="——","——",ROUND(H109*10000/'数据-汇总表'!E3,0))</f>
        <v>——</v>
      </c>
      <c r="I110" s="134"/>
    </row>
    <row r="111" spans="1:35" ht="18.75" customHeight="1">
      <c r="A111" s="134"/>
      <c r="B111" s="134"/>
      <c r="C111" s="134"/>
      <c r="D111" s="134"/>
      <c r="E111" s="3225" t="str">
        <f>IF(项目基本情况!E9="抵押净值",IF(OR(项目基本情况!E8="已注销",项目基本情况!E8="房地产抵押价值"),"4.抵押净值","5.抵押净值"),"——")</f>
        <v>——</v>
      </c>
      <c r="F111" s="3211"/>
      <c r="G111" s="2011" t="s">
        <v>2118</v>
      </c>
      <c r="H111" s="2819" t="str">
        <f>IF(E111="——","——",N59)</f>
        <v>——</v>
      </c>
      <c r="I111" s="134"/>
    </row>
    <row r="112" spans="1:35" ht="18.75" customHeight="1" thickBot="1">
      <c r="A112" s="134"/>
      <c r="B112" s="134"/>
      <c r="C112" s="134"/>
      <c r="D112" s="134"/>
      <c r="E112" s="3226"/>
      <c r="F112" s="3227"/>
      <c r="G112" s="2014" t="s">
        <v>2120</v>
      </c>
      <c r="H112" s="2823" t="str">
        <f>IF(E111="——","——",N61)</f>
        <v>——</v>
      </c>
      <c r="I112" s="134"/>
    </row>
    <row r="113" spans="1:27" ht="18.75" customHeight="1">
      <c r="A113" s="134"/>
      <c r="B113" s="134"/>
      <c r="C113" s="134"/>
      <c r="D113" s="134"/>
      <c r="E113" s="3234" t="s">
        <v>2126</v>
      </c>
      <c r="F113" s="3234"/>
      <c r="G113" s="3234"/>
      <c r="H113" s="3234"/>
      <c r="I113" s="134"/>
    </row>
    <row r="114" spans="1:27" ht="3.75" customHeight="1">
      <c r="A114" s="1931"/>
      <c r="B114" s="1931"/>
      <c r="C114" s="1931"/>
      <c r="D114" s="1931"/>
      <c r="E114" s="1993"/>
      <c r="F114" s="1993"/>
      <c r="G114" s="1993"/>
      <c r="H114" s="1993"/>
      <c r="I114" s="1931"/>
    </row>
    <row r="115" spans="1:27" ht="18.75" customHeight="1">
      <c r="A115" s="3245" t="s">
        <v>2128</v>
      </c>
      <c r="B115" s="3246"/>
      <c r="C115" s="3246"/>
      <c r="D115" s="3246"/>
      <c r="E115" s="3246"/>
      <c r="F115" s="3246"/>
      <c r="G115" s="3246"/>
      <c r="H115" s="3246"/>
      <c r="I115" s="3247"/>
    </row>
    <row r="116" spans="1:27" ht="27" customHeight="1">
      <c r="A116" s="3199" t="s">
        <v>2129</v>
      </c>
      <c r="B116" s="3203" t="s">
        <v>2130</v>
      </c>
      <c r="C116" s="3203" t="s">
        <v>2131</v>
      </c>
      <c r="D116" s="3209" t="s">
        <v>2132</v>
      </c>
      <c r="E116" s="3210"/>
      <c r="F116" s="3241" t="s">
        <v>2133</v>
      </c>
      <c r="G116" s="3241"/>
      <c r="H116" s="3199" t="s">
        <v>2134</v>
      </c>
      <c r="I116" s="3199"/>
    </row>
    <row r="117" spans="1:27" ht="18.75" customHeight="1">
      <c r="A117" s="3199"/>
      <c r="B117" s="3204"/>
      <c r="C117" s="3204"/>
      <c r="D117" s="2550" t="s">
        <v>2135</v>
      </c>
      <c r="E117" s="2550" t="s">
        <v>2136</v>
      </c>
      <c r="F117" s="2550" t="s">
        <v>2135</v>
      </c>
      <c r="G117" s="2550" t="s">
        <v>2137</v>
      </c>
      <c r="H117" s="2550" t="s">
        <v>2135</v>
      </c>
      <c r="I117" s="2550" t="s">
        <v>2137</v>
      </c>
    </row>
    <row r="118" spans="1:27" ht="24.75" customHeight="1">
      <c r="A118" s="2824" t="str">
        <f>项目基本情况!S2</f>
        <v>房地产</v>
      </c>
      <c r="B118" s="2550">
        <f>M18</f>
        <v>43436.4</v>
      </c>
      <c r="C118" s="2550">
        <f>M19</f>
        <v>27014.799999999999</v>
      </c>
      <c r="D118" s="2550">
        <f ca="1">ROUND(IF(D32="总价",C34,E118*B118/10000),0)</f>
        <v>-51915</v>
      </c>
      <c r="E118" s="2550">
        <f ca="1">ROUND(IF(C33="自定义",IF(D32="楼面单价",C34,D118*10000/B118),I118-G118),0)</f>
        <v>-11952</v>
      </c>
      <c r="F118" s="2550">
        <f ca="1">ROUND(IF(D32="总价",C35,G118*B118/10000),0)</f>
        <v>76743</v>
      </c>
      <c r="G118" s="2550">
        <f ca="1">ROUND(IF(D32="楼面单价",C35,F118*10000/B118),0)</f>
        <v>17668</v>
      </c>
      <c r="H118" s="2550">
        <f ca="1">ROUND(IF(D32="总价",C32,I118*B118/10000),0)</f>
        <v>24828</v>
      </c>
      <c r="I118" s="2550">
        <f ca="1">ROUND(IF(D32="楼面单价",C32,H118*10000/B118),0)</f>
        <v>5716</v>
      </c>
    </row>
    <row r="119" spans="1:27" ht="18.75" customHeight="1">
      <c r="A119" s="3199" t="s">
        <v>2138</v>
      </c>
      <c r="B119" s="3199"/>
      <c r="C119" s="3199"/>
      <c r="D119" s="3205" t="e">
        <f ca="1">NUMBERSTRING(INT(D118*10000),2)&amp;"元整"</f>
        <v>#NUM!</v>
      </c>
      <c r="E119" s="3206"/>
      <c r="F119" s="3205" t="str">
        <f ca="1">NUMBERSTRING(INT(F118*10000),2)&amp;"元整"</f>
        <v>柒亿陆仟柒佰肆拾叁万元整</v>
      </c>
      <c r="G119" s="3206"/>
      <c r="H119" s="3205" t="str">
        <f ca="1">NUMBERSTRING(INT(H118*10000),2)&amp;"元整"</f>
        <v>贰亿肆仟捌佰贰拾捌万元整</v>
      </c>
      <c r="I119" s="3206"/>
    </row>
    <row r="120" spans="1:27" ht="18.75" customHeight="1">
      <c r="A120" s="3200" t="str">
        <f>IF(项目基本情况!B9="房地产市场价值","",MID(E103,3,LEN(E103)-2))</f>
        <v/>
      </c>
      <c r="B120" s="3201"/>
      <c r="C120" s="3202"/>
      <c r="D120" s="3200">
        <f>H103</f>
        <v>0</v>
      </c>
      <c r="E120" s="3201"/>
      <c r="F120" s="3201"/>
      <c r="G120" s="3201"/>
      <c r="H120" s="3201"/>
      <c r="I120" s="3202"/>
      <c r="J120" s="1936"/>
      <c r="K120" s="1936" t="str">
        <f>IF(D120=0,"故，本次评估不存在"&amp;A120,"故，本次评估"&amp;A120&amp;"为人民币"&amp;D120&amp;"万元整。")</f>
        <v>故，本次评估不存在</v>
      </c>
      <c r="L120" s="1936"/>
      <c r="M120" s="1936"/>
      <c r="N120" s="1936"/>
      <c r="O120" s="1936"/>
      <c r="P120" s="1936"/>
      <c r="Q120" s="1936"/>
      <c r="R120" s="1936"/>
      <c r="S120" s="1936"/>
    </row>
    <row r="121" spans="1:27" ht="18.75" customHeight="1">
      <c r="A121" s="3242" t="s">
        <v>2138</v>
      </c>
      <c r="B121" s="3243"/>
      <c r="C121" s="3244"/>
      <c r="D121" s="3205" t="str">
        <f>IF(D120=0,"零元整",NUMBERSTRING(INT(D120*10000),2)&amp;"元整")</f>
        <v>零元整</v>
      </c>
      <c r="E121" s="3207"/>
      <c r="F121" s="3207"/>
      <c r="G121" s="3207"/>
      <c r="H121" s="3207"/>
      <c r="I121" s="3206"/>
      <c r="AA121" s="733"/>
    </row>
    <row r="122" spans="1:27" ht="18.75" customHeight="1">
      <c r="A122" s="3211" t="str">
        <f>IF(项目基本情况!B9="房地产市场价值","",MID(E107,3,LEN(E107)-2))</f>
        <v/>
      </c>
      <c r="B122" s="3211"/>
      <c r="C122" s="3211"/>
      <c r="D122" s="3200">
        <f ca="1">H107</f>
        <v>24828</v>
      </c>
      <c r="E122" s="3201"/>
      <c r="F122" s="3201"/>
      <c r="G122" s="3201"/>
      <c r="H122" s="3201"/>
      <c r="I122" s="3202"/>
      <c r="AA122" s="733"/>
    </row>
    <row r="123" spans="1:27" ht="18.75" customHeight="1">
      <c r="A123" s="3199" t="s">
        <v>2138</v>
      </c>
      <c r="B123" s="3199"/>
      <c r="C123" s="3199"/>
      <c r="D123" s="3205" t="str">
        <f ca="1">NUMBERSTRING(INT(D122*10000),2)&amp;"元整"</f>
        <v>贰亿肆仟捌佰贰拾捌万元整</v>
      </c>
      <c r="E123" s="3207"/>
      <c r="F123" s="3207"/>
      <c r="G123" s="3207"/>
      <c r="H123" s="3207"/>
      <c r="I123" s="3206"/>
      <c r="AA123" s="733"/>
    </row>
    <row r="124" spans="1:27" ht="18.75" customHeight="1">
      <c r="A124" s="3211" t="str">
        <f>IF(项目基本情况!B9="房地产市场价值","",MID(E109,3,LEN(E109)-2))</f>
        <v/>
      </c>
      <c r="B124" s="3211"/>
      <c r="C124" s="3211"/>
      <c r="D124" s="3200" t="str">
        <f>H109</f>
        <v>——</v>
      </c>
      <c r="E124" s="3201"/>
      <c r="F124" s="3201"/>
      <c r="G124" s="3201"/>
      <c r="H124" s="3201"/>
      <c r="I124" s="3202"/>
      <c r="AA124" s="733"/>
    </row>
    <row r="125" spans="1:27" ht="18.75" customHeight="1">
      <c r="A125" s="3199" t="s">
        <v>2138</v>
      </c>
      <c r="B125" s="3199"/>
      <c r="C125" s="3199"/>
      <c r="D125" s="3205" t="e">
        <f>NUMBERSTRING(INT(D124*10000),2)&amp;"元整"</f>
        <v>#VALUE!</v>
      </c>
      <c r="E125" s="3207"/>
      <c r="F125" s="3207"/>
      <c r="G125" s="3207"/>
      <c r="H125" s="3207"/>
      <c r="I125" s="3206"/>
      <c r="AA125" s="733"/>
    </row>
    <row r="126" spans="1:27" ht="18.75" customHeight="1">
      <c r="A126" s="3211" t="str">
        <f>IF(项目基本情况!B9="房地产市场价值","",MID(E111,3,LEN(E111)-2))</f>
        <v/>
      </c>
      <c r="B126" s="3211"/>
      <c r="C126" s="3211"/>
      <c r="D126" s="3200" t="str">
        <f>H111</f>
        <v>——</v>
      </c>
      <c r="E126" s="3201"/>
      <c r="F126" s="3201"/>
      <c r="G126" s="3201"/>
      <c r="H126" s="3201"/>
      <c r="I126" s="3202"/>
      <c r="AA126" s="733"/>
    </row>
    <row r="127" spans="1:27" ht="18.75" customHeight="1">
      <c r="A127" s="3199" t="s">
        <v>2138</v>
      </c>
      <c r="B127" s="3199"/>
      <c r="C127" s="3199"/>
      <c r="D127" s="3205" t="e">
        <f>NUMBERSTRING(INT(D126*10000),2)&amp;"元整"</f>
        <v>#VALUE!</v>
      </c>
      <c r="E127" s="3207"/>
      <c r="F127" s="3207"/>
      <c r="G127" s="3207"/>
      <c r="H127" s="3207"/>
      <c r="I127" s="3206"/>
      <c r="AA127" s="733"/>
    </row>
    <row r="128" spans="1:27" ht="21.75" customHeight="1">
      <c r="A128" s="3208" t="s">
        <v>2139</v>
      </c>
      <c r="B128" s="3208"/>
      <c r="C128" s="3208"/>
      <c r="D128" s="3208"/>
      <c r="E128" s="3208"/>
      <c r="F128" s="3208"/>
      <c r="G128" s="3208"/>
      <c r="H128" s="3208"/>
      <c r="I128" s="3208"/>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1" customWidth="1"/>
    <col min="2" max="9" width="10" style="951" customWidth="1"/>
    <col min="10" max="16384" width="9" style="951"/>
  </cols>
  <sheetData>
    <row r="36" spans="1:9">
      <c r="A36" s="950" t="s">
        <v>818</v>
      </c>
      <c r="B36" s="950" t="s">
        <v>819</v>
      </c>
    </row>
    <row r="37" spans="1:9" ht="27.75" customHeight="1">
      <c r="A37" s="950"/>
      <c r="B37" s="3092" t="str">
        <f>项目基本情况!B1</f>
        <v>房地产市场价值预评估</v>
      </c>
      <c r="C37" s="3092"/>
      <c r="D37" s="3092"/>
      <c r="E37" s="3092"/>
      <c r="F37" s="3092"/>
      <c r="G37" s="3092"/>
      <c r="H37" s="3092"/>
      <c r="I37" s="3092"/>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L40" sqref="L40"/>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6.441406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9" customFormat="1" ht="28.5" customHeight="1" thickBot="1">
      <c r="A1" s="1388" t="s">
        <v>2349</v>
      </c>
      <c r="B1" s="2141" t="s">
        <v>2507</v>
      </c>
      <c r="C1" s="1390" t="s">
        <v>2351</v>
      </c>
      <c r="D1" s="1391" t="s">
        <v>27</v>
      </c>
      <c r="E1" s="1400"/>
      <c r="F1" s="2063" t="s">
        <v>3080</v>
      </c>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IF(C2="——",ROUND(C50*D3/10000,0),ROUND(C50*D3/10000,0)-D2)</f>
        <v>#REF!</v>
      </c>
      <c r="C2" s="2065" t="s">
        <v>70</v>
      </c>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IF(C2="——",C50,ROUND(B2*10000/D3,0))</f>
        <v>#REF!</v>
      </c>
      <c r="C3" s="360" t="s">
        <v>2465</v>
      </c>
      <c r="D3" s="359">
        <f>IF(D1="",'数据-汇总表'!E3,SUMIF('数据-汇总表'!$C19:$C33,D1,'数据-汇总表'!$E19:$E33))</f>
        <v>0</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4.4">
      <c r="A4" s="361" t="s">
        <v>2466</v>
      </c>
      <c r="B4" s="362"/>
      <c r="C4" s="3303" t="s">
        <v>2467</v>
      </c>
      <c r="D4" s="3304"/>
      <c r="E4" s="3305" t="s">
        <v>2468</v>
      </c>
      <c r="F4" s="3306"/>
      <c r="G4" s="3303" t="s">
        <v>2469</v>
      </c>
      <c r="H4" s="3304"/>
      <c r="I4" s="3303" t="s">
        <v>2470</v>
      </c>
      <c r="J4" s="3304"/>
      <c r="K4" s="567" t="s">
        <v>2471</v>
      </c>
      <c r="L4" s="2942"/>
      <c r="M4" s="2943"/>
      <c r="N4" s="2943"/>
      <c r="O4" s="2943"/>
      <c r="P4" s="3307" t="s">
        <v>2472</v>
      </c>
      <c r="Q4" s="3308"/>
      <c r="R4" s="3286" t="s">
        <v>2468</v>
      </c>
      <c r="S4" s="3287"/>
      <c r="T4" s="3286" t="s">
        <v>2469</v>
      </c>
      <c r="U4" s="3287"/>
      <c r="V4" s="3315" t="s">
        <v>2470</v>
      </c>
      <c r="W4" s="3315"/>
      <c r="X4" s="2142"/>
      <c r="Y4" s="3286" t="s">
        <v>2472</v>
      </c>
      <c r="Z4" s="3287"/>
      <c r="AA4" s="3281" t="s">
        <v>2468</v>
      </c>
      <c r="AB4" s="3281" t="s">
        <v>2469</v>
      </c>
      <c r="AC4" s="3300" t="s">
        <v>2470</v>
      </c>
    </row>
    <row r="5" spans="1:29">
      <c r="A5" s="364"/>
      <c r="B5" s="365"/>
      <c r="C5" s="3292" t="s">
        <v>2363</v>
      </c>
      <c r="D5" s="3293"/>
      <c r="E5" s="3290" t="s">
        <v>3104</v>
      </c>
      <c r="F5" s="3291"/>
      <c r="G5" s="3296" t="s">
        <v>3118</v>
      </c>
      <c r="H5" s="3293"/>
      <c r="I5" s="3296" t="s">
        <v>3115</v>
      </c>
      <c r="J5" s="3293"/>
      <c r="K5" s="567"/>
      <c r="L5" s="2942"/>
      <c r="M5" s="2943"/>
      <c r="N5" s="2943"/>
      <c r="O5" s="2943"/>
      <c r="P5" s="3309"/>
      <c r="Q5" s="3310"/>
      <c r="R5" s="3288"/>
      <c r="S5" s="3289"/>
      <c r="T5" s="3288"/>
      <c r="U5" s="3289"/>
      <c r="V5" s="3316"/>
      <c r="W5" s="3316"/>
      <c r="X5" s="1537"/>
      <c r="Y5" s="3288"/>
      <c r="Z5" s="3289"/>
      <c r="AA5" s="3282"/>
      <c r="AB5" s="3282"/>
      <c r="AC5" s="3301"/>
    </row>
    <row r="6" spans="1:29" ht="15" thickBot="1">
      <c r="A6" s="366"/>
      <c r="B6" s="367"/>
      <c r="C6" s="3294" t="s">
        <v>2367</v>
      </c>
      <c r="D6" s="3295"/>
      <c r="E6" s="3297" t="s">
        <v>2367</v>
      </c>
      <c r="F6" s="3298"/>
      <c r="G6" s="3294" t="s">
        <v>2367</v>
      </c>
      <c r="H6" s="3295"/>
      <c r="I6" s="3294" t="s">
        <v>2367</v>
      </c>
      <c r="J6" s="3295"/>
      <c r="K6" s="567" t="s">
        <v>2368</v>
      </c>
      <c r="L6" s="2942"/>
      <c r="M6" s="2943"/>
      <c r="N6" s="2943"/>
      <c r="O6" s="2943"/>
      <c r="P6" s="3311"/>
      <c r="Q6" s="3312"/>
      <c r="R6" s="3288"/>
      <c r="S6" s="3289"/>
      <c r="T6" s="3313"/>
      <c r="U6" s="3314"/>
      <c r="V6" s="3316"/>
      <c r="W6" s="3316"/>
      <c r="X6" s="1537"/>
      <c r="Y6" s="3313"/>
      <c r="Z6" s="3314"/>
      <c r="AA6" s="3283"/>
      <c r="AB6" s="3283"/>
      <c r="AC6" s="3302"/>
    </row>
    <row r="7" spans="1:29" s="113" customFormat="1" ht="15" thickBot="1">
      <c r="A7" s="368" t="s">
        <v>2369</v>
      </c>
      <c r="B7" s="369"/>
      <c r="C7" s="370">
        <f>'数据-取费表'!B2</f>
        <v>44561</v>
      </c>
      <c r="D7" s="371">
        <v>100</v>
      </c>
      <c r="E7" s="372">
        <v>44538</v>
      </c>
      <c r="F7" s="373">
        <f>SUMIF(59:59,YEAR(E7)&amp;"-"&amp;MONTH(E7),60:60)</f>
        <v>100</v>
      </c>
      <c r="G7" s="372">
        <v>44535</v>
      </c>
      <c r="H7" s="371">
        <f>SUMIF(59:59,YEAR(G7)&amp;"-"&amp;MONTH(G7),60:60)</f>
        <v>100</v>
      </c>
      <c r="I7" s="372">
        <v>44540</v>
      </c>
      <c r="J7" s="371">
        <f>SUMIF(59:59,YEAR(I7)&amp;"-"&amp;MONTH(I7),60:60)</f>
        <v>100</v>
      </c>
      <c r="K7" s="568"/>
      <c r="L7" s="2944"/>
      <c r="M7" s="2945"/>
      <c r="N7" s="2945"/>
      <c r="O7" s="2945"/>
      <c r="P7" s="3317" t="s">
        <v>2370</v>
      </c>
      <c r="Q7" s="3318"/>
      <c r="R7" s="709" t="s">
        <v>17</v>
      </c>
      <c r="S7" s="710">
        <f t="shared" ref="S7:S15" si="0">F7</f>
        <v>100</v>
      </c>
      <c r="T7" s="709" t="s">
        <v>17</v>
      </c>
      <c r="U7" s="710">
        <f t="shared" ref="U7:U15" si="1">H7</f>
        <v>100</v>
      </c>
      <c r="V7" s="709" t="s">
        <v>17</v>
      </c>
      <c r="W7" s="710">
        <f t="shared" ref="W7:W15" si="2">J7</f>
        <v>100</v>
      </c>
      <c r="X7" s="711"/>
      <c r="Y7" s="3284" t="s">
        <v>2370</v>
      </c>
      <c r="Z7" s="3285"/>
      <c r="AA7" s="712">
        <f>D7/F7</f>
        <v>1</v>
      </c>
      <c r="AB7" s="712">
        <f>D7/H7</f>
        <v>1</v>
      </c>
      <c r="AC7" s="2143">
        <f>D7/J7</f>
        <v>1</v>
      </c>
    </row>
    <row r="8" spans="1:29" s="113" customFormat="1" ht="15" thickBot="1">
      <c r="A8" s="368" t="s">
        <v>2371</v>
      </c>
      <c r="B8" s="369"/>
      <c r="C8" s="374" t="s">
        <v>2473</v>
      </c>
      <c r="D8" s="371">
        <v>100</v>
      </c>
      <c r="E8" s="374" t="s">
        <v>3081</v>
      </c>
      <c r="F8" s="373">
        <f>SUMIF(62:62,E8,63:63)-SUMIF(62:62,C8,63:63)+100</f>
        <v>100</v>
      </c>
      <c r="G8" s="374" t="s">
        <v>3081</v>
      </c>
      <c r="H8" s="371">
        <f>SUMIF(62:62,G8,63:63)-SUMIF(62:62,C8,63:63)+100</f>
        <v>100</v>
      </c>
      <c r="I8" s="374" t="s">
        <v>3081</v>
      </c>
      <c r="J8" s="371">
        <f>SUMIF(62:62,I8,63:63)-SUMIF(62:62,C8,63:63)+100</f>
        <v>100</v>
      </c>
      <c r="K8" s="568"/>
      <c r="L8" s="2944"/>
      <c r="M8" s="2945"/>
      <c r="N8" s="2945"/>
      <c r="O8" s="2945"/>
      <c r="P8" s="3317" t="s">
        <v>2373</v>
      </c>
      <c r="Q8" s="3285"/>
      <c r="R8" s="709" t="s">
        <v>17</v>
      </c>
      <c r="S8" s="710">
        <f t="shared" si="0"/>
        <v>100</v>
      </c>
      <c r="T8" s="709" t="s">
        <v>17</v>
      </c>
      <c r="U8" s="710">
        <f t="shared" si="1"/>
        <v>100</v>
      </c>
      <c r="V8" s="709" t="s">
        <v>17</v>
      </c>
      <c r="W8" s="710">
        <f t="shared" si="2"/>
        <v>100</v>
      </c>
      <c r="X8" s="711"/>
      <c r="Y8" s="3284" t="s">
        <v>2373</v>
      </c>
      <c r="Z8" s="3285"/>
      <c r="AA8" s="712">
        <f t="shared" ref="AA8:AA47" si="3">D8/F8</f>
        <v>1</v>
      </c>
      <c r="AB8" s="712">
        <f t="shared" ref="AB8:AB47" si="4">D8/H8</f>
        <v>1</v>
      </c>
      <c r="AC8" s="2143">
        <f t="shared" ref="AC8:AC47" si="5">D8/J8</f>
        <v>1</v>
      </c>
    </row>
    <row r="9" spans="1:29" s="113" customFormat="1" ht="14.4">
      <c r="A9" s="375" t="s">
        <v>2374</v>
      </c>
      <c r="B9" s="67" t="s">
        <v>2375</v>
      </c>
      <c r="C9" s="3061" t="s">
        <v>3082</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299"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2143">
        <f t="shared" si="5"/>
        <v>1</v>
      </c>
    </row>
    <row r="10" spans="1:29" s="386" customFormat="1" ht="28.8">
      <c r="A10" s="380"/>
      <c r="B10" s="381" t="s">
        <v>2378</v>
      </c>
      <c r="C10" s="382" t="s">
        <v>3109</v>
      </c>
      <c r="D10" s="132">
        <v>100</v>
      </c>
      <c r="E10" s="382" t="s">
        <v>3109</v>
      </c>
      <c r="F10" s="132">
        <f>SUMIF(66:66,E10,67:67)-SUMIF(66:66,C10,67:67)+100</f>
        <v>100</v>
      </c>
      <c r="G10" s="383" t="s">
        <v>3116</v>
      </c>
      <c r="H10" s="132">
        <f>SUMIF(66:66,G10,67:67)-SUMIF(66:66,C10,67:67)+100</f>
        <v>98</v>
      </c>
      <c r="I10" s="382" t="s">
        <v>3109</v>
      </c>
      <c r="J10" s="132">
        <f>SUMIF(66:66,I10,67:67)-SUMIF(66:66,C10,67:67)+100</f>
        <v>100</v>
      </c>
      <c r="K10" s="569">
        <v>2</v>
      </c>
      <c r="L10" s="2946"/>
      <c r="M10" s="2947"/>
      <c r="N10" s="2947"/>
      <c r="O10" s="2947"/>
      <c r="P10" s="3299"/>
      <c r="Q10" s="1525" t="str">
        <f t="shared" si="6"/>
        <v>土地使用年限（年）</v>
      </c>
      <c r="R10" s="709" t="s">
        <v>17</v>
      </c>
      <c r="S10" s="710">
        <f t="shared" si="0"/>
        <v>100</v>
      </c>
      <c r="T10" s="709" t="s">
        <v>17</v>
      </c>
      <c r="U10" s="710">
        <f t="shared" si="1"/>
        <v>98</v>
      </c>
      <c r="V10" s="709" t="s">
        <v>17</v>
      </c>
      <c r="W10" s="710">
        <f t="shared" si="2"/>
        <v>100</v>
      </c>
      <c r="X10" s="711"/>
      <c r="Y10" s="3257"/>
      <c r="Z10" s="55" t="str">
        <f t="shared" si="7"/>
        <v>土地使用年限（年）</v>
      </c>
      <c r="AA10" s="712">
        <f t="shared" si="3"/>
        <v>1</v>
      </c>
      <c r="AB10" s="712">
        <f t="shared" si="4"/>
        <v>1.0204081632653061</v>
      </c>
      <c r="AC10" s="2143">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299"/>
      <c r="Q11" s="1525" t="str">
        <f t="shared" si="6"/>
        <v>容积率</v>
      </c>
      <c r="R11" s="709" t="s">
        <v>17</v>
      </c>
      <c r="S11" s="710">
        <f t="shared" si="0"/>
        <v>100</v>
      </c>
      <c r="T11" s="709" t="s">
        <v>17</v>
      </c>
      <c r="U11" s="710">
        <f t="shared" si="1"/>
        <v>100</v>
      </c>
      <c r="V11" s="709" t="s">
        <v>17</v>
      </c>
      <c r="W11" s="710">
        <f t="shared" si="2"/>
        <v>100</v>
      </c>
      <c r="X11" s="711"/>
      <c r="Y11" s="3257"/>
      <c r="Z11" s="55" t="str">
        <f t="shared" si="7"/>
        <v>容积率</v>
      </c>
      <c r="AA11" s="712">
        <f t="shared" si="3"/>
        <v>1</v>
      </c>
      <c r="AB11" s="712">
        <f t="shared" si="4"/>
        <v>1</v>
      </c>
      <c r="AC11" s="2143">
        <f t="shared" si="5"/>
        <v>1</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99"/>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99"/>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2143">
        <f t="shared" si="5"/>
        <v>1</v>
      </c>
    </row>
    <row r="14" spans="1:29" ht="15.6"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99"/>
      <c r="Q14" s="1525">
        <f t="shared" si="6"/>
        <v>111</v>
      </c>
      <c r="R14" s="709" t="s">
        <v>17</v>
      </c>
      <c r="S14" s="710">
        <f t="shared" si="0"/>
        <v>100</v>
      </c>
      <c r="T14" s="709" t="s">
        <v>17</v>
      </c>
      <c r="U14" s="710">
        <f t="shared" si="1"/>
        <v>100</v>
      </c>
      <c r="V14" s="709" t="s">
        <v>17</v>
      </c>
      <c r="W14" s="710">
        <f t="shared" si="2"/>
        <v>100</v>
      </c>
      <c r="X14" s="711"/>
      <c r="Y14" s="3257"/>
      <c r="Z14" s="55">
        <f t="shared" si="7"/>
        <v>111</v>
      </c>
      <c r="AA14" s="712">
        <f t="shared" si="3"/>
        <v>1</v>
      </c>
      <c r="AB14" s="712">
        <f t="shared" si="4"/>
        <v>1</v>
      </c>
      <c r="AC14" s="2143">
        <f t="shared" si="5"/>
        <v>1</v>
      </c>
    </row>
    <row r="15" spans="1:29" ht="69">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319" t="s">
        <v>2381</v>
      </c>
      <c r="Q15" s="1534" t="str">
        <f t="shared" si="6"/>
        <v>办公集聚程度</v>
      </c>
      <c r="R15" s="713" t="s">
        <v>17</v>
      </c>
      <c r="S15" s="714">
        <f t="shared" si="0"/>
        <v>100</v>
      </c>
      <c r="T15" s="713" t="s">
        <v>17</v>
      </c>
      <c r="U15" s="714">
        <f t="shared" si="1"/>
        <v>100</v>
      </c>
      <c r="V15" s="713" t="s">
        <v>17</v>
      </c>
      <c r="W15" s="714">
        <f t="shared" si="2"/>
        <v>100</v>
      </c>
      <c r="X15" s="1537"/>
      <c r="Y15" s="3321" t="s">
        <v>2381</v>
      </c>
      <c r="Z15" s="1538" t="str">
        <f t="shared" si="7"/>
        <v>办公集聚程度</v>
      </c>
      <c r="AA15" s="1535">
        <f t="shared" si="3"/>
        <v>1</v>
      </c>
      <c r="AB15" s="1535">
        <f t="shared" si="4"/>
        <v>1</v>
      </c>
      <c r="AC15" s="2146">
        <f t="shared" si="5"/>
        <v>1</v>
      </c>
    </row>
    <row r="16" spans="1:29" ht="15">
      <c r="A16" s="387"/>
      <c r="B16" s="586"/>
      <c r="C16" s="2088" t="s">
        <v>3083</v>
      </c>
      <c r="D16" s="407"/>
      <c r="E16" s="406" t="s">
        <v>3083</v>
      </c>
      <c r="F16" s="407"/>
      <c r="G16" s="2088" t="s">
        <v>3083</v>
      </c>
      <c r="H16" s="409"/>
      <c r="I16" s="406" t="s">
        <v>3083</v>
      </c>
      <c r="J16" s="407"/>
      <c r="K16" s="572"/>
      <c r="L16" s="2949"/>
      <c r="M16" s="2943"/>
      <c r="N16" s="2943"/>
      <c r="O16" s="2943"/>
      <c r="P16" s="3320"/>
      <c r="Q16" s="1534"/>
      <c r="R16" s="713"/>
      <c r="S16" s="714"/>
      <c r="T16" s="713"/>
      <c r="U16" s="714"/>
      <c r="V16" s="713"/>
      <c r="W16" s="714"/>
      <c r="X16" s="1537"/>
      <c r="Y16" s="3322"/>
      <c r="Z16" s="1538"/>
      <c r="AA16" s="1535">
        <v>1</v>
      </c>
      <c r="AB16" s="1535">
        <v>1</v>
      </c>
      <c r="AC16" s="2146">
        <v>1</v>
      </c>
    </row>
    <row r="17" spans="1:29" ht="82.8">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320"/>
      <c r="Q17" s="1534" t="str">
        <f>B17</f>
        <v>交通便捷度</v>
      </c>
      <c r="R17" s="713" t="s">
        <v>17</v>
      </c>
      <c r="S17" s="714">
        <f>F17</f>
        <v>100</v>
      </c>
      <c r="T17" s="713" t="s">
        <v>17</v>
      </c>
      <c r="U17" s="714">
        <f>H17</f>
        <v>100</v>
      </c>
      <c r="V17" s="713" t="s">
        <v>17</v>
      </c>
      <c r="W17" s="714">
        <f>J17</f>
        <v>100</v>
      </c>
      <c r="X17" s="1537"/>
      <c r="Y17" s="3322"/>
      <c r="Z17" s="1538" t="str">
        <f>Q17</f>
        <v>交通便捷度</v>
      </c>
      <c r="AA17" s="1535">
        <f t="shared" si="3"/>
        <v>1</v>
      </c>
      <c r="AB17" s="1535">
        <f t="shared" si="4"/>
        <v>1</v>
      </c>
      <c r="AC17" s="2146">
        <f t="shared" si="5"/>
        <v>1</v>
      </c>
    </row>
    <row r="18" spans="1:29" ht="15">
      <c r="A18" s="387"/>
      <c r="B18" s="588"/>
      <c r="C18" s="2148" t="s">
        <v>3083</v>
      </c>
      <c r="D18" s="409"/>
      <c r="E18" s="2086" t="s">
        <v>3083</v>
      </c>
      <c r="F18" s="409"/>
      <c r="G18" s="2087" t="s">
        <v>3083</v>
      </c>
      <c r="H18" s="407"/>
      <c r="I18" s="2087" t="s">
        <v>3083</v>
      </c>
      <c r="J18" s="407"/>
      <c r="K18" s="572"/>
      <c r="L18" s="2949"/>
      <c r="M18" s="2943"/>
      <c r="N18" s="2943"/>
      <c r="O18" s="2943"/>
      <c r="P18" s="3320"/>
      <c r="Q18" s="1534"/>
      <c r="R18" s="713"/>
      <c r="S18" s="714"/>
      <c r="T18" s="713"/>
      <c r="U18" s="714"/>
      <c r="V18" s="713"/>
      <c r="W18" s="714"/>
      <c r="X18" s="1537"/>
      <c r="Y18" s="3322"/>
      <c r="Z18" s="1538"/>
      <c r="AA18" s="1535">
        <v>1</v>
      </c>
      <c r="AB18" s="1535">
        <v>1</v>
      </c>
      <c r="AC18" s="2146">
        <v>1</v>
      </c>
    </row>
    <row r="19" spans="1:29" ht="41.4">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98</v>
      </c>
      <c r="K19" s="571">
        <v>2</v>
      </c>
      <c r="L19" s="2949"/>
      <c r="M19" s="2943"/>
      <c r="N19" s="2943"/>
      <c r="O19" s="2943"/>
      <c r="P19" s="3320"/>
      <c r="Q19" s="1534" t="str">
        <f>B19</f>
        <v>公共配套设施</v>
      </c>
      <c r="R19" s="713" t="s">
        <v>17</v>
      </c>
      <c r="S19" s="714">
        <f>F19</f>
        <v>100</v>
      </c>
      <c r="T19" s="713" t="s">
        <v>17</v>
      </c>
      <c r="U19" s="714">
        <f>H19</f>
        <v>100</v>
      </c>
      <c r="V19" s="713" t="s">
        <v>17</v>
      </c>
      <c r="W19" s="714">
        <f>J19</f>
        <v>98</v>
      </c>
      <c r="X19" s="1537"/>
      <c r="Y19" s="3322"/>
      <c r="Z19" s="1538" t="str">
        <f>Q19</f>
        <v>公共配套设施</v>
      </c>
      <c r="AA19" s="1535">
        <f t="shared" si="3"/>
        <v>1</v>
      </c>
      <c r="AB19" s="1535">
        <f t="shared" si="4"/>
        <v>1</v>
      </c>
      <c r="AC19" s="2146">
        <f t="shared" si="5"/>
        <v>1.0204081632653061</v>
      </c>
    </row>
    <row r="20" spans="1:29" ht="15">
      <c r="A20" s="387"/>
      <c r="B20" s="588"/>
      <c r="C20" s="2088" t="s">
        <v>3083</v>
      </c>
      <c r="D20" s="407"/>
      <c r="E20" s="2081" t="s">
        <v>3083</v>
      </c>
      <c r="F20" s="407"/>
      <c r="G20" s="2082" t="s">
        <v>3083</v>
      </c>
      <c r="H20" s="407"/>
      <c r="I20" s="2082" t="s">
        <v>3085</v>
      </c>
      <c r="J20" s="407"/>
      <c r="K20" s="572"/>
      <c r="L20" s="2949"/>
      <c r="M20" s="2943"/>
      <c r="N20" s="2943"/>
      <c r="O20" s="2943"/>
      <c r="P20" s="3320"/>
      <c r="Q20" s="1534"/>
      <c r="R20" s="713"/>
      <c r="S20" s="714"/>
      <c r="T20" s="713"/>
      <c r="U20" s="714"/>
      <c r="V20" s="713"/>
      <c r="W20" s="714"/>
      <c r="X20" s="1537"/>
      <c r="Y20" s="3322"/>
      <c r="Z20" s="1538"/>
      <c r="AA20" s="1535">
        <v>1</v>
      </c>
      <c r="AB20" s="1535">
        <v>1</v>
      </c>
      <c r="AC20" s="2146">
        <v>1</v>
      </c>
    </row>
    <row r="21" spans="1:29" ht="27.6">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9"/>
      <c r="M21" s="2943"/>
      <c r="N21" s="2943"/>
      <c r="O21" s="2943"/>
      <c r="P21" s="3320"/>
      <c r="Q21" s="1534" t="str">
        <f>B21</f>
        <v>基础设施水平</v>
      </c>
      <c r="R21" s="713" t="s">
        <v>17</v>
      </c>
      <c r="S21" s="714">
        <f>F21</f>
        <v>100</v>
      </c>
      <c r="T21" s="713" t="s">
        <v>17</v>
      </c>
      <c r="U21" s="714">
        <f>H21</f>
        <v>100</v>
      </c>
      <c r="V21" s="713" t="s">
        <v>17</v>
      </c>
      <c r="W21" s="714">
        <f>J21</f>
        <v>100</v>
      </c>
      <c r="X21" s="1537"/>
      <c r="Y21" s="3322"/>
      <c r="Z21" s="1538" t="str">
        <f>Q21</f>
        <v>基础设施水平</v>
      </c>
      <c r="AA21" s="1535">
        <f t="shared" ref="AA21" si="8">D21/F21</f>
        <v>1</v>
      </c>
      <c r="AB21" s="1535">
        <f t="shared" ref="AB21" si="9">D21/H21</f>
        <v>1</v>
      </c>
      <c r="AC21" s="2146">
        <f t="shared" ref="AC21" si="10">D21/J21</f>
        <v>1</v>
      </c>
    </row>
    <row r="22" spans="1:29" ht="15">
      <c r="A22" s="387"/>
      <c r="B22" s="589"/>
      <c r="C22" s="2148" t="s">
        <v>3084</v>
      </c>
      <c r="D22" s="407"/>
      <c r="E22" s="406" t="s">
        <v>3084</v>
      </c>
      <c r="F22" s="407"/>
      <c r="G22" s="2088" t="s">
        <v>3084</v>
      </c>
      <c r="H22" s="407"/>
      <c r="I22" s="2088" t="s">
        <v>3084</v>
      </c>
      <c r="J22" s="407"/>
      <c r="K22" s="1291"/>
      <c r="L22" s="2949"/>
      <c r="M22" s="2943"/>
      <c r="N22" s="2943"/>
      <c r="O22" s="2943"/>
      <c r="P22" s="3320"/>
      <c r="Q22" s="1534"/>
      <c r="R22" s="713"/>
      <c r="S22" s="714"/>
      <c r="T22" s="713"/>
      <c r="U22" s="714"/>
      <c r="V22" s="713"/>
      <c r="W22" s="714"/>
      <c r="X22" s="1537"/>
      <c r="Y22" s="3322"/>
      <c r="Z22" s="1538"/>
      <c r="AA22" s="1535">
        <v>1</v>
      </c>
      <c r="AB22" s="1535">
        <v>1</v>
      </c>
      <c r="AC22" s="2146">
        <v>1</v>
      </c>
    </row>
    <row r="23" spans="1:29" ht="55.2">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102</v>
      </c>
      <c r="K23" s="571">
        <v>2</v>
      </c>
      <c r="L23" s="2949"/>
      <c r="M23" s="2943"/>
      <c r="N23" s="2943"/>
      <c r="O23" s="2943"/>
      <c r="P23" s="3320"/>
      <c r="Q23" s="1534" t="str">
        <f>B23</f>
        <v>环境质量</v>
      </c>
      <c r="R23" s="713" t="s">
        <v>17</v>
      </c>
      <c r="S23" s="714">
        <f>F23</f>
        <v>100</v>
      </c>
      <c r="T23" s="713" t="s">
        <v>17</v>
      </c>
      <c r="U23" s="714">
        <f>H23</f>
        <v>100</v>
      </c>
      <c r="V23" s="713" t="s">
        <v>17</v>
      </c>
      <c r="W23" s="714">
        <f>J23</f>
        <v>102</v>
      </c>
      <c r="X23" s="1537"/>
      <c r="Y23" s="3322"/>
      <c r="Z23" s="1538" t="str">
        <f>Q23</f>
        <v>环境质量</v>
      </c>
      <c r="AA23" s="1535">
        <f t="shared" si="3"/>
        <v>1</v>
      </c>
      <c r="AB23" s="1535">
        <f t="shared" si="4"/>
        <v>1</v>
      </c>
      <c r="AC23" s="2146">
        <f t="shared" si="5"/>
        <v>0.98039215686274506</v>
      </c>
    </row>
    <row r="24" spans="1:29" ht="15">
      <c r="A24" s="387"/>
      <c r="B24" s="589"/>
      <c r="C24" s="2088" t="s">
        <v>3085</v>
      </c>
      <c r="D24" s="407"/>
      <c r="E24" s="2081" t="s">
        <v>3085</v>
      </c>
      <c r="F24" s="407"/>
      <c r="G24" s="2082" t="s">
        <v>3085</v>
      </c>
      <c r="H24" s="407"/>
      <c r="I24" s="2082" t="s">
        <v>3083</v>
      </c>
      <c r="J24" s="407"/>
      <c r="K24" s="572"/>
      <c r="L24" s="2949"/>
      <c r="M24" s="2943"/>
      <c r="N24" s="2943"/>
      <c r="O24" s="2943"/>
      <c r="P24" s="3320"/>
      <c r="Q24" s="1534"/>
      <c r="R24" s="713"/>
      <c r="S24" s="714"/>
      <c r="T24" s="713"/>
      <c r="U24" s="714"/>
      <c r="V24" s="713"/>
      <c r="W24" s="714"/>
      <c r="X24" s="1537"/>
      <c r="Y24" s="3322"/>
      <c r="Z24" s="1538"/>
      <c r="AA24" s="1535">
        <v>1</v>
      </c>
      <c r="AB24" s="1535">
        <v>1</v>
      </c>
      <c r="AC24" s="2146">
        <v>1</v>
      </c>
    </row>
    <row r="25" spans="1:29" ht="28.8">
      <c r="A25" s="364"/>
      <c r="B25" s="587" t="s">
        <v>2512</v>
      </c>
      <c r="C25" s="2092"/>
      <c r="D25" s="394">
        <v>100</v>
      </c>
      <c r="E25" s="393"/>
      <c r="F25" s="394">
        <f>SUMIF(87:87,E26,88:88)-SUMIF(87:87,C26,88:88)+100</f>
        <v>100</v>
      </c>
      <c r="G25" s="2092"/>
      <c r="H25" s="394">
        <f>SUMIF(87:87,G26,88:88)-SUMIF(87:87,C26,88:88)+100</f>
        <v>100</v>
      </c>
      <c r="I25" s="393"/>
      <c r="J25" s="394">
        <f>SUMIF(87:87,I26,88:88)-SUMIF(87:87,C26,88:88)+100</f>
        <v>100</v>
      </c>
      <c r="K25" s="571">
        <v>2</v>
      </c>
      <c r="L25" s="2949"/>
      <c r="M25" s="2943"/>
      <c r="N25" s="2943"/>
      <c r="O25" s="2943"/>
      <c r="P25" s="3320"/>
      <c r="Q25" s="1534" t="str">
        <f>B25</f>
        <v>毗邻道路的类型与等级</v>
      </c>
      <c r="R25" s="713" t="s">
        <v>17</v>
      </c>
      <c r="S25" s="714">
        <f>F25</f>
        <v>100</v>
      </c>
      <c r="T25" s="713" t="s">
        <v>17</v>
      </c>
      <c r="U25" s="714">
        <f>H25</f>
        <v>100</v>
      </c>
      <c r="V25" s="713" t="s">
        <v>17</v>
      </c>
      <c r="W25" s="714">
        <f>J25</f>
        <v>100</v>
      </c>
      <c r="X25" s="1537"/>
      <c r="Y25" s="3322"/>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320"/>
      <c r="Q26" s="1534"/>
      <c r="R26" s="713"/>
      <c r="S26" s="714"/>
      <c r="T26" s="713"/>
      <c r="U26" s="714"/>
      <c r="V26" s="713"/>
      <c r="W26" s="714"/>
      <c r="X26" s="1537"/>
      <c r="Y26" s="3322"/>
      <c r="Z26" s="1538"/>
      <c r="AA26" s="1535">
        <v>1</v>
      </c>
      <c r="AB26" s="1535">
        <v>1</v>
      </c>
      <c r="AC26" s="2146">
        <v>1</v>
      </c>
    </row>
    <row r="27" spans="1:29" ht="15">
      <c r="A27" s="387"/>
      <c r="B27" s="588" t="s">
        <v>2480</v>
      </c>
      <c r="C27" s="590" t="s">
        <v>3110</v>
      </c>
      <c r="D27" s="394">
        <v>100</v>
      </c>
      <c r="E27" s="573" t="s">
        <v>3112</v>
      </c>
      <c r="F27" s="394">
        <f>SUMIF(89:89,E27,90:90)-SUMIF(89:89,C27,90:90)+100</f>
        <v>97</v>
      </c>
      <c r="G27" s="590" t="s">
        <v>3112</v>
      </c>
      <c r="H27" s="394">
        <f>SUMIF(89:89,G27,90:90)-SUMIF(89:89,C27,90:90)+100</f>
        <v>97</v>
      </c>
      <c r="I27" s="573" t="s">
        <v>3112</v>
      </c>
      <c r="J27" s="394">
        <f>SUMIF(89:89,I27,90:90)-SUMIF(89:89,C27,90:90)+100</f>
        <v>97</v>
      </c>
      <c r="K27" s="569">
        <v>3</v>
      </c>
      <c r="L27" s="2949"/>
      <c r="M27" s="2943"/>
      <c r="N27" s="2943"/>
      <c r="O27" s="2943"/>
      <c r="P27" s="3320"/>
      <c r="Q27" s="1534" t="str">
        <f t="shared" ref="Q27:Q47" si="11">B27</f>
        <v>楼层</v>
      </c>
      <c r="R27" s="713" t="s">
        <v>17</v>
      </c>
      <c r="S27" s="714">
        <f>F27</f>
        <v>97</v>
      </c>
      <c r="T27" s="713" t="s">
        <v>17</v>
      </c>
      <c r="U27" s="714">
        <f>H27</f>
        <v>97</v>
      </c>
      <c r="V27" s="713" t="s">
        <v>17</v>
      </c>
      <c r="W27" s="714">
        <f>J27</f>
        <v>97</v>
      </c>
      <c r="X27" s="1537"/>
      <c r="Y27" s="3322"/>
      <c r="Z27" s="1538" t="str">
        <f>Q27</f>
        <v>楼层</v>
      </c>
      <c r="AA27" s="1535">
        <f t="shared" si="3"/>
        <v>1.0309278350515463</v>
      </c>
      <c r="AB27" s="1535">
        <f t="shared" si="4"/>
        <v>1.0309278350515463</v>
      </c>
      <c r="AC27" s="2146">
        <f t="shared" si="5"/>
        <v>1.0309278350515463</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20"/>
      <c r="Q28" s="1525" t="str">
        <f t="shared" si="11"/>
        <v>朝向</v>
      </c>
      <c r="R28" s="709" t="s">
        <v>17</v>
      </c>
      <c r="S28" s="710">
        <f>F28</f>
        <v>100</v>
      </c>
      <c r="T28" s="709" t="s">
        <v>17</v>
      </c>
      <c r="U28" s="710">
        <f>H28</f>
        <v>100</v>
      </c>
      <c r="V28" s="709" t="s">
        <v>17</v>
      </c>
      <c r="W28" s="710">
        <f>J28</f>
        <v>100</v>
      </c>
      <c r="X28" s="711"/>
      <c r="Y28" s="3322"/>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20"/>
      <c r="Q29" s="1534">
        <f t="shared" si="11"/>
        <v>111</v>
      </c>
      <c r="R29" s="713" t="s">
        <v>17</v>
      </c>
      <c r="S29" s="714">
        <f t="shared" ref="S29:S47" si="12">F29</f>
        <v>100</v>
      </c>
      <c r="T29" s="713" t="s">
        <v>17</v>
      </c>
      <c r="U29" s="714">
        <f t="shared" ref="U29:U47" si="13">H29</f>
        <v>100</v>
      </c>
      <c r="V29" s="713" t="s">
        <v>17</v>
      </c>
      <c r="W29" s="714">
        <f t="shared" ref="W29:W47" si="14">J29</f>
        <v>100</v>
      </c>
      <c r="X29" s="1537"/>
      <c r="Y29" s="3322"/>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20"/>
      <c r="Q30" s="1534">
        <f t="shared" si="11"/>
        <v>111</v>
      </c>
      <c r="R30" s="713" t="s">
        <v>17</v>
      </c>
      <c r="S30" s="714">
        <f t="shared" si="12"/>
        <v>100</v>
      </c>
      <c r="T30" s="713" t="s">
        <v>17</v>
      </c>
      <c r="U30" s="714">
        <f t="shared" si="13"/>
        <v>100</v>
      </c>
      <c r="V30" s="713" t="s">
        <v>17</v>
      </c>
      <c r="W30" s="714">
        <f t="shared" si="14"/>
        <v>100</v>
      </c>
      <c r="X30" s="1537"/>
      <c r="Y30" s="3322"/>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20"/>
      <c r="Q31" s="1534">
        <f t="shared" si="11"/>
        <v>111</v>
      </c>
      <c r="R31" s="713" t="s">
        <v>17</v>
      </c>
      <c r="S31" s="714">
        <f t="shared" si="12"/>
        <v>100</v>
      </c>
      <c r="T31" s="713" t="s">
        <v>17</v>
      </c>
      <c r="U31" s="714">
        <f t="shared" si="13"/>
        <v>100</v>
      </c>
      <c r="V31" s="713" t="s">
        <v>17</v>
      </c>
      <c r="W31" s="714">
        <f t="shared" si="14"/>
        <v>100</v>
      </c>
      <c r="X31" s="1537"/>
      <c r="Y31" s="3322"/>
      <c r="Z31" s="1538">
        <f t="shared" si="15"/>
        <v>111</v>
      </c>
      <c r="AA31" s="1535">
        <f t="shared" si="3"/>
        <v>1</v>
      </c>
      <c r="AB31" s="1535">
        <f t="shared" si="4"/>
        <v>1</v>
      </c>
      <c r="AC31" s="2146">
        <f t="shared" si="5"/>
        <v>1</v>
      </c>
    </row>
    <row r="32" spans="1:29" ht="15.6"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20"/>
      <c r="Q32" s="1534">
        <f t="shared" si="11"/>
        <v>111</v>
      </c>
      <c r="R32" s="713" t="s">
        <v>17</v>
      </c>
      <c r="S32" s="714">
        <f t="shared" si="12"/>
        <v>100</v>
      </c>
      <c r="T32" s="713" t="s">
        <v>17</v>
      </c>
      <c r="U32" s="714">
        <f t="shared" si="13"/>
        <v>100</v>
      </c>
      <c r="V32" s="713" t="s">
        <v>17</v>
      </c>
      <c r="W32" s="714">
        <f t="shared" si="14"/>
        <v>100</v>
      </c>
      <c r="X32" s="1537"/>
      <c r="Y32" s="3322"/>
      <c r="Z32" s="1538">
        <f t="shared" si="15"/>
        <v>111</v>
      </c>
      <c r="AA32" s="1535">
        <f t="shared" si="3"/>
        <v>1</v>
      </c>
      <c r="AB32" s="1535">
        <f t="shared" si="4"/>
        <v>1</v>
      </c>
      <c r="AC32" s="2146">
        <f t="shared" si="5"/>
        <v>1</v>
      </c>
    </row>
    <row r="33" spans="1:29" ht="15">
      <c r="A33" s="399" t="s">
        <v>2384</v>
      </c>
      <c r="B33" s="67" t="s">
        <v>2514</v>
      </c>
      <c r="C33" s="2151" t="s">
        <v>3086</v>
      </c>
      <c r="D33" s="426">
        <v>100</v>
      </c>
      <c r="E33" s="2151" t="s">
        <v>3086</v>
      </c>
      <c r="F33" s="420">
        <f>SUMIF(101:101,E33,102:102)-SUMIF(101:101,C33,102:102)+100</f>
        <v>100</v>
      </c>
      <c r="G33" s="2151" t="s">
        <v>3086</v>
      </c>
      <c r="H33" s="394">
        <f>SUMIF(101:101,G33,102:102)-SUMIF(101:101,C33,102:102)+100</f>
        <v>100</v>
      </c>
      <c r="I33" s="2151" t="s">
        <v>3086</v>
      </c>
      <c r="J33" s="426">
        <f>SUMIF(101:101,I33,102:102)-SUMIF(101:101,C33,102:102)+100</f>
        <v>100</v>
      </c>
      <c r="K33" s="569">
        <v>2</v>
      </c>
      <c r="L33" s="2949"/>
      <c r="M33" s="2943"/>
      <c r="N33" s="2943"/>
      <c r="O33" s="2943"/>
      <c r="P33" s="3323" t="s">
        <v>2386</v>
      </c>
      <c r="Q33" s="1534" t="str">
        <f t="shared" si="11"/>
        <v>建筑类型</v>
      </c>
      <c r="R33" s="713" t="s">
        <v>17</v>
      </c>
      <c r="S33" s="714">
        <f t="shared" si="12"/>
        <v>100</v>
      </c>
      <c r="T33" s="713" t="s">
        <v>17</v>
      </c>
      <c r="U33" s="714">
        <f t="shared" si="13"/>
        <v>100</v>
      </c>
      <c r="V33" s="713" t="s">
        <v>17</v>
      </c>
      <c r="W33" s="714">
        <f t="shared" si="14"/>
        <v>100</v>
      </c>
      <c r="X33" s="1537"/>
      <c r="Y33" s="3326" t="s">
        <v>2386</v>
      </c>
      <c r="Z33" s="1538" t="str">
        <f t="shared" si="15"/>
        <v>建筑类型</v>
      </c>
      <c r="AA33" s="1535">
        <f t="shared" si="3"/>
        <v>1</v>
      </c>
      <c r="AB33" s="1535">
        <f t="shared" si="4"/>
        <v>1</v>
      </c>
      <c r="AC33" s="2146">
        <f t="shared" si="5"/>
        <v>1</v>
      </c>
    </row>
    <row r="34" spans="1:29" s="430" customFormat="1" ht="15">
      <c r="A34" s="427"/>
      <c r="B34" s="381" t="s">
        <v>2387</v>
      </c>
      <c r="C34" s="428" t="e">
        <f>#REF!</f>
        <v>#REF!</v>
      </c>
      <c r="D34" s="132">
        <v>100</v>
      </c>
      <c r="E34" s="389">
        <v>100</v>
      </c>
      <c r="F34" s="384" t="e">
        <f>LOOKUP(E34,104:104,105:105)-LOOKUP(C34,104:104,105:105)+100</f>
        <v>#REF!</v>
      </c>
      <c r="G34" s="388">
        <v>75</v>
      </c>
      <c r="H34" s="132" t="e">
        <f>LOOKUP(G34,104:104,105:105)-LOOKUP(C34,104:104,105:105)+100</f>
        <v>#REF!</v>
      </c>
      <c r="I34" s="388">
        <v>1400</v>
      </c>
      <c r="J34" s="132" t="e">
        <f>LOOKUP(I34,104:104,105:105)-LOOKUP(C34,104:104,105:105)+100</f>
        <v>#REF!</v>
      </c>
      <c r="K34" s="570"/>
      <c r="L34" s="2948"/>
      <c r="M34" s="2950"/>
      <c r="N34" s="2950"/>
      <c r="O34" s="2950"/>
      <c r="P34" s="3324"/>
      <c r="Q34" s="715" t="str">
        <f t="shared" si="11"/>
        <v>项目建筑规模</v>
      </c>
      <c r="R34" s="716" t="s">
        <v>17</v>
      </c>
      <c r="S34" s="717" t="e">
        <f t="shared" si="12"/>
        <v>#REF!</v>
      </c>
      <c r="T34" s="716" t="s">
        <v>17</v>
      </c>
      <c r="U34" s="717" t="e">
        <f t="shared" si="13"/>
        <v>#REF!</v>
      </c>
      <c r="V34" s="716" t="s">
        <v>17</v>
      </c>
      <c r="W34" s="717" t="e">
        <f t="shared" si="14"/>
        <v>#REF!</v>
      </c>
      <c r="X34" s="718"/>
      <c r="Y34" s="3326"/>
      <c r="Z34" s="719" t="str">
        <f t="shared" si="15"/>
        <v>项目建筑规模</v>
      </c>
      <c r="AA34" s="1535" t="e">
        <f t="shared" si="3"/>
        <v>#REF!</v>
      </c>
      <c r="AB34" s="1535" t="e">
        <f t="shared" si="4"/>
        <v>#REF!</v>
      </c>
      <c r="AC34" s="2146" t="e">
        <f t="shared" si="5"/>
        <v>#REF!</v>
      </c>
    </row>
    <row r="35" spans="1:29" ht="15">
      <c r="A35" s="431"/>
      <c r="B35" s="381" t="s">
        <v>2388</v>
      </c>
      <c r="C35" s="419" t="s">
        <v>3076</v>
      </c>
      <c r="D35" s="394">
        <v>100</v>
      </c>
      <c r="E35" s="419" t="s">
        <v>3076</v>
      </c>
      <c r="F35" s="420">
        <f>SUMIF(106:106,E35,107:107)-SUMIF(106:106,C35,107:107)+100</f>
        <v>100</v>
      </c>
      <c r="G35" s="419" t="s">
        <v>3076</v>
      </c>
      <c r="H35" s="394">
        <f>SUMIF(106:106,G35,107:107)-SUMIF(106:106,C35,107:107)+100</f>
        <v>100</v>
      </c>
      <c r="I35" s="419" t="s">
        <v>3076</v>
      </c>
      <c r="J35" s="394">
        <f>SUMIF(106:106,I35,107:107)-SUMIF(106:106,C35,107:107)+100</f>
        <v>100</v>
      </c>
      <c r="K35" s="569">
        <v>2</v>
      </c>
      <c r="L35" s="2949"/>
      <c r="M35" s="2943"/>
      <c r="N35" s="2943"/>
      <c r="O35" s="2943"/>
      <c r="P35" s="3324"/>
      <c r="Q35" s="1534" t="str">
        <f t="shared" si="11"/>
        <v>建筑结构</v>
      </c>
      <c r="R35" s="713" t="s">
        <v>17</v>
      </c>
      <c r="S35" s="714">
        <f t="shared" si="12"/>
        <v>100</v>
      </c>
      <c r="T35" s="713" t="s">
        <v>17</v>
      </c>
      <c r="U35" s="714">
        <f t="shared" si="13"/>
        <v>100</v>
      </c>
      <c r="V35" s="713" t="s">
        <v>17</v>
      </c>
      <c r="W35" s="714">
        <f t="shared" si="14"/>
        <v>100</v>
      </c>
      <c r="X35" s="1537"/>
      <c r="Y35" s="3326"/>
      <c r="Z35" s="1538" t="str">
        <f t="shared" si="15"/>
        <v>建筑结构</v>
      </c>
      <c r="AA35" s="1535">
        <f t="shared" si="3"/>
        <v>1</v>
      </c>
      <c r="AB35" s="1535">
        <f t="shared" si="4"/>
        <v>1</v>
      </c>
      <c r="AC35" s="2146">
        <f t="shared" si="5"/>
        <v>1</v>
      </c>
    </row>
    <row r="36" spans="1:29" ht="15">
      <c r="A36" s="431"/>
      <c r="B36" s="381" t="s">
        <v>2482</v>
      </c>
      <c r="C36" s="419" t="s">
        <v>3089</v>
      </c>
      <c r="D36" s="394">
        <v>100</v>
      </c>
      <c r="E36" s="419" t="s">
        <v>3089</v>
      </c>
      <c r="F36" s="420">
        <f>SUMIF(108:108,E36,109:109)-SUMIF(108:108,C36,109:109)+100</f>
        <v>100</v>
      </c>
      <c r="G36" s="419" t="s">
        <v>3089</v>
      </c>
      <c r="H36" s="394">
        <f>SUMIF(108:108,G36,109:109)-SUMIF(108:108,C36,109:109)+100</f>
        <v>100</v>
      </c>
      <c r="I36" s="419" t="s">
        <v>3089</v>
      </c>
      <c r="J36" s="394">
        <f>SUMIF(108:108,I36,109:109)-SUMIF(108:108,C36,109:109)+100</f>
        <v>100</v>
      </c>
      <c r="K36" s="569">
        <v>2</v>
      </c>
      <c r="L36" s="2949"/>
      <c r="M36" s="2943"/>
      <c r="N36" s="2943"/>
      <c r="O36" s="2943"/>
      <c r="P36" s="3324"/>
      <c r="Q36" s="1534" t="str">
        <f t="shared" si="11"/>
        <v>公共部分装修</v>
      </c>
      <c r="R36" s="713" t="s">
        <v>17</v>
      </c>
      <c r="S36" s="714">
        <f t="shared" si="12"/>
        <v>100</v>
      </c>
      <c r="T36" s="713" t="s">
        <v>17</v>
      </c>
      <c r="U36" s="714">
        <f t="shared" si="13"/>
        <v>100</v>
      </c>
      <c r="V36" s="713" t="s">
        <v>17</v>
      </c>
      <c r="W36" s="714">
        <f t="shared" si="14"/>
        <v>100</v>
      </c>
      <c r="X36" s="1537"/>
      <c r="Y36" s="3326"/>
      <c r="Z36" s="1538" t="str">
        <f t="shared" si="15"/>
        <v>公共部分装修</v>
      </c>
      <c r="AA36" s="1535">
        <f t="shared" si="3"/>
        <v>1</v>
      </c>
      <c r="AB36" s="1535">
        <f t="shared" si="4"/>
        <v>1</v>
      </c>
      <c r="AC36" s="2146">
        <f t="shared" si="5"/>
        <v>1</v>
      </c>
    </row>
    <row r="37" spans="1:29" ht="15">
      <c r="A37" s="431"/>
      <c r="B37" s="381" t="s">
        <v>2483</v>
      </c>
      <c r="C37" s="433">
        <f>'数据-取费表'!N6</f>
        <v>0.81</v>
      </c>
      <c r="D37" s="394">
        <v>100</v>
      </c>
      <c r="E37" s="433">
        <v>0.85</v>
      </c>
      <c r="F37" s="420">
        <f>LOOKUP(E37,111:111,112:112)-LOOKUP(C37,111:111,112:112)+100</f>
        <v>100</v>
      </c>
      <c r="G37" s="433">
        <f>1-(2021-G51)/60</f>
        <v>0.85</v>
      </c>
      <c r="H37" s="420">
        <f>LOOKUP(G37,111:111,112:112)-LOOKUP(C37,111:111,112:112)+100</f>
        <v>100</v>
      </c>
      <c r="I37" s="433">
        <f>1-(2021-I51)/60</f>
        <v>0.93333333333333335</v>
      </c>
      <c r="J37" s="394">
        <f>LOOKUP(I37,111:111,112:112)-LOOKUP(C37,111:111,112:112)+100</f>
        <v>102</v>
      </c>
      <c r="K37" s="569">
        <v>2</v>
      </c>
      <c r="L37" s="2949"/>
      <c r="M37" s="2943"/>
      <c r="N37" s="2943"/>
      <c r="O37" s="2943"/>
      <c r="P37" s="3324"/>
      <c r="Q37" s="1534" t="str">
        <f t="shared" si="11"/>
        <v>成新度</v>
      </c>
      <c r="R37" s="713" t="s">
        <v>17</v>
      </c>
      <c r="S37" s="714">
        <f t="shared" si="12"/>
        <v>100</v>
      </c>
      <c r="T37" s="713" t="s">
        <v>17</v>
      </c>
      <c r="U37" s="714">
        <f t="shared" si="13"/>
        <v>100</v>
      </c>
      <c r="V37" s="713" t="s">
        <v>17</v>
      </c>
      <c r="W37" s="714">
        <f t="shared" si="14"/>
        <v>102</v>
      </c>
      <c r="X37" s="1537"/>
      <c r="Y37" s="3326"/>
      <c r="Z37" s="1538" t="str">
        <f t="shared" si="15"/>
        <v>成新度</v>
      </c>
      <c r="AA37" s="1535">
        <f t="shared" si="3"/>
        <v>1</v>
      </c>
      <c r="AB37" s="1535">
        <f t="shared" si="4"/>
        <v>1</v>
      </c>
      <c r="AC37" s="2146">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4"/>
      <c r="M38" s="2945"/>
      <c r="N38" s="2945"/>
      <c r="O38" s="2945"/>
      <c r="P38" s="3324"/>
      <c r="Q38" s="1525" t="str">
        <f t="shared" si="11"/>
        <v>写字楼等级</v>
      </c>
      <c r="R38" s="709" t="s">
        <v>17</v>
      </c>
      <c r="S38" s="710">
        <f t="shared" si="12"/>
        <v>100</v>
      </c>
      <c r="T38" s="709" t="s">
        <v>17</v>
      </c>
      <c r="U38" s="710">
        <f t="shared" si="13"/>
        <v>100</v>
      </c>
      <c r="V38" s="709" t="s">
        <v>17</v>
      </c>
      <c r="W38" s="710">
        <f t="shared" si="14"/>
        <v>100</v>
      </c>
      <c r="X38" s="711"/>
      <c r="Y38" s="3326"/>
      <c r="Z38" s="55" t="str">
        <f t="shared" si="15"/>
        <v>写字楼等级</v>
      </c>
      <c r="AA38" s="712">
        <f t="shared" si="3"/>
        <v>1</v>
      </c>
      <c r="AB38" s="712">
        <f t="shared" si="4"/>
        <v>1</v>
      </c>
      <c r="AC38" s="2143">
        <f t="shared" si="5"/>
        <v>1</v>
      </c>
    </row>
    <row r="39" spans="1:29" ht="15">
      <c r="A39" s="431"/>
      <c r="B39" s="381" t="s">
        <v>2516</v>
      </c>
      <c r="C39" s="419" t="s">
        <v>3092</v>
      </c>
      <c r="D39" s="394">
        <v>100</v>
      </c>
      <c r="E39" s="419" t="s">
        <v>3092</v>
      </c>
      <c r="F39" s="420">
        <f>SUMIF(115:115,E39,116:116)-SUMIF(115:115,C39,116:116)+100</f>
        <v>100</v>
      </c>
      <c r="G39" s="419" t="s">
        <v>3092</v>
      </c>
      <c r="H39" s="394">
        <f>SUMIF(115:115,G39,116:116)-SUMIF(115:115,C39,116:116)+100</f>
        <v>100</v>
      </c>
      <c r="I39" s="419" t="s">
        <v>3092</v>
      </c>
      <c r="J39" s="394">
        <f>SUMIF(115:115,I39,116:116)-SUMIF(115:115,C39,116:116)+100</f>
        <v>100</v>
      </c>
      <c r="K39" s="569">
        <v>2</v>
      </c>
      <c r="L39" s="2949"/>
      <c r="M39" s="2943"/>
      <c r="N39" s="2943"/>
      <c r="O39" s="2943"/>
      <c r="P39" s="3324" t="s">
        <v>2386</v>
      </c>
      <c r="Q39" s="1534" t="str">
        <f t="shared" si="11"/>
        <v>物业管理</v>
      </c>
      <c r="R39" s="713" t="s">
        <v>17</v>
      </c>
      <c r="S39" s="714">
        <f t="shared" si="12"/>
        <v>100</v>
      </c>
      <c r="T39" s="713" t="s">
        <v>17</v>
      </c>
      <c r="U39" s="714">
        <f t="shared" si="13"/>
        <v>100</v>
      </c>
      <c r="V39" s="713" t="s">
        <v>17</v>
      </c>
      <c r="W39" s="714">
        <f t="shared" si="14"/>
        <v>100</v>
      </c>
      <c r="X39" s="1537"/>
      <c r="Y39" s="3326" t="s">
        <v>2386</v>
      </c>
      <c r="Z39" s="1538" t="str">
        <f t="shared" si="15"/>
        <v>物业管理</v>
      </c>
      <c r="AA39" s="1535">
        <f t="shared" si="3"/>
        <v>1</v>
      </c>
      <c r="AB39" s="1535">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1</v>
      </c>
      <c r="L40" s="2949"/>
      <c r="M40" s="2943"/>
      <c r="N40" s="2943"/>
      <c r="O40" s="2943"/>
      <c r="P40" s="3324"/>
      <c r="Q40" s="1534" t="str">
        <f t="shared" si="11"/>
        <v>市政基础设施</v>
      </c>
      <c r="R40" s="713" t="s">
        <v>17</v>
      </c>
      <c r="S40" s="714">
        <f t="shared" si="12"/>
        <v>100</v>
      </c>
      <c r="T40" s="713" t="s">
        <v>17</v>
      </c>
      <c r="U40" s="714">
        <f t="shared" si="13"/>
        <v>100</v>
      </c>
      <c r="V40" s="713" t="s">
        <v>17</v>
      </c>
      <c r="W40" s="714">
        <f t="shared" si="14"/>
        <v>100</v>
      </c>
      <c r="X40" s="1537"/>
      <c r="Y40" s="3326"/>
      <c r="Z40" s="1538" t="str">
        <f t="shared" si="15"/>
        <v>市政基础设施</v>
      </c>
      <c r="AA40" s="1535">
        <f t="shared" si="3"/>
        <v>1</v>
      </c>
      <c r="AB40" s="1535">
        <f t="shared" si="4"/>
        <v>1</v>
      </c>
      <c r="AC40" s="2146">
        <f t="shared" si="5"/>
        <v>1</v>
      </c>
    </row>
    <row r="41" spans="1:29" ht="15">
      <c r="A41" s="431"/>
      <c r="B41" s="381" t="s">
        <v>2486</v>
      </c>
      <c r="C41" s="573" t="s">
        <v>3098</v>
      </c>
      <c r="D41" s="394">
        <v>100</v>
      </c>
      <c r="E41" s="573" t="s">
        <v>3098</v>
      </c>
      <c r="F41" s="420">
        <f>SUMIF(119:119,E41,120:120)-SUMIF(119:119,C41,120:120)+100</f>
        <v>100</v>
      </c>
      <c r="G41" s="573" t="s">
        <v>3098</v>
      </c>
      <c r="H41" s="394">
        <f>SUMIF(119:119,G41,120:120)-SUMIF(119:119,C41,120:120)+100</f>
        <v>100</v>
      </c>
      <c r="I41" s="573" t="s">
        <v>3098</v>
      </c>
      <c r="J41" s="394">
        <f>SUMIF(119:119,I41,120:120)-SUMIF(119:119,C41,120:120)+100</f>
        <v>100</v>
      </c>
      <c r="K41" s="569">
        <v>5</v>
      </c>
      <c r="L41" s="2949"/>
      <c r="M41" s="2943"/>
      <c r="N41" s="2943"/>
      <c r="O41" s="2943"/>
      <c r="P41" s="3324"/>
      <c r="Q41" s="1534" t="str">
        <f t="shared" si="11"/>
        <v>层高</v>
      </c>
      <c r="R41" s="713" t="s">
        <v>17</v>
      </c>
      <c r="S41" s="714">
        <f t="shared" si="12"/>
        <v>100</v>
      </c>
      <c r="T41" s="713" t="s">
        <v>17</v>
      </c>
      <c r="U41" s="714">
        <f t="shared" si="13"/>
        <v>100</v>
      </c>
      <c r="V41" s="713" t="s">
        <v>17</v>
      </c>
      <c r="W41" s="714">
        <f t="shared" si="14"/>
        <v>100</v>
      </c>
      <c r="X41" s="1537"/>
      <c r="Y41" s="3326"/>
      <c r="Z41" s="1538" t="str">
        <f t="shared" si="15"/>
        <v>层高</v>
      </c>
      <c r="AA41" s="1535">
        <f t="shared" si="3"/>
        <v>1</v>
      </c>
      <c r="AB41" s="1535">
        <f t="shared" si="4"/>
        <v>1</v>
      </c>
      <c r="AC41" s="2146">
        <f t="shared" si="5"/>
        <v>1</v>
      </c>
    </row>
    <row r="42" spans="1:29" s="430" customFormat="1" ht="15">
      <c r="A42" s="427"/>
      <c r="B42" s="1536"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24"/>
      <c r="Q42" s="715" t="str">
        <f t="shared" si="11"/>
        <v>单套建筑面积</v>
      </c>
      <c r="R42" s="716" t="s">
        <v>17</v>
      </c>
      <c r="S42" s="717">
        <f t="shared" si="12"/>
        <v>100</v>
      </c>
      <c r="T42" s="716" t="s">
        <v>17</v>
      </c>
      <c r="U42" s="717">
        <f t="shared" si="13"/>
        <v>100</v>
      </c>
      <c r="V42" s="716" t="s">
        <v>17</v>
      </c>
      <c r="W42" s="717">
        <f t="shared" si="14"/>
        <v>100</v>
      </c>
      <c r="X42" s="718"/>
      <c r="Y42" s="3326"/>
      <c r="Z42" s="719" t="str">
        <f t="shared" si="15"/>
        <v>单套建筑面积</v>
      </c>
      <c r="AA42" s="1535">
        <f t="shared" si="3"/>
        <v>1</v>
      </c>
      <c r="AB42" s="1535">
        <f t="shared" si="4"/>
        <v>1</v>
      </c>
      <c r="AC42" s="2146">
        <f t="shared" si="5"/>
        <v>1</v>
      </c>
    </row>
    <row r="43" spans="1:29" ht="15">
      <c r="A43" s="431"/>
      <c r="B43" s="381" t="s">
        <v>2489</v>
      </c>
      <c r="C43" s="419" t="s">
        <v>3089</v>
      </c>
      <c r="D43" s="394">
        <v>100</v>
      </c>
      <c r="E43" s="419" t="s">
        <v>3089</v>
      </c>
      <c r="F43" s="420">
        <f>SUMIF(123:123,E43,124:124)-SUMIF(123:123,C43,124:124)+100</f>
        <v>100</v>
      </c>
      <c r="G43" s="419" t="s">
        <v>3089</v>
      </c>
      <c r="H43" s="394">
        <f>SUMIF(123:123,G43,124:124)-SUMIF(123:123,C43,124:124)+100</f>
        <v>100</v>
      </c>
      <c r="I43" s="419" t="s">
        <v>3102</v>
      </c>
      <c r="J43" s="394">
        <f>SUMIF(123:123,I43,124:124)-SUMIF(123:123,C43,124:124)+100</f>
        <v>94</v>
      </c>
      <c r="K43" s="569">
        <v>2</v>
      </c>
      <c r="L43" s="2949"/>
      <c r="M43" s="2943"/>
      <c r="N43" s="2943"/>
      <c r="O43" s="2943"/>
      <c r="P43" s="3324"/>
      <c r="Q43" s="1534" t="str">
        <f t="shared" si="11"/>
        <v>内部装修</v>
      </c>
      <c r="R43" s="713" t="s">
        <v>17</v>
      </c>
      <c r="S43" s="714">
        <f t="shared" si="12"/>
        <v>100</v>
      </c>
      <c r="T43" s="713" t="s">
        <v>17</v>
      </c>
      <c r="U43" s="714">
        <f t="shared" si="13"/>
        <v>100</v>
      </c>
      <c r="V43" s="713" t="s">
        <v>17</v>
      </c>
      <c r="W43" s="714">
        <f t="shared" si="14"/>
        <v>94</v>
      </c>
      <c r="X43" s="1537"/>
      <c r="Y43" s="3326"/>
      <c r="Z43" s="1538" t="str">
        <f t="shared" si="15"/>
        <v>内部装修</v>
      </c>
      <c r="AA43" s="1535">
        <f t="shared" si="3"/>
        <v>1</v>
      </c>
      <c r="AB43" s="1535">
        <f t="shared" si="4"/>
        <v>1</v>
      </c>
      <c r="AC43" s="2146">
        <f t="shared" si="5"/>
        <v>1.0638297872340425</v>
      </c>
    </row>
    <row r="44" spans="1:29" ht="28.8">
      <c r="A44" s="431"/>
      <c r="B44" s="381" t="s">
        <v>2397</v>
      </c>
      <c r="C44" s="419" t="s">
        <v>3083</v>
      </c>
      <c r="D44" s="394">
        <v>100</v>
      </c>
      <c r="E44" s="2090" t="s">
        <v>3083</v>
      </c>
      <c r="F44" s="420">
        <f>SUMIF(125:125,E44,126:126)-SUMIF(125:125,C44,126:126)+100</f>
        <v>100</v>
      </c>
      <c r="G44" s="2090" t="s">
        <v>3083</v>
      </c>
      <c r="H44" s="394">
        <f>SUMIF(125:125,G44,126:126)-SUMIF(125:125,C44,126:126)+100</f>
        <v>100</v>
      </c>
      <c r="I44" s="2090" t="s">
        <v>3117</v>
      </c>
      <c r="J44" s="394">
        <f>SUMIF(125:125,I44,126:126)-SUMIF(125:125,C44,126:126)+100</f>
        <v>96</v>
      </c>
      <c r="K44" s="569">
        <v>2</v>
      </c>
      <c r="L44" s="2949"/>
      <c r="M44" s="2943"/>
      <c r="N44" s="2943"/>
      <c r="O44" s="2943"/>
      <c r="P44" s="3324"/>
      <c r="Q44" s="1534" t="str">
        <f t="shared" si="11"/>
        <v>内部装修维护情况</v>
      </c>
      <c r="R44" s="713" t="s">
        <v>17</v>
      </c>
      <c r="S44" s="714">
        <f t="shared" si="12"/>
        <v>100</v>
      </c>
      <c r="T44" s="713" t="s">
        <v>17</v>
      </c>
      <c r="U44" s="714">
        <f t="shared" si="13"/>
        <v>100</v>
      </c>
      <c r="V44" s="713" t="s">
        <v>17</v>
      </c>
      <c r="W44" s="714">
        <f t="shared" si="14"/>
        <v>96</v>
      </c>
      <c r="X44" s="1537"/>
      <c r="Y44" s="3326"/>
      <c r="Z44" s="1538" t="str">
        <f t="shared" si="15"/>
        <v>内部装修维护情况</v>
      </c>
      <c r="AA44" s="1535">
        <f t="shared" si="3"/>
        <v>1</v>
      </c>
      <c r="AB44" s="1535">
        <f t="shared" si="4"/>
        <v>1</v>
      </c>
      <c r="AC44" s="2146">
        <f t="shared" si="5"/>
        <v>1.0416666666666667</v>
      </c>
    </row>
    <row r="45" spans="1:29" s="113" customFormat="1" ht="15">
      <c r="A45" s="432"/>
      <c r="B45" s="3068" t="s">
        <v>3105</v>
      </c>
      <c r="C45" s="3065" t="s">
        <v>3108</v>
      </c>
      <c r="D45" s="132">
        <v>100</v>
      </c>
      <c r="E45" s="3066" t="s">
        <v>3107</v>
      </c>
      <c r="F45" s="384">
        <f>SUMIF(127:127,E45,128:128)-SUMIF(127:127,C45,128:128)+100</f>
        <v>98</v>
      </c>
      <c r="G45" s="3066" t="s">
        <v>3107</v>
      </c>
      <c r="H45" s="132">
        <f>SUMIF(127:127,G45,128:128)-SUMIF(127:127,C45,128:128)+100</f>
        <v>98</v>
      </c>
      <c r="I45" s="3066" t="s">
        <v>3107</v>
      </c>
      <c r="J45" s="132">
        <f>SUMIF(127:127,I45,128:128)-SUMIF(127:127,C45,128:128)+100</f>
        <v>98</v>
      </c>
      <c r="K45" s="570"/>
      <c r="L45" s="2944"/>
      <c r="M45" s="2945"/>
      <c r="N45" s="2945"/>
      <c r="O45" s="2945"/>
      <c r="P45" s="3324"/>
      <c r="Q45" s="1525" t="str">
        <f t="shared" si="11"/>
        <v>跃层</v>
      </c>
      <c r="R45" s="709" t="s">
        <v>17</v>
      </c>
      <c r="S45" s="710">
        <f t="shared" si="12"/>
        <v>98</v>
      </c>
      <c r="T45" s="709" t="s">
        <v>17</v>
      </c>
      <c r="U45" s="710">
        <f t="shared" si="13"/>
        <v>98</v>
      </c>
      <c r="V45" s="709" t="s">
        <v>17</v>
      </c>
      <c r="W45" s="710">
        <f t="shared" si="14"/>
        <v>98</v>
      </c>
      <c r="X45" s="711"/>
      <c r="Y45" s="3326"/>
      <c r="Z45" s="55" t="str">
        <f t="shared" si="15"/>
        <v>跃层</v>
      </c>
      <c r="AA45" s="712">
        <f t="shared" si="3"/>
        <v>1.0204081632653061</v>
      </c>
      <c r="AB45" s="712">
        <f t="shared" si="4"/>
        <v>1.0204081632653061</v>
      </c>
      <c r="AC45" s="2143">
        <f t="shared" si="5"/>
        <v>1.0204081632653061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24"/>
      <c r="Q46" s="1534">
        <f t="shared" si="11"/>
        <v>111</v>
      </c>
      <c r="R46" s="713" t="s">
        <v>17</v>
      </c>
      <c r="S46" s="714">
        <f t="shared" si="12"/>
        <v>100</v>
      </c>
      <c r="T46" s="713" t="s">
        <v>17</v>
      </c>
      <c r="U46" s="714">
        <f t="shared" si="13"/>
        <v>100</v>
      </c>
      <c r="V46" s="713" t="s">
        <v>17</v>
      </c>
      <c r="W46" s="714">
        <f t="shared" si="14"/>
        <v>100</v>
      </c>
      <c r="X46" s="1537"/>
      <c r="Y46" s="3326"/>
      <c r="Z46" s="1538">
        <f t="shared" si="15"/>
        <v>111</v>
      </c>
      <c r="AA46" s="1535">
        <f t="shared" si="3"/>
        <v>1</v>
      </c>
      <c r="AB46" s="1535">
        <f t="shared" si="4"/>
        <v>1</v>
      </c>
      <c r="AC46" s="2146">
        <f t="shared" si="5"/>
        <v>1</v>
      </c>
    </row>
    <row r="47" spans="1:29" ht="15.6"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25"/>
      <c r="Q47" s="1534">
        <f t="shared" si="11"/>
        <v>111</v>
      </c>
      <c r="R47" s="713" t="s">
        <v>17</v>
      </c>
      <c r="S47" s="714">
        <f t="shared" si="12"/>
        <v>100</v>
      </c>
      <c r="T47" s="713" t="s">
        <v>17</v>
      </c>
      <c r="U47" s="714">
        <f t="shared" si="13"/>
        <v>100</v>
      </c>
      <c r="V47" s="713" t="s">
        <v>17</v>
      </c>
      <c r="W47" s="714">
        <f t="shared" si="14"/>
        <v>100</v>
      </c>
      <c r="X47" s="1537"/>
      <c r="Y47" s="3327"/>
      <c r="Z47" s="1538">
        <f t="shared" si="15"/>
        <v>111</v>
      </c>
      <c r="AA47" s="1535">
        <f t="shared" si="3"/>
        <v>1</v>
      </c>
      <c r="AB47" s="1535">
        <f t="shared" si="4"/>
        <v>1</v>
      </c>
      <c r="AC47" s="2146">
        <f t="shared" si="5"/>
        <v>1</v>
      </c>
    </row>
    <row r="48" spans="1:29" ht="14.4">
      <c r="A48" s="438" t="s">
        <v>2398</v>
      </c>
      <c r="B48" s="439"/>
      <c r="C48" s="1315" t="s">
        <v>1</v>
      </c>
      <c r="D48" s="1316"/>
      <c r="E48" s="1317">
        <v>15000</v>
      </c>
      <c r="F48" s="1318"/>
      <c r="G48" s="1319">
        <v>15700</v>
      </c>
      <c r="H48" s="1320"/>
      <c r="I48" s="1317">
        <v>12800</v>
      </c>
      <c r="J48" s="444"/>
      <c r="K48" s="722"/>
      <c r="L48" s="2951"/>
      <c r="M48" s="2943"/>
      <c r="N48" s="2943"/>
      <c r="O48" s="2943"/>
      <c r="P48" s="3299" t="str">
        <f>A48</f>
        <v>成交单价（元/平方米）</v>
      </c>
      <c r="Q48" s="3328"/>
      <c r="R48" s="3329">
        <f>E48</f>
        <v>15000</v>
      </c>
      <c r="S48" s="3329"/>
      <c r="T48" s="3329">
        <f>G48</f>
        <v>15700</v>
      </c>
      <c r="U48" s="3329"/>
      <c r="V48" s="3329">
        <f>I48</f>
        <v>12800</v>
      </c>
      <c r="W48" s="3329"/>
      <c r="X48" s="405"/>
      <c r="Y48" s="720"/>
      <c r="Z48" s="405"/>
      <c r="AA48" s="405"/>
      <c r="AB48" s="405"/>
      <c r="AC48" s="586"/>
    </row>
    <row r="49" spans="1:29" ht="15" thickBot="1">
      <c r="A49" s="445" t="s">
        <v>2490</v>
      </c>
      <c r="B49" s="446"/>
      <c r="C49" s="1321" t="e">
        <f>R50</f>
        <v>#REF!</v>
      </c>
      <c r="D49" s="2536" t="s">
        <v>2879</v>
      </c>
      <c r="E49" s="1322" t="e">
        <f>R49</f>
        <v>#REF!</v>
      </c>
      <c r="F49" s="2537"/>
      <c r="G49" s="1321" t="e">
        <f>T49</f>
        <v>#REF!</v>
      </c>
      <c r="H49" s="2537"/>
      <c r="I49" s="1322" t="e">
        <f>V49</f>
        <v>#REF!</v>
      </c>
      <c r="J49" s="2537"/>
      <c r="K49" s="2539">
        <f>F49+H49+J49</f>
        <v>0</v>
      </c>
      <c r="L49" s="2951"/>
      <c r="M49" s="2943"/>
      <c r="N49" s="2943"/>
      <c r="O49" s="2943"/>
      <c r="P49" s="3299" t="str">
        <f>A49</f>
        <v>比较价值（元/平方米）</v>
      </c>
      <c r="Q49" s="3328"/>
      <c r="R49" s="3329" t="e">
        <f>IF(F1="售价",ROUND(PRODUCT(R48,AA7:AA47),0),ROUND(PRODUCT(R48,AA7:AA47),1))</f>
        <v>#REF!</v>
      </c>
      <c r="S49" s="3329"/>
      <c r="T49" s="3329" t="e">
        <f>IF(F1="售价",ROUND(PRODUCT(T48,AB7:AB47),0),ROUND(PRODUCT(T48,AB7:AB47),1))</f>
        <v>#REF!</v>
      </c>
      <c r="U49" s="3329"/>
      <c r="V49" s="3329" t="e">
        <f>IF(F1="售价",ROUND(PRODUCT(V48,AC7:AC47),0),ROUND(PRODUCT(V48,AC7:AC47),1))</f>
        <v>#REF!</v>
      </c>
      <c r="W49" s="3329"/>
      <c r="X49" s="405"/>
      <c r="Y49" s="405"/>
      <c r="Z49" s="405"/>
      <c r="AA49" s="405"/>
      <c r="AB49" s="405"/>
      <c r="AC49" s="586"/>
    </row>
    <row r="50" spans="1:29" ht="15" thickBot="1">
      <c r="A50" s="449" t="s">
        <v>2491</v>
      </c>
      <c r="B50" s="450"/>
      <c r="C50" s="1324" t="e">
        <f>R50</f>
        <v>#REF!</v>
      </c>
      <c r="D50" s="1324"/>
      <c r="E50" s="1324"/>
      <c r="F50" s="1324"/>
      <c r="G50" s="1324"/>
      <c r="H50" s="1324"/>
      <c r="I50" s="1324"/>
      <c r="J50" s="451"/>
      <c r="K50" s="723"/>
      <c r="L50" s="2951"/>
      <c r="M50" s="2943"/>
      <c r="N50" s="2943"/>
      <c r="O50" s="2943"/>
      <c r="P50" s="3330" t="str">
        <f>A50</f>
        <v>估价对象XX用房的比较价值（楼面单价，元/平方米）</v>
      </c>
      <c r="Q50" s="3331"/>
      <c r="R50" s="3332" t="e">
        <f>IF(F1="售价",ROUND(IF(D49="简单平均",AVERAGE(R49:V49),R49*F49+T49*H49+V49*J49),0),ROUND(IF(D49="简单平均",AVERAGE(R49:V49),R49*F49+T49*H49+V49*J49),1))</f>
        <v>#REF!</v>
      </c>
      <c r="S50" s="3332"/>
      <c r="T50" s="3332"/>
      <c r="U50" s="3332"/>
      <c r="V50" s="3332"/>
      <c r="W50" s="3332"/>
      <c r="X50" s="2130"/>
      <c r="Y50" s="2130"/>
      <c r="Z50" s="2130"/>
      <c r="AA50" s="2130"/>
      <c r="AB50" s="2130"/>
      <c r="AC50" s="2131"/>
    </row>
    <row r="51" spans="1:29">
      <c r="A51" s="2952"/>
      <c r="B51" s="2952"/>
      <c r="C51" s="2952"/>
      <c r="D51" s="2952"/>
      <c r="E51" s="2952"/>
      <c r="F51" s="2952"/>
      <c r="G51" s="3067" t="s">
        <v>3119</v>
      </c>
      <c r="H51" s="2952"/>
      <c r="I51" s="2952">
        <v>2017</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#REF!</v>
      </c>
      <c r="F53" s="457" t="e">
        <f>IF(OR(E53&gt;=0.3,E53&lt;=-0.3),"超过30%","")</f>
        <v>#REF!</v>
      </c>
      <c r="G53" s="456" t="e">
        <f>IF(G48&lt;G49,G49/G48-1,G48/G49-1)</f>
        <v>#REF!</v>
      </c>
      <c r="H53" s="457" t="e">
        <f>IF(OR(G53&gt;=0.3,G53&lt;=-0.3),"超过30%","")</f>
        <v>#REF!</v>
      </c>
      <c r="I53" s="456" t="e">
        <f>IF(I48&lt;I49,I49/I48-1,I48/I49-1)</f>
        <v>#REF!</v>
      </c>
      <c r="J53" s="457" t="e">
        <f>IF(OR(I53&gt;=0.3,I53&lt;=-0.3),"超过30%","")</f>
        <v>#REF!</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#REF!</v>
      </c>
      <c r="F54" s="457" t="e">
        <f>IF(OR(E54&gt;=0.2,E54&lt;=-0.2),"超过20%","")</f>
        <v>#REF!</v>
      </c>
      <c r="G54" s="456" t="e">
        <f>IF(G49&lt;I49,I49/G49-1,G49/I49-1)</f>
        <v>#REF!</v>
      </c>
      <c r="H54" s="457" t="e">
        <f>IF(OR(G54&gt;=0.2,G54&lt;=-0.2),"超过20%","")</f>
        <v>#REF!</v>
      </c>
      <c r="I54" s="456" t="e">
        <f>IF(I49&lt;E49,E49/I49-1,I49/E49-1)</f>
        <v>#REF!</v>
      </c>
      <c r="J54" s="457" t="e">
        <f>IF(OR(I54&gt;=0.2,I54&lt;=-0.2),"超过20%","")</f>
        <v>#REF!</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4.6666666666666634E-2</v>
      </c>
      <c r="F55" s="457" t="str">
        <f>IF(OR(E55&gt;=0.3,E55&lt;=-0.3),"超过30%","")</f>
        <v/>
      </c>
      <c r="G55" s="456">
        <f>IF(G48&lt;I48,I48/G48-1,G48/I48-1)</f>
        <v>0.2265625</v>
      </c>
      <c r="H55" s="457" t="str">
        <f>IF(OR(G55&gt;=0.3,G55&lt;=-0.3),"超过30%","")</f>
        <v/>
      </c>
      <c r="I55" s="456">
        <f>IF(I48&lt;E48,E48/I48-1,I48/E48-1)</f>
        <v>0.171875</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2.2"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4.4">
      <c r="A59" s="462" t="s">
        <v>2369</v>
      </c>
      <c r="B59" s="463"/>
      <c r="C59" s="1344" t="str">
        <f>YEAR(C7)&amp;"-"&amp;MONTH(C7)</f>
        <v>2021-12</v>
      </c>
      <c r="D59" s="1345">
        <f>EDATE(C59,-1)</f>
        <v>44501</v>
      </c>
      <c r="E59" s="1345">
        <f>EDATE(D59,-1)</f>
        <v>44470</v>
      </c>
      <c r="F59" s="1345">
        <f t="shared" ref="F59:O59" si="16">EDATE(E59,-1)</f>
        <v>44440</v>
      </c>
      <c r="G59" s="1345">
        <f t="shared" si="16"/>
        <v>44409</v>
      </c>
      <c r="H59" s="1345">
        <f t="shared" si="16"/>
        <v>44378</v>
      </c>
      <c r="I59" s="1345">
        <f t="shared" si="16"/>
        <v>44348</v>
      </c>
      <c r="J59" s="1345">
        <f t="shared" si="16"/>
        <v>44317</v>
      </c>
      <c r="K59" s="1345">
        <f t="shared" si="16"/>
        <v>44287</v>
      </c>
      <c r="L59" s="1345">
        <f t="shared" si="16"/>
        <v>44256</v>
      </c>
      <c r="M59" s="1345">
        <f t="shared" si="16"/>
        <v>44228</v>
      </c>
      <c r="N59" s="1345">
        <f t="shared" si="16"/>
        <v>44197</v>
      </c>
      <c r="O59" s="1345">
        <f t="shared" si="16"/>
        <v>44166</v>
      </c>
      <c r="P59" s="2986"/>
      <c r="Q59" s="2968"/>
      <c r="R59" s="2968"/>
      <c r="S59" s="2968"/>
      <c r="T59" s="2968"/>
      <c r="U59" s="2968"/>
      <c r="V59" s="2968"/>
      <c r="W59" s="2968"/>
      <c r="X59" s="2968"/>
      <c r="Y59" s="2968"/>
      <c r="Z59" s="2968"/>
      <c r="AA59" s="2968"/>
      <c r="AB59" s="2968"/>
      <c r="AC59" s="2968"/>
    </row>
    <row r="60" spans="1:29" s="113" customFormat="1">
      <c r="A60" s="466"/>
      <c r="B60" s="467"/>
      <c r="C60" s="1343">
        <v>100</v>
      </c>
      <c r="D60" s="469">
        <f>C60-$C$61</f>
        <v>100</v>
      </c>
      <c r="E60" s="469">
        <f t="shared" ref="E60:I60" si="17">D60-$C$61</f>
        <v>100</v>
      </c>
      <c r="F60" s="469">
        <f t="shared" si="17"/>
        <v>100</v>
      </c>
      <c r="G60" s="469">
        <f t="shared" si="17"/>
        <v>100</v>
      </c>
      <c r="H60" s="469">
        <f t="shared" si="17"/>
        <v>100</v>
      </c>
      <c r="I60" s="469">
        <f t="shared" si="17"/>
        <v>100</v>
      </c>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 thickBot="1">
      <c r="A61" s="472" t="s">
        <v>2406</v>
      </c>
      <c r="B61" s="473"/>
      <c r="C61" s="474">
        <v>0</v>
      </c>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4.4">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4.4"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ht="14.4">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4.4"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9.4"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4.4" thickBot="1">
      <c r="A67" s="491"/>
      <c r="B67" s="500"/>
      <c r="C67" s="501" t="s">
        <v>24</v>
      </c>
      <c r="D67" s="501" t="s">
        <v>25</v>
      </c>
      <c r="E67" s="501">
        <v>100</v>
      </c>
      <c r="F67" s="501">
        <f>E67-$K10</f>
        <v>98</v>
      </c>
      <c r="G67" s="501">
        <f>F67-$K10</f>
        <v>96</v>
      </c>
      <c r="H67" s="501">
        <f>G67-$K10</f>
        <v>94</v>
      </c>
      <c r="I67" s="501">
        <f>H67-$K10</f>
        <v>92</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 thickTop="1">
      <c r="A68" s="491"/>
      <c r="B68" s="503" t="s">
        <v>2379</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c r="A69" s="491"/>
      <c r="B69" s="505"/>
      <c r="C69" s="506">
        <v>0</v>
      </c>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4.4"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1"/>
      <c r="O70" s="2981"/>
      <c r="P70" s="2989"/>
      <c r="Q70" s="2966"/>
      <c r="R70" s="2952"/>
      <c r="S70" s="2952"/>
      <c r="T70" s="2952"/>
      <c r="U70" s="2952"/>
      <c r="V70" s="2952"/>
      <c r="W70" s="2952"/>
      <c r="X70" s="2952"/>
      <c r="Y70" s="2952"/>
      <c r="Z70" s="2952"/>
      <c r="AA70" s="2952"/>
      <c r="AB70" s="2952"/>
      <c r="AC70" s="2952"/>
    </row>
    <row r="71" spans="1:29" s="430" customFormat="1" ht="14.4"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4.4"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4.4"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4.4"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4.4"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4.4"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ht="14.4">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4.4"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4.4"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 thickTop="1">
      <c r="A83" s="491"/>
      <c r="B83" s="503" t="s">
        <v>2510</v>
      </c>
      <c r="C83" s="616" t="s">
        <v>2496</v>
      </c>
      <c r="D83" s="616" t="s">
        <v>2497</v>
      </c>
      <c r="E83" s="616" t="s">
        <v>2498</v>
      </c>
      <c r="F83" s="616" t="s">
        <v>2499</v>
      </c>
      <c r="G83" s="616" t="s">
        <v>2500</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4.4" thickBot="1">
      <c r="A84" s="491"/>
      <c r="B84" s="503"/>
      <c r="C84" s="501">
        <v>100</v>
      </c>
      <c r="D84" s="501">
        <f>C84-$K21</f>
        <v>99</v>
      </c>
      <c r="E84" s="501">
        <f>D84-$K21</f>
        <v>98</v>
      </c>
      <c r="F84" s="501">
        <f>E84-$K21</f>
        <v>97</v>
      </c>
      <c r="G84" s="501">
        <f>F84-$K21</f>
        <v>96</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4.4"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9.4"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4.4"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1"/>
      <c r="O88" s="2981"/>
      <c r="P88" s="2989"/>
      <c r="Q88" s="2966"/>
      <c r="R88" s="2886"/>
      <c r="S88" s="2886"/>
      <c r="T88" s="2886"/>
      <c r="U88" s="2886"/>
      <c r="V88" s="2886"/>
      <c r="W88" s="2886"/>
      <c r="X88" s="2886"/>
      <c r="Y88" s="2886"/>
      <c r="Z88" s="2886"/>
      <c r="AA88" s="2886"/>
      <c r="AB88" s="2886"/>
      <c r="AC88" s="2886"/>
    </row>
    <row r="89" spans="1:29" s="113" customFormat="1" ht="15" thickTop="1">
      <c r="A89" s="536"/>
      <c r="B89" s="495" t="str">
        <f>B27</f>
        <v>楼层</v>
      </c>
      <c r="C89" s="3063" t="s">
        <v>3111</v>
      </c>
      <c r="D89" s="3063" t="s">
        <v>3113</v>
      </c>
      <c r="E89" s="3063" t="s">
        <v>3114</v>
      </c>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4.4" thickBot="1">
      <c r="A90" s="536"/>
      <c r="B90" s="500"/>
      <c r="C90" s="539">
        <v>100</v>
      </c>
      <c r="D90" s="501">
        <f>C90-$K27</f>
        <v>97</v>
      </c>
      <c r="E90" s="501">
        <f t="shared" ref="E90:M90" si="21">D90-$K27</f>
        <v>94</v>
      </c>
      <c r="F90" s="501">
        <f t="shared" si="21"/>
        <v>91</v>
      </c>
      <c r="G90" s="501">
        <f t="shared" si="21"/>
        <v>88</v>
      </c>
      <c r="H90" s="501">
        <f t="shared" si="21"/>
        <v>85</v>
      </c>
      <c r="I90" s="501">
        <f t="shared" si="21"/>
        <v>82</v>
      </c>
      <c r="J90" s="501">
        <f t="shared" si="21"/>
        <v>79</v>
      </c>
      <c r="K90" s="501">
        <f t="shared" si="21"/>
        <v>76</v>
      </c>
      <c r="L90" s="501">
        <f t="shared" si="21"/>
        <v>73</v>
      </c>
      <c r="M90" s="501">
        <f t="shared" si="21"/>
        <v>70</v>
      </c>
      <c r="N90" s="2981"/>
      <c r="O90" s="2981"/>
      <c r="P90" s="2989"/>
      <c r="Q90" s="2966"/>
      <c r="R90" s="2886"/>
      <c r="S90" s="2886"/>
      <c r="T90" s="2886"/>
      <c r="U90" s="2886"/>
      <c r="V90" s="2886"/>
      <c r="W90" s="2886"/>
      <c r="X90" s="2886"/>
      <c r="Y90" s="2886"/>
      <c r="Z90" s="2886"/>
      <c r="AA90" s="2886"/>
      <c r="AB90" s="2886"/>
      <c r="AC90" s="2886"/>
    </row>
    <row r="91" spans="1:29" s="430" customFormat="1" ht="14.4"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2"/>
      <c r="O92" s="2982"/>
      <c r="P92" s="2990"/>
      <c r="Q92" s="2973"/>
      <c r="R92" s="2974"/>
      <c r="S92" s="2974"/>
      <c r="T92" s="2974"/>
      <c r="U92" s="2974"/>
      <c r="V92" s="2974"/>
      <c r="W92" s="2974"/>
      <c r="X92" s="2974"/>
      <c r="Y92" s="2974"/>
      <c r="Z92" s="2974"/>
      <c r="AA92" s="2974"/>
      <c r="AB92" s="2974"/>
      <c r="AC92" s="2974"/>
    </row>
    <row r="93" spans="1:29" ht="14.4"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4.4"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4.4"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4.4"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4.4"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4.4"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ht="14.4">
      <c r="A101" s="484" t="s">
        <v>2384</v>
      </c>
      <c r="B101" s="485" t="s">
        <v>2433</v>
      </c>
      <c r="C101" s="3062" t="s">
        <v>3087</v>
      </c>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01">
        <v>100</v>
      </c>
      <c r="D102" s="501">
        <f t="shared" ref="D102:M102" si="23">C102-$K33</f>
        <v>98</v>
      </c>
      <c r="E102" s="501">
        <f t="shared" si="23"/>
        <v>96</v>
      </c>
      <c r="F102" s="501">
        <f t="shared" si="23"/>
        <v>94</v>
      </c>
      <c r="G102" s="501">
        <f t="shared" si="23"/>
        <v>92</v>
      </c>
      <c r="H102" s="501">
        <f t="shared" si="23"/>
        <v>90</v>
      </c>
      <c r="I102" s="501">
        <f t="shared" si="23"/>
        <v>88</v>
      </c>
      <c r="J102" s="501">
        <f t="shared" si="23"/>
        <v>86</v>
      </c>
      <c r="K102" s="501">
        <f t="shared" si="23"/>
        <v>84</v>
      </c>
      <c r="L102" s="501">
        <f t="shared" si="23"/>
        <v>82</v>
      </c>
      <c r="M102" s="502">
        <f t="shared" si="23"/>
        <v>80</v>
      </c>
      <c r="N102" s="2981"/>
      <c r="O102" s="2981"/>
      <c r="P102" s="2989"/>
      <c r="Q102" s="2966"/>
      <c r="R102" s="2952"/>
      <c r="S102" s="2952"/>
      <c r="T102" s="2952"/>
      <c r="U102" s="2952"/>
      <c r="V102" s="2952"/>
      <c r="W102" s="2952"/>
      <c r="X102" s="2952"/>
      <c r="Y102" s="2952"/>
      <c r="Z102" s="2952"/>
      <c r="AA102" s="2952"/>
      <c r="AB102" s="2952"/>
      <c r="AC102" s="2952"/>
    </row>
    <row r="103" spans="1:29" ht="28.2" thickTop="1">
      <c r="A103" s="491"/>
      <c r="B103" s="495" t="s">
        <v>2434</v>
      </c>
      <c r="C103" s="535" t="str">
        <f>C104&amp;"(含)"&amp;"-"&amp;D104</f>
        <v>0(含)-250</v>
      </c>
      <c r="D103" s="535" t="str">
        <f t="shared" ref="D103:L103" si="24">D104&amp;"(含)"&amp;"-"&amp;E104</f>
        <v>250(含)-500</v>
      </c>
      <c r="E103" s="535" t="str">
        <f t="shared" si="24"/>
        <v>500(含)-750</v>
      </c>
      <c r="F103" s="535" t="str">
        <f t="shared" si="24"/>
        <v>750(含)-1000</v>
      </c>
      <c r="G103" s="535" t="str">
        <f t="shared" si="24"/>
        <v>1000(含)-2000</v>
      </c>
      <c r="H103" s="535" t="str">
        <f t="shared" si="24"/>
        <v>2000(含)-</v>
      </c>
      <c r="I103" s="535" t="str">
        <f t="shared" si="24"/>
        <v>(含)-</v>
      </c>
      <c r="J103" s="535" t="str">
        <f t="shared" si="24"/>
        <v>(含)-</v>
      </c>
      <c r="K103" s="535" t="str">
        <f t="shared" si="24"/>
        <v>(含)-</v>
      </c>
      <c r="L103" s="535" t="str">
        <f t="shared" si="24"/>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250</v>
      </c>
      <c r="E104" s="552">
        <v>500</v>
      </c>
      <c r="F104" s="552">
        <v>750</v>
      </c>
      <c r="G104" s="552">
        <v>1000</v>
      </c>
      <c r="H104" s="552">
        <v>2000</v>
      </c>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4.4" thickBot="1">
      <c r="A105" s="510"/>
      <c r="B105" s="500"/>
      <c r="C105" s="517">
        <v>99</v>
      </c>
      <c r="D105" s="493">
        <v>100</v>
      </c>
      <c r="E105" s="493">
        <v>99</v>
      </c>
      <c r="F105" s="493">
        <v>98</v>
      </c>
      <c r="G105" s="493">
        <v>97</v>
      </c>
      <c r="H105" s="493">
        <v>96</v>
      </c>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063" t="s">
        <v>3088</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063" t="s">
        <v>3090</v>
      </c>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4.4"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3063" t="s">
        <v>3091</v>
      </c>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4.4"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063" t="s">
        <v>3093</v>
      </c>
      <c r="D115" s="3063" t="s">
        <v>3094</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4.4"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063" t="s">
        <v>3095</v>
      </c>
      <c r="D117" s="3063" t="s">
        <v>3096</v>
      </c>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4.4" thickBot="1">
      <c r="A118" s="491"/>
      <c r="B118" s="500"/>
      <c r="C118" s="501">
        <v>100</v>
      </c>
      <c r="D118" s="501">
        <f>C118-$K40</f>
        <v>99</v>
      </c>
      <c r="E118" s="501">
        <f>D118-$K40</f>
        <v>98</v>
      </c>
      <c r="F118" s="501">
        <f>E118-$K40</f>
        <v>97</v>
      </c>
      <c r="G118" s="501">
        <f>F118-$K40</f>
        <v>96</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3064" t="s">
        <v>3097</v>
      </c>
      <c r="D119" s="3064" t="s">
        <v>3099</v>
      </c>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4.4" thickBot="1">
      <c r="A120" s="491"/>
      <c r="B120" s="500"/>
      <c r="C120" s="539">
        <v>100</v>
      </c>
      <c r="D120" s="501">
        <f>C120-$K41</f>
        <v>95</v>
      </c>
      <c r="E120" s="501">
        <f t="shared" ref="E120:M120" si="30">D120-$K41</f>
        <v>90</v>
      </c>
      <c r="F120" s="501">
        <f t="shared" si="30"/>
        <v>85</v>
      </c>
      <c r="G120" s="501">
        <f t="shared" si="30"/>
        <v>80</v>
      </c>
      <c r="H120" s="501">
        <f t="shared" si="30"/>
        <v>75</v>
      </c>
      <c r="I120" s="501">
        <f t="shared" si="30"/>
        <v>70</v>
      </c>
      <c r="J120" s="501">
        <f t="shared" si="30"/>
        <v>65</v>
      </c>
      <c r="K120" s="501">
        <f t="shared" si="30"/>
        <v>60</v>
      </c>
      <c r="L120" s="501">
        <f t="shared" si="30"/>
        <v>55</v>
      </c>
      <c r="M120" s="501">
        <f t="shared" si="30"/>
        <v>50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4.4"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063" t="s">
        <v>3090</v>
      </c>
      <c r="D123" s="3063" t="s">
        <v>3100</v>
      </c>
      <c r="E123" s="3063" t="s">
        <v>3101</v>
      </c>
      <c r="F123" s="3064" t="s">
        <v>3103</v>
      </c>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4.4"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1"/>
      <c r="O124" s="2981"/>
      <c r="P124" s="2989"/>
      <c r="Q124" s="2966"/>
      <c r="R124" s="2952"/>
      <c r="S124" s="2952"/>
      <c r="T124" s="2952"/>
      <c r="U124" s="2952"/>
      <c r="V124" s="2952"/>
      <c r="W124" s="2952"/>
      <c r="X124" s="2952"/>
      <c r="Y124" s="2952"/>
      <c r="Z124" s="2952"/>
      <c r="AA124" s="2952"/>
      <c r="AB124" s="2952"/>
      <c r="AC124" s="2952"/>
    </row>
    <row r="125" spans="1:29" ht="29.4"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跃层</v>
      </c>
      <c r="C127" s="3063" t="s">
        <v>3106</v>
      </c>
      <c r="D127" s="3063" t="s">
        <v>3107</v>
      </c>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4.4" thickBot="1">
      <c r="A128" s="510"/>
      <c r="B128" s="500"/>
      <c r="C128" s="517">
        <v>100</v>
      </c>
      <c r="D128" s="493">
        <v>98</v>
      </c>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4.4"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4.4"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4.4"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4.4"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C49" sqref="C49"/>
    </sheetView>
  </sheetViews>
  <sheetFormatPr defaultColWidth="9" defaultRowHeight="13.8"/>
  <cols>
    <col min="1" max="1" width="10.44140625" style="363" customWidth="1"/>
    <col min="2" max="2" width="15.77734375" style="363" customWidth="1"/>
    <col min="3" max="3" width="17.6640625" style="363" customWidth="1"/>
    <col min="4" max="4" width="12.21875" style="363" customWidth="1"/>
    <col min="5" max="5" width="16.109375" style="363" customWidth="1"/>
    <col min="6" max="6" width="12.21875" style="363" customWidth="1"/>
    <col min="7" max="7" width="17.10937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9" customFormat="1" ht="28.5" customHeight="1" thickBot="1">
      <c r="A1" s="1388" t="s">
        <v>2349</v>
      </c>
      <c r="B1" s="2062" t="s">
        <v>2463</v>
      </c>
      <c r="C1" s="1404" t="s">
        <v>2351</v>
      </c>
      <c r="D1" s="1391" t="s">
        <v>1343</v>
      </c>
      <c r="E1" s="2541"/>
      <c r="F1" s="2063" t="s">
        <v>3080</v>
      </c>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2148</v>
      </c>
      <c r="B2" s="1325">
        <f>IF(C2="——",ROUND(C49*D3/10000,0),ROUND(C49*D3/10000,0)-D2)</f>
        <v>62939</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14490</v>
      </c>
      <c r="C3" s="360" t="s">
        <v>2465</v>
      </c>
      <c r="D3" s="359">
        <f>IF(D1="",'数据-汇总表'!E3,SUMIF('数据-汇总表'!$C19:$C33,D1,'数据-汇总表'!$E19:$E33))</f>
        <v>43436.4</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4.4">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316" t="s">
        <v>2469</v>
      </c>
      <c r="AC4" s="3333" t="s">
        <v>2470</v>
      </c>
    </row>
    <row r="5" spans="1:29">
      <c r="A5" s="364"/>
      <c r="B5" s="365"/>
      <c r="C5" s="3292" t="s">
        <v>2363</v>
      </c>
      <c r="D5" s="3293"/>
      <c r="E5" s="3336" t="s">
        <v>2364</v>
      </c>
      <c r="F5" s="3291"/>
      <c r="G5" s="3292" t="s">
        <v>2365</v>
      </c>
      <c r="H5" s="3293"/>
      <c r="I5" s="3292" t="s">
        <v>2366</v>
      </c>
      <c r="J5" s="3293"/>
      <c r="K5" s="567"/>
      <c r="L5" s="2942"/>
      <c r="M5" s="2943"/>
      <c r="N5" s="2943"/>
      <c r="O5" s="2943"/>
      <c r="P5" s="3339"/>
      <c r="Q5" s="3310"/>
      <c r="R5" s="3288"/>
      <c r="S5" s="3289"/>
      <c r="T5" s="3288"/>
      <c r="U5" s="3289"/>
      <c r="V5" s="3316"/>
      <c r="W5" s="3316"/>
      <c r="X5" s="1537"/>
      <c r="Y5" s="3288"/>
      <c r="Z5" s="3289"/>
      <c r="AA5" s="3282"/>
      <c r="AB5" s="3316"/>
      <c r="AC5" s="3282"/>
    </row>
    <row r="6" spans="1:29" ht="15" thickBot="1">
      <c r="A6" s="366"/>
      <c r="B6" s="367"/>
      <c r="C6" s="3294" t="s">
        <v>2367</v>
      </c>
      <c r="D6" s="3295"/>
      <c r="E6" s="3297" t="s">
        <v>2367</v>
      </c>
      <c r="F6" s="3298"/>
      <c r="G6" s="3294" t="s">
        <v>2367</v>
      </c>
      <c r="H6" s="3295"/>
      <c r="I6" s="3294" t="s">
        <v>2367</v>
      </c>
      <c r="J6" s="3295"/>
      <c r="K6" s="567" t="s">
        <v>2368</v>
      </c>
      <c r="L6" s="2942"/>
      <c r="M6" s="2943"/>
      <c r="N6" s="2943"/>
      <c r="O6" s="2943"/>
      <c r="P6" s="3340"/>
      <c r="Q6" s="3312"/>
      <c r="R6" s="3288"/>
      <c r="S6" s="3289"/>
      <c r="T6" s="3313"/>
      <c r="U6" s="3314"/>
      <c r="V6" s="3316"/>
      <c r="W6" s="3316"/>
      <c r="X6" s="1537"/>
      <c r="Y6" s="3313"/>
      <c r="Z6" s="3314"/>
      <c r="AA6" s="3283"/>
      <c r="AB6" s="3316"/>
      <c r="AC6" s="3283"/>
    </row>
    <row r="7" spans="1:29" s="113" customFormat="1" ht="15" thickBot="1">
      <c r="A7" s="368" t="s">
        <v>2369</v>
      </c>
      <c r="B7" s="369"/>
      <c r="C7" s="370">
        <f>'数据-取费表'!B2</f>
        <v>44561</v>
      </c>
      <c r="D7" s="371">
        <v>100</v>
      </c>
      <c r="E7" s="372">
        <v>44470</v>
      </c>
      <c r="F7" s="373">
        <f>SUMIF(58:58,YEAR(E7)&amp;"-"&amp;MONTH(E7),59:59)</f>
        <v>100</v>
      </c>
      <c r="G7" s="372">
        <v>44440</v>
      </c>
      <c r="H7" s="371">
        <f>SUMIF(58:58,YEAR(G7)&amp;"-"&amp;MONTH(G7),59:59)</f>
        <v>100</v>
      </c>
      <c r="I7" s="372">
        <v>44440</v>
      </c>
      <c r="J7" s="371">
        <f>SUMIF(58:58,YEAR(I7)&amp;"-"&amp;MONTH(I7),59:59)</f>
        <v>100</v>
      </c>
      <c r="K7" s="568"/>
      <c r="L7" s="2944"/>
      <c r="M7" s="2945"/>
      <c r="N7" s="2945"/>
      <c r="O7" s="2945"/>
      <c r="P7" s="3284" t="s">
        <v>2370</v>
      </c>
      <c r="Q7" s="3318"/>
      <c r="R7" s="709" t="s">
        <v>17</v>
      </c>
      <c r="S7" s="710">
        <f t="shared" ref="S7:S15" si="0">F7</f>
        <v>100</v>
      </c>
      <c r="T7" s="709" t="s">
        <v>17</v>
      </c>
      <c r="U7" s="710">
        <f t="shared" ref="U7:U15" si="1">H7</f>
        <v>100</v>
      </c>
      <c r="V7" s="709" t="s">
        <v>17</v>
      </c>
      <c r="W7" s="710">
        <f t="shared" ref="W7:W15" si="2">J7</f>
        <v>100</v>
      </c>
      <c r="X7" s="711"/>
      <c r="Y7" s="3284" t="s">
        <v>2370</v>
      </c>
      <c r="Z7" s="3285"/>
      <c r="AA7" s="712">
        <f>D7/F7</f>
        <v>1</v>
      </c>
      <c r="AB7" s="712">
        <f>D7/H7</f>
        <v>1</v>
      </c>
      <c r="AC7" s="712">
        <f>D7/J7</f>
        <v>1</v>
      </c>
    </row>
    <row r="8" spans="1:29" s="113" customFormat="1" ht="15" thickBot="1">
      <c r="A8" s="368" t="s">
        <v>2371</v>
      </c>
      <c r="B8" s="369"/>
      <c r="C8" s="374" t="s">
        <v>2473</v>
      </c>
      <c r="D8" s="371">
        <v>100</v>
      </c>
      <c r="E8" s="374" t="s">
        <v>3081</v>
      </c>
      <c r="F8" s="373">
        <f>SUMIF(61:61,E8,62:62)-SUMIF(61:61,C8,62:62)+100</f>
        <v>100</v>
      </c>
      <c r="G8" s="374" t="s">
        <v>3081</v>
      </c>
      <c r="H8" s="371">
        <f>SUMIF(61:61,G8,62:62)-SUMIF(61:61,C8,62:62)+100</f>
        <v>100</v>
      </c>
      <c r="I8" s="374" t="s">
        <v>3081</v>
      </c>
      <c r="J8" s="371">
        <f>SUMIF(61:61,I8,62:62)-SUMIF(61:61,C8,62:62)+100</f>
        <v>100</v>
      </c>
      <c r="K8" s="568"/>
      <c r="L8" s="2944"/>
      <c r="M8" s="2945"/>
      <c r="N8" s="2945"/>
      <c r="O8" s="2945"/>
      <c r="P8" s="3284" t="s">
        <v>2373</v>
      </c>
      <c r="Q8" s="3285"/>
      <c r="R8" s="709" t="s">
        <v>17</v>
      </c>
      <c r="S8" s="710">
        <f t="shared" si="0"/>
        <v>100</v>
      </c>
      <c r="T8" s="709" t="s">
        <v>17</v>
      </c>
      <c r="U8" s="710">
        <f t="shared" si="1"/>
        <v>100</v>
      </c>
      <c r="V8" s="709" t="s">
        <v>17</v>
      </c>
      <c r="W8" s="710">
        <f t="shared" si="2"/>
        <v>100</v>
      </c>
      <c r="X8" s="711"/>
      <c r="Y8" s="3284" t="s">
        <v>2373</v>
      </c>
      <c r="Z8" s="3285"/>
      <c r="AA8" s="712">
        <f t="shared" ref="AA8:AA46" si="3">D8/F8</f>
        <v>1</v>
      </c>
      <c r="AB8" s="712">
        <f t="shared" ref="AB8:AB46" si="4">D8/H8</f>
        <v>1</v>
      </c>
      <c r="AC8" s="712">
        <f t="shared" ref="AC8:AC46" si="5">D8/J8</f>
        <v>1</v>
      </c>
    </row>
    <row r="9" spans="1:29" s="113" customFormat="1" ht="14.4">
      <c r="A9" s="375" t="s">
        <v>2374</v>
      </c>
      <c r="B9" s="67" t="s">
        <v>2375</v>
      </c>
      <c r="C9" s="3061" t="s">
        <v>3261</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299"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29" s="386" customFormat="1" ht="28.8">
      <c r="A10" s="380"/>
      <c r="B10" s="381" t="s">
        <v>2378</v>
      </c>
      <c r="C10" s="382" t="s">
        <v>3262</v>
      </c>
      <c r="D10" s="132">
        <v>100</v>
      </c>
      <c r="E10" s="383" t="s">
        <v>3116</v>
      </c>
      <c r="F10" s="384">
        <f>SUMIF(65:65,E10,66:66)-SUMIF(65:65,C10,66:66)+100</f>
        <v>115</v>
      </c>
      <c r="G10" s="383" t="s">
        <v>3116</v>
      </c>
      <c r="H10" s="132">
        <f>SUMIF(65:65,G10,66:66)-SUMIF(65:65,C10,66:66)+100</f>
        <v>115</v>
      </c>
      <c r="I10" s="383" t="s">
        <v>3116</v>
      </c>
      <c r="J10" s="132">
        <f>SUMIF(65:65,I10,66:66)-SUMIF(65:65,C10,66:66)+100</f>
        <v>115</v>
      </c>
      <c r="K10" s="3087">
        <v>5</v>
      </c>
      <c r="L10" s="2946"/>
      <c r="M10" s="2947"/>
      <c r="N10" s="2947"/>
      <c r="O10" s="2947"/>
      <c r="P10" s="3299"/>
      <c r="Q10" s="1525" t="str">
        <f t="shared" si="6"/>
        <v>土地使用年限（年）</v>
      </c>
      <c r="R10" s="709" t="s">
        <v>17</v>
      </c>
      <c r="S10" s="710">
        <f t="shared" si="0"/>
        <v>115</v>
      </c>
      <c r="T10" s="709" t="s">
        <v>17</v>
      </c>
      <c r="U10" s="710">
        <f t="shared" si="1"/>
        <v>115</v>
      </c>
      <c r="V10" s="709" t="s">
        <v>17</v>
      </c>
      <c r="W10" s="710">
        <f t="shared" si="2"/>
        <v>115</v>
      </c>
      <c r="X10" s="711"/>
      <c r="Y10" s="3257"/>
      <c r="Z10" s="55" t="str">
        <f t="shared" si="7"/>
        <v>土地使用年限（年）</v>
      </c>
      <c r="AA10" s="712">
        <f t="shared" si="3"/>
        <v>0.86956521739130432</v>
      </c>
      <c r="AB10" s="712">
        <f t="shared" si="4"/>
        <v>0.86956521739130432</v>
      </c>
      <c r="AC10" s="712">
        <f t="shared" si="5"/>
        <v>0.86956521739130432</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299"/>
      <c r="Q11" s="1525" t="str">
        <f t="shared" si="6"/>
        <v>容积率</v>
      </c>
      <c r="R11" s="709" t="s">
        <v>17</v>
      </c>
      <c r="S11" s="710">
        <f t="shared" si="0"/>
        <v>100</v>
      </c>
      <c r="T11" s="709" t="s">
        <v>17</v>
      </c>
      <c r="U11" s="710">
        <f t="shared" si="1"/>
        <v>100</v>
      </c>
      <c r="V11" s="709" t="s">
        <v>17</v>
      </c>
      <c r="W11" s="710">
        <f t="shared" si="2"/>
        <v>100</v>
      </c>
      <c r="X11" s="711"/>
      <c r="Y11" s="3257"/>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9"/>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9"/>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15.6"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9"/>
      <c r="Q14" s="1525">
        <f t="shared" si="6"/>
        <v>111</v>
      </c>
      <c r="R14" s="709" t="s">
        <v>17</v>
      </c>
      <c r="S14" s="710">
        <f t="shared" si="0"/>
        <v>100</v>
      </c>
      <c r="T14" s="709" t="s">
        <v>17</v>
      </c>
      <c r="U14" s="710">
        <f t="shared" si="1"/>
        <v>100</v>
      </c>
      <c r="V14" s="709" t="s">
        <v>17</v>
      </c>
      <c r="W14" s="710">
        <f t="shared" si="2"/>
        <v>100</v>
      </c>
      <c r="X14" s="711"/>
      <c r="Y14" s="3257"/>
      <c r="Z14" s="55">
        <f t="shared" si="7"/>
        <v>111</v>
      </c>
      <c r="AA14" s="712">
        <f t="shared" si="3"/>
        <v>1</v>
      </c>
      <c r="AB14" s="712">
        <f t="shared" si="4"/>
        <v>1</v>
      </c>
      <c r="AC14" s="712">
        <f t="shared" si="5"/>
        <v>1</v>
      </c>
    </row>
    <row r="15" spans="1:29" ht="55.2">
      <c r="A15" s="399" t="s">
        <v>2380</v>
      </c>
      <c r="B15" s="65" t="s">
        <v>2474</v>
      </c>
      <c r="C15" s="2080" t="str">
        <f>估价对象房地状况!C4</f>
        <v>估价对象位于XX商圈，周边商业氛围成熟，人流量大，商业繁华度好</v>
      </c>
      <c r="D15" s="400">
        <v>100</v>
      </c>
      <c r="E15" s="401"/>
      <c r="F15" s="402">
        <f>SUMIF(76:76,E16,77:77)-SUMIF(76:76,C16,77:77)+100</f>
        <v>98</v>
      </c>
      <c r="G15" s="403"/>
      <c r="H15" s="400">
        <f>SUMIF(76:76,G16,77:77)-SUMIF(76:76,C16,77:77)+100</f>
        <v>100</v>
      </c>
      <c r="I15" s="401"/>
      <c r="J15" s="400">
        <f>SUMIF(76:76,I16,77:77)-SUMIF(76:76,C16,77:77)+100</f>
        <v>100</v>
      </c>
      <c r="K15" s="571">
        <v>2</v>
      </c>
      <c r="L15" s="2949"/>
      <c r="M15" s="2943"/>
      <c r="N15" s="2943"/>
      <c r="O15" s="2943"/>
      <c r="P15" s="3319" t="s">
        <v>2381</v>
      </c>
      <c r="Q15" s="1534" t="str">
        <f t="shared" si="6"/>
        <v>商业繁华度</v>
      </c>
      <c r="R15" s="713" t="s">
        <v>17</v>
      </c>
      <c r="S15" s="714">
        <f t="shared" si="0"/>
        <v>98</v>
      </c>
      <c r="T15" s="713" t="s">
        <v>17</v>
      </c>
      <c r="U15" s="714">
        <f t="shared" si="1"/>
        <v>100</v>
      </c>
      <c r="V15" s="713" t="s">
        <v>17</v>
      </c>
      <c r="W15" s="714">
        <f t="shared" si="2"/>
        <v>100</v>
      </c>
      <c r="X15" s="1537"/>
      <c r="Y15" s="3321" t="s">
        <v>2381</v>
      </c>
      <c r="Z15" s="1538" t="str">
        <f t="shared" si="7"/>
        <v>商业繁华度</v>
      </c>
      <c r="AA15" s="1535">
        <f t="shared" si="3"/>
        <v>1.0204081632653061</v>
      </c>
      <c r="AB15" s="1535">
        <f t="shared" si="4"/>
        <v>1</v>
      </c>
      <c r="AC15" s="1535">
        <f t="shared" si="5"/>
        <v>1</v>
      </c>
    </row>
    <row r="16" spans="1:29" ht="15">
      <c r="A16" s="387"/>
      <c r="B16" s="405"/>
      <c r="C16" s="406" t="s">
        <v>3083</v>
      </c>
      <c r="D16" s="407"/>
      <c r="E16" s="406" t="s">
        <v>3085</v>
      </c>
      <c r="F16" s="408"/>
      <c r="G16" s="406" t="s">
        <v>3083</v>
      </c>
      <c r="H16" s="409"/>
      <c r="I16" s="406" t="s">
        <v>3083</v>
      </c>
      <c r="J16" s="407"/>
      <c r="K16" s="572"/>
      <c r="L16" s="2949"/>
      <c r="M16" s="2943"/>
      <c r="N16" s="2943"/>
      <c r="O16" s="2943"/>
      <c r="P16" s="3320"/>
      <c r="Q16" s="1534"/>
      <c r="R16" s="713"/>
      <c r="S16" s="714"/>
      <c r="T16" s="713"/>
      <c r="U16" s="714"/>
      <c r="V16" s="713"/>
      <c r="W16" s="714"/>
      <c r="X16" s="1537"/>
      <c r="Y16" s="3322"/>
      <c r="Z16" s="1538"/>
      <c r="AA16" s="1535">
        <v>1</v>
      </c>
      <c r="AB16" s="1535">
        <v>1</v>
      </c>
      <c r="AC16" s="1535">
        <v>1</v>
      </c>
    </row>
    <row r="17" spans="1:29" ht="69">
      <c r="A17" s="387"/>
      <c r="B17" s="410" t="s">
        <v>1945</v>
      </c>
      <c r="C17" s="2084" t="str">
        <f>估价对象房地状况!C6</f>
        <v>估价对象周边道路状况、公共交通通达情况、停车便捷程度，综合评价交通便捷度较好</v>
      </c>
      <c r="D17" s="409">
        <v>100</v>
      </c>
      <c r="E17" s="411"/>
      <c r="F17" s="412">
        <f>SUMIF(78:78,E18,79:79)-SUMIF(78:78,C18,79:79)+100</f>
        <v>98</v>
      </c>
      <c r="G17" s="413"/>
      <c r="H17" s="414">
        <f>SUMIF(78:78,G18,79:79)-SUMIF(78:78,C18,79:79)+100</f>
        <v>98</v>
      </c>
      <c r="I17" s="411"/>
      <c r="J17" s="414">
        <f>SUMIF(78:78,I18,79:79)-SUMIF(78:78,C18,79:79)+100</f>
        <v>100</v>
      </c>
      <c r="K17" s="571">
        <v>2</v>
      </c>
      <c r="L17" s="2949"/>
      <c r="M17" s="2943"/>
      <c r="N17" s="2943"/>
      <c r="O17" s="2943"/>
      <c r="P17" s="3320"/>
      <c r="Q17" s="1534" t="str">
        <f>B17</f>
        <v>交通便捷度</v>
      </c>
      <c r="R17" s="713" t="s">
        <v>17</v>
      </c>
      <c r="S17" s="714">
        <f>F17</f>
        <v>98</v>
      </c>
      <c r="T17" s="713" t="s">
        <v>17</v>
      </c>
      <c r="U17" s="714">
        <f>H17</f>
        <v>98</v>
      </c>
      <c r="V17" s="713" t="s">
        <v>17</v>
      </c>
      <c r="W17" s="714">
        <f>J17</f>
        <v>100</v>
      </c>
      <c r="X17" s="1537"/>
      <c r="Y17" s="3322"/>
      <c r="Z17" s="1538" t="str">
        <f>Q17</f>
        <v>交通便捷度</v>
      </c>
      <c r="AA17" s="1535">
        <f t="shared" si="3"/>
        <v>1.0204081632653061</v>
      </c>
      <c r="AB17" s="1535">
        <f t="shared" si="4"/>
        <v>1.0204081632653061</v>
      </c>
      <c r="AC17" s="1535">
        <f t="shared" si="5"/>
        <v>1</v>
      </c>
    </row>
    <row r="18" spans="1:29" ht="15">
      <c r="A18" s="387"/>
      <c r="B18" s="415"/>
      <c r="C18" s="2085" t="s">
        <v>3083</v>
      </c>
      <c r="D18" s="409"/>
      <c r="E18" s="2087" t="s">
        <v>3085</v>
      </c>
      <c r="F18" s="412"/>
      <c r="G18" s="2086" t="s">
        <v>3085</v>
      </c>
      <c r="H18" s="407"/>
      <c r="I18" s="2087" t="s">
        <v>3083</v>
      </c>
      <c r="J18" s="407"/>
      <c r="K18" s="572"/>
      <c r="L18" s="2949"/>
      <c r="M18" s="2943"/>
      <c r="N18" s="2943"/>
      <c r="O18" s="2943"/>
      <c r="P18" s="3320"/>
      <c r="Q18" s="1534"/>
      <c r="R18" s="713"/>
      <c r="S18" s="714"/>
      <c r="T18" s="713"/>
      <c r="U18" s="714"/>
      <c r="V18" s="713"/>
      <c r="W18" s="714"/>
      <c r="X18" s="1537"/>
      <c r="Y18" s="3322"/>
      <c r="Z18" s="1538"/>
      <c r="AA18" s="1535">
        <v>1</v>
      </c>
      <c r="AB18" s="1535">
        <v>1</v>
      </c>
      <c r="AC18" s="1535">
        <v>1</v>
      </c>
    </row>
    <row r="19" spans="1:29" ht="41.4">
      <c r="A19" s="387"/>
      <c r="B19" s="410" t="s">
        <v>2475</v>
      </c>
      <c r="C19" s="2084" t="str">
        <f>估价对象房地状况!C7</f>
        <v>估价对象所在区域公共配套设施齐备情况</v>
      </c>
      <c r="D19" s="414">
        <v>100</v>
      </c>
      <c r="E19" s="416"/>
      <c r="F19" s="417">
        <f>SUMIF(80:80,E20,81:81)-SUMIF(80:80,C20,81:81)+100</f>
        <v>98</v>
      </c>
      <c r="G19" s="418"/>
      <c r="H19" s="409">
        <f>SUMIF(80:80,G20,81:81)-SUMIF(80:80,C20,81:81)+100</f>
        <v>100</v>
      </c>
      <c r="I19" s="416"/>
      <c r="J19" s="409">
        <f>SUMIF(80:80,I20,81:81)-SUMIF(80:80,C20,81:81)+100</f>
        <v>100</v>
      </c>
      <c r="K19" s="571">
        <v>2</v>
      </c>
      <c r="L19" s="2949"/>
      <c r="M19" s="2943"/>
      <c r="N19" s="2943"/>
      <c r="O19" s="2943"/>
      <c r="P19" s="3320"/>
      <c r="Q19" s="1534" t="str">
        <f>B19</f>
        <v>公共配套设施</v>
      </c>
      <c r="R19" s="713" t="s">
        <v>17</v>
      </c>
      <c r="S19" s="714">
        <f>F19</f>
        <v>98</v>
      </c>
      <c r="T19" s="713" t="s">
        <v>17</v>
      </c>
      <c r="U19" s="714">
        <f>H19</f>
        <v>100</v>
      </c>
      <c r="V19" s="713" t="s">
        <v>17</v>
      </c>
      <c r="W19" s="714">
        <f>J19</f>
        <v>100</v>
      </c>
      <c r="X19" s="1537"/>
      <c r="Y19" s="3322"/>
      <c r="Z19" s="1538" t="str">
        <f>Q19</f>
        <v>公共配套设施</v>
      </c>
      <c r="AA19" s="1535">
        <f t="shared" si="3"/>
        <v>1.0204081632653061</v>
      </c>
      <c r="AB19" s="1535">
        <f t="shared" si="4"/>
        <v>1</v>
      </c>
      <c r="AC19" s="1535">
        <f t="shared" si="5"/>
        <v>1</v>
      </c>
    </row>
    <row r="20" spans="1:29" ht="15">
      <c r="A20" s="387"/>
      <c r="B20" s="415"/>
      <c r="C20" s="406" t="s">
        <v>3083</v>
      </c>
      <c r="D20" s="407"/>
      <c r="E20" s="406" t="s">
        <v>3085</v>
      </c>
      <c r="F20" s="408"/>
      <c r="G20" s="406" t="s">
        <v>3083</v>
      </c>
      <c r="H20" s="407"/>
      <c r="I20" s="406" t="s">
        <v>3083</v>
      </c>
      <c r="J20" s="407"/>
      <c r="K20" s="572"/>
      <c r="L20" s="2949"/>
      <c r="M20" s="2943"/>
      <c r="N20" s="2943"/>
      <c r="O20" s="2943"/>
      <c r="P20" s="3320"/>
      <c r="Q20" s="1534"/>
      <c r="R20" s="713"/>
      <c r="S20" s="714"/>
      <c r="T20" s="713"/>
      <c r="U20" s="714"/>
      <c r="V20" s="713"/>
      <c r="W20" s="714"/>
      <c r="X20" s="1537"/>
      <c r="Y20" s="3322"/>
      <c r="Z20" s="1538"/>
      <c r="AA20" s="1535">
        <v>1</v>
      </c>
      <c r="AB20" s="1535">
        <v>1</v>
      </c>
      <c r="AC20" s="1535">
        <v>1</v>
      </c>
    </row>
    <row r="21" spans="1:29" ht="27.6">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49"/>
      <c r="M21" s="2943"/>
      <c r="N21" s="2943"/>
      <c r="O21" s="2943"/>
      <c r="P21" s="3320"/>
      <c r="Q21" s="1534" t="str">
        <f>B21</f>
        <v>基础设施水平</v>
      </c>
      <c r="R21" s="713" t="s">
        <v>17</v>
      </c>
      <c r="S21" s="714">
        <f>F21</f>
        <v>100</v>
      </c>
      <c r="T21" s="713" t="s">
        <v>17</v>
      </c>
      <c r="U21" s="714">
        <f>H21</f>
        <v>100</v>
      </c>
      <c r="V21" s="713" t="s">
        <v>17</v>
      </c>
      <c r="W21" s="714">
        <f>J21</f>
        <v>100</v>
      </c>
      <c r="X21" s="1537"/>
      <c r="Y21" s="3322"/>
      <c r="Z21" s="1538" t="str">
        <f>Q21</f>
        <v>基础设施水平</v>
      </c>
      <c r="AA21" s="1535">
        <f t="shared" ref="AA21" si="8">D21/F21</f>
        <v>1</v>
      </c>
      <c r="AB21" s="1535">
        <f t="shared" ref="AB21" si="9">D21/H21</f>
        <v>1</v>
      </c>
      <c r="AC21" s="1535">
        <f t="shared" ref="AC21" si="10">D21/J21</f>
        <v>1</v>
      </c>
    </row>
    <row r="22" spans="1:29" ht="15">
      <c r="A22" s="387"/>
      <c r="B22" s="1292"/>
      <c r="C22" s="2085" t="s">
        <v>3245</v>
      </c>
      <c r="D22" s="407"/>
      <c r="E22" s="2085" t="s">
        <v>3245</v>
      </c>
      <c r="F22" s="408"/>
      <c r="G22" s="2085" t="s">
        <v>3245</v>
      </c>
      <c r="H22" s="407"/>
      <c r="I22" s="2085" t="s">
        <v>3245</v>
      </c>
      <c r="J22" s="407"/>
      <c r="K22" s="1291"/>
      <c r="L22" s="2949"/>
      <c r="M22" s="2943"/>
      <c r="N22" s="2943"/>
      <c r="O22" s="2943"/>
      <c r="P22" s="3320"/>
      <c r="Q22" s="1534"/>
      <c r="R22" s="713"/>
      <c r="S22" s="714"/>
      <c r="T22" s="713"/>
      <c r="U22" s="714"/>
      <c r="V22" s="713"/>
      <c r="W22" s="714"/>
      <c r="X22" s="1537"/>
      <c r="Y22" s="3322"/>
      <c r="Z22" s="1538"/>
      <c r="AA22" s="1535">
        <v>1</v>
      </c>
      <c r="AB22" s="1535">
        <v>1</v>
      </c>
      <c r="AC22" s="1535">
        <v>1</v>
      </c>
    </row>
    <row r="23" spans="1:29" ht="41.4">
      <c r="A23" s="387"/>
      <c r="B23" s="410" t="s">
        <v>1947</v>
      </c>
      <c r="C23" s="2139" t="str">
        <f>估价对象房地状况!C9</f>
        <v>区域自然环境：；人文环境；综合评价环境状况一般</v>
      </c>
      <c r="D23" s="409">
        <v>100</v>
      </c>
      <c r="E23" s="411"/>
      <c r="F23" s="412">
        <f>SUMIF(84:84,E24,85:85)-SUMIF(84:84,C24,85:85)+100</f>
        <v>98</v>
      </c>
      <c r="G23" s="413"/>
      <c r="H23" s="409">
        <f>SUMIF(84:84,G24,85:85)-SUMIF(84:84,C24,85:85)+100</f>
        <v>100</v>
      </c>
      <c r="I23" s="411"/>
      <c r="J23" s="409">
        <f>SUMIF(84:84,I24,85:85)-SUMIF(84:84,C24,85:85)+100</f>
        <v>100</v>
      </c>
      <c r="K23" s="571">
        <v>2</v>
      </c>
      <c r="L23" s="2949"/>
      <c r="M23" s="2943"/>
      <c r="N23" s="2943"/>
      <c r="O23" s="2943"/>
      <c r="P23" s="3320"/>
      <c r="Q23" s="1534" t="str">
        <f>B23</f>
        <v>自然及人文环境</v>
      </c>
      <c r="R23" s="713" t="s">
        <v>17</v>
      </c>
      <c r="S23" s="714">
        <f>F23</f>
        <v>98</v>
      </c>
      <c r="T23" s="713" t="s">
        <v>17</v>
      </c>
      <c r="U23" s="714">
        <f>H23</f>
        <v>100</v>
      </c>
      <c r="V23" s="713" t="s">
        <v>17</v>
      </c>
      <c r="W23" s="714">
        <f>J23</f>
        <v>100</v>
      </c>
      <c r="X23" s="1537"/>
      <c r="Y23" s="3322"/>
      <c r="Z23" s="1538" t="str">
        <f>Q23</f>
        <v>自然及人文环境</v>
      </c>
      <c r="AA23" s="1535">
        <f t="shared" si="3"/>
        <v>1.0204081632653061</v>
      </c>
      <c r="AB23" s="1535">
        <f t="shared" si="4"/>
        <v>1</v>
      </c>
      <c r="AC23" s="1535">
        <f t="shared" si="5"/>
        <v>1</v>
      </c>
    </row>
    <row r="24" spans="1:29" ht="15">
      <c r="A24" s="387"/>
      <c r="B24" s="415"/>
      <c r="C24" s="406" t="s">
        <v>3083</v>
      </c>
      <c r="D24" s="407"/>
      <c r="E24" s="2082" t="s">
        <v>3085</v>
      </c>
      <c r="F24" s="408"/>
      <c r="G24" s="2081" t="s">
        <v>3083</v>
      </c>
      <c r="H24" s="407"/>
      <c r="I24" s="2082" t="s">
        <v>3083</v>
      </c>
      <c r="J24" s="407"/>
      <c r="K24" s="572"/>
      <c r="L24" s="2949"/>
      <c r="M24" s="2943"/>
      <c r="N24" s="2943"/>
      <c r="O24" s="2943"/>
      <c r="P24" s="3320"/>
      <c r="Q24" s="1534"/>
      <c r="R24" s="713"/>
      <c r="S24" s="714"/>
      <c r="T24" s="713"/>
      <c r="U24" s="714"/>
      <c r="V24" s="713"/>
      <c r="W24" s="714"/>
      <c r="X24" s="1537"/>
      <c r="Y24" s="3322"/>
      <c r="Z24" s="1538"/>
      <c r="AA24" s="1535">
        <v>1</v>
      </c>
      <c r="AB24" s="1535">
        <v>1</v>
      </c>
      <c r="AC24" s="1535">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20"/>
      <c r="Q25" s="1534" t="str">
        <f t="shared" ref="Q25:Q46" si="11">B25</f>
        <v>临街状况</v>
      </c>
      <c r="R25" s="713" t="s">
        <v>17</v>
      </c>
      <c r="S25" s="714">
        <f>F25</f>
        <v>100</v>
      </c>
      <c r="T25" s="713" t="s">
        <v>17</v>
      </c>
      <c r="U25" s="714">
        <f>H25</f>
        <v>100</v>
      </c>
      <c r="V25" s="713" t="s">
        <v>17</v>
      </c>
      <c r="W25" s="714">
        <f>J25</f>
        <v>100</v>
      </c>
      <c r="X25" s="1537"/>
      <c r="Y25" s="3322"/>
      <c r="Z25" s="1538" t="str">
        <f>Q25</f>
        <v>临街状况</v>
      </c>
      <c r="AA25" s="1535">
        <f t="shared" si="3"/>
        <v>1</v>
      </c>
      <c r="AB25" s="1535">
        <f t="shared" si="4"/>
        <v>1</v>
      </c>
      <c r="AC25" s="1535">
        <f t="shared" si="5"/>
        <v>1</v>
      </c>
    </row>
    <row r="26" spans="1:29" ht="15">
      <c r="A26" s="387"/>
      <c r="B26" s="1294" t="s">
        <v>2478</v>
      </c>
      <c r="C26" s="3085" t="s">
        <v>3284</v>
      </c>
      <c r="D26" s="394">
        <v>100</v>
      </c>
      <c r="E26" s="3085" t="s">
        <v>3281</v>
      </c>
      <c r="F26" s="420">
        <f>SUMIF(88:88,E26,89:89)-SUMIF(88:88,C26,89:89)+100</f>
        <v>115</v>
      </c>
      <c r="G26" s="3085" t="s">
        <v>3281</v>
      </c>
      <c r="H26" s="394">
        <f>SUMIF(88:88,G26,89:89)-SUMIF(88:88,C26,89:89)+100</f>
        <v>115</v>
      </c>
      <c r="I26" s="3085" t="s">
        <v>3281</v>
      </c>
      <c r="J26" s="394">
        <f>SUMIF(88:88,I26,89:89)-SUMIF(88:88,C26,89:89)+100</f>
        <v>115</v>
      </c>
      <c r="K26" s="570"/>
      <c r="L26" s="2949"/>
      <c r="M26" s="2943"/>
      <c r="N26" s="2943"/>
      <c r="O26" s="2943"/>
      <c r="P26" s="3320"/>
      <c r="Q26" s="1534" t="str">
        <f t="shared" si="11"/>
        <v>平面位置/可视性</v>
      </c>
      <c r="R26" s="713" t="s">
        <v>17</v>
      </c>
      <c r="S26" s="714">
        <f>F26</f>
        <v>115</v>
      </c>
      <c r="T26" s="713" t="s">
        <v>17</v>
      </c>
      <c r="U26" s="714">
        <f>H26</f>
        <v>115</v>
      </c>
      <c r="V26" s="713" t="s">
        <v>17</v>
      </c>
      <c r="W26" s="714">
        <f>J26</f>
        <v>115</v>
      </c>
      <c r="X26" s="1537"/>
      <c r="Y26" s="3322"/>
      <c r="Z26" s="1538" t="str">
        <f>Q26</f>
        <v>平面位置/可视性</v>
      </c>
      <c r="AA26" s="1535">
        <f t="shared" si="3"/>
        <v>0.86956521739130432</v>
      </c>
      <c r="AB26" s="1535">
        <f t="shared" si="4"/>
        <v>0.86956521739130432</v>
      </c>
      <c r="AC26" s="1535">
        <f t="shared" si="5"/>
        <v>0.86956521739130432</v>
      </c>
    </row>
    <row r="27" spans="1:29" s="113" customFormat="1" ht="15">
      <c r="A27" s="390"/>
      <c r="B27" s="410" t="s">
        <v>2479</v>
      </c>
      <c r="C27" s="2140" t="s">
        <v>3263</v>
      </c>
      <c r="D27" s="421">
        <v>100</v>
      </c>
      <c r="E27" s="2140" t="s">
        <v>3085</v>
      </c>
      <c r="F27" s="423">
        <f>SUMIF(90:90,E27,91:91)-SUMIF(90:90,C27,91:91)+100</f>
        <v>95</v>
      </c>
      <c r="G27" s="2140" t="s">
        <v>3263</v>
      </c>
      <c r="H27" s="421">
        <f>SUMIF(90:90,G27,91:91)-SUMIF(90:90,C27,91:91)+100</f>
        <v>100</v>
      </c>
      <c r="I27" s="2140" t="s">
        <v>3263</v>
      </c>
      <c r="J27" s="421">
        <f>SUMIF(90:90,I27,91:91)-SUMIF(90:90,C27,91:91)+100</f>
        <v>100</v>
      </c>
      <c r="K27" s="569">
        <v>5</v>
      </c>
      <c r="L27" s="2944"/>
      <c r="M27" s="2945"/>
      <c r="N27" s="2945"/>
      <c r="O27" s="2945"/>
      <c r="P27" s="3320"/>
      <c r="Q27" s="1525" t="str">
        <f t="shared" si="11"/>
        <v>人流量</v>
      </c>
      <c r="R27" s="709" t="s">
        <v>17</v>
      </c>
      <c r="S27" s="710">
        <f>F27</f>
        <v>95</v>
      </c>
      <c r="T27" s="709" t="s">
        <v>17</v>
      </c>
      <c r="U27" s="710">
        <f>H27</f>
        <v>100</v>
      </c>
      <c r="V27" s="709" t="s">
        <v>17</v>
      </c>
      <c r="W27" s="710">
        <f>J27</f>
        <v>100</v>
      </c>
      <c r="X27" s="711"/>
      <c r="Y27" s="3322"/>
      <c r="Z27" s="55" t="str">
        <f>Q27</f>
        <v>人流量</v>
      </c>
      <c r="AA27" s="1535">
        <f>D27/F27</f>
        <v>1.0526315789473684</v>
      </c>
      <c r="AB27" s="1535">
        <f>D27/H27</f>
        <v>1</v>
      </c>
      <c r="AC27" s="1535">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320"/>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22"/>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20"/>
      <c r="Q29" s="1534">
        <f t="shared" si="11"/>
        <v>111</v>
      </c>
      <c r="R29" s="713" t="s">
        <v>17</v>
      </c>
      <c r="S29" s="714">
        <f t="shared" si="12"/>
        <v>100</v>
      </c>
      <c r="T29" s="713" t="s">
        <v>17</v>
      </c>
      <c r="U29" s="714">
        <f t="shared" si="13"/>
        <v>100</v>
      </c>
      <c r="V29" s="713" t="s">
        <v>17</v>
      </c>
      <c r="W29" s="714">
        <f t="shared" si="14"/>
        <v>100</v>
      </c>
      <c r="X29" s="1537"/>
      <c r="Y29" s="3322"/>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20"/>
      <c r="Q30" s="1534">
        <f t="shared" si="11"/>
        <v>111</v>
      </c>
      <c r="R30" s="713" t="s">
        <v>17</v>
      </c>
      <c r="S30" s="714">
        <f t="shared" si="12"/>
        <v>100</v>
      </c>
      <c r="T30" s="713" t="s">
        <v>17</v>
      </c>
      <c r="U30" s="714">
        <f t="shared" si="13"/>
        <v>100</v>
      </c>
      <c r="V30" s="713" t="s">
        <v>17</v>
      </c>
      <c r="W30" s="714">
        <f t="shared" si="14"/>
        <v>100</v>
      </c>
      <c r="X30" s="1537"/>
      <c r="Y30" s="3322"/>
      <c r="Z30" s="1538">
        <f t="shared" si="15"/>
        <v>111</v>
      </c>
      <c r="AA30" s="1535">
        <f t="shared" si="3"/>
        <v>1</v>
      </c>
      <c r="AB30" s="1535">
        <f t="shared" si="4"/>
        <v>1</v>
      </c>
      <c r="AC30" s="1535">
        <f t="shared" si="5"/>
        <v>1</v>
      </c>
    </row>
    <row r="31" spans="1:29" ht="15.6"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20"/>
      <c r="Q31" s="1534">
        <f t="shared" si="11"/>
        <v>111</v>
      </c>
      <c r="R31" s="713" t="s">
        <v>17</v>
      </c>
      <c r="S31" s="714">
        <f t="shared" si="12"/>
        <v>100</v>
      </c>
      <c r="T31" s="713" t="s">
        <v>17</v>
      </c>
      <c r="U31" s="714">
        <f t="shared" si="13"/>
        <v>100</v>
      </c>
      <c r="V31" s="713" t="s">
        <v>17</v>
      </c>
      <c r="W31" s="714">
        <f t="shared" si="14"/>
        <v>100</v>
      </c>
      <c r="X31" s="1537"/>
      <c r="Y31" s="3322"/>
      <c r="Z31" s="1538">
        <f t="shared" si="15"/>
        <v>111</v>
      </c>
      <c r="AA31" s="1535">
        <f t="shared" si="3"/>
        <v>1</v>
      </c>
      <c r="AB31" s="1535">
        <f t="shared" si="4"/>
        <v>1</v>
      </c>
      <c r="AC31" s="1535">
        <f t="shared" si="5"/>
        <v>1</v>
      </c>
    </row>
    <row r="32" spans="1:29" ht="15">
      <c r="A32" s="399" t="s">
        <v>2384</v>
      </c>
      <c r="B32" s="67" t="s">
        <v>2481</v>
      </c>
      <c r="C32" s="2094" t="s">
        <v>3273</v>
      </c>
      <c r="D32" s="426">
        <v>100</v>
      </c>
      <c r="E32" s="2094" t="s">
        <v>3277</v>
      </c>
      <c r="F32" s="420">
        <f>SUMIF(100:100,E32,101:101)-SUMIF(100:100,C32,101:101)+100</f>
        <v>98</v>
      </c>
      <c r="G32" s="2094" t="s">
        <v>3277</v>
      </c>
      <c r="H32" s="394">
        <f>SUMIF(100:100,G32,101:101)-SUMIF(100:100,C32,101:101)+100</f>
        <v>98</v>
      </c>
      <c r="I32" s="2094" t="s">
        <v>3277</v>
      </c>
      <c r="J32" s="426">
        <f>SUMIF(100:100,I32,101:101)-SUMIF(100:100,C32,101:101)+100</f>
        <v>98</v>
      </c>
      <c r="K32" s="569">
        <v>1</v>
      </c>
      <c r="L32" s="2949"/>
      <c r="M32" s="2943"/>
      <c r="N32" s="2943"/>
      <c r="O32" s="2943"/>
      <c r="P32" s="3323" t="s">
        <v>2386</v>
      </c>
      <c r="Q32" s="1534" t="str">
        <f t="shared" si="11"/>
        <v>商业类型</v>
      </c>
      <c r="R32" s="713" t="s">
        <v>17</v>
      </c>
      <c r="S32" s="714">
        <f t="shared" si="12"/>
        <v>98</v>
      </c>
      <c r="T32" s="713" t="s">
        <v>17</v>
      </c>
      <c r="U32" s="714">
        <f t="shared" si="13"/>
        <v>98</v>
      </c>
      <c r="V32" s="713" t="s">
        <v>17</v>
      </c>
      <c r="W32" s="714">
        <f t="shared" si="14"/>
        <v>98</v>
      </c>
      <c r="X32" s="1537"/>
      <c r="Y32" s="3326" t="s">
        <v>2386</v>
      </c>
      <c r="Z32" s="1538" t="str">
        <f t="shared" si="15"/>
        <v>商业类型</v>
      </c>
      <c r="AA32" s="1535">
        <f t="shared" si="3"/>
        <v>1.0204081632653061</v>
      </c>
      <c r="AB32" s="1535">
        <f t="shared" si="4"/>
        <v>1.0204081632653061</v>
      </c>
      <c r="AC32" s="1535">
        <f t="shared" si="5"/>
        <v>1.0204081632653061</v>
      </c>
    </row>
    <row r="33" spans="1:29" s="430" customFormat="1" ht="15">
      <c r="A33" s="427"/>
      <c r="B33" s="381" t="s">
        <v>2387</v>
      </c>
      <c r="C33" s="428">
        <f>Sheet1!G12</f>
        <v>15347.3</v>
      </c>
      <c r="D33" s="132">
        <v>100</v>
      </c>
      <c r="E33" s="389">
        <v>44</v>
      </c>
      <c r="F33" s="384">
        <f>LOOKUP(E33,103:103,104:104)-LOOKUP(C33,103:103,104:104)+100</f>
        <v>102.5</v>
      </c>
      <c r="G33" s="388">
        <v>142</v>
      </c>
      <c r="H33" s="132">
        <f>LOOKUP(G33,103:103,104:104)-LOOKUP(C33,103:103,104:104)+100</f>
        <v>102</v>
      </c>
      <c r="I33" s="388">
        <v>249</v>
      </c>
      <c r="J33" s="132">
        <f>LOOKUP(I33,103:103,104:104)-LOOKUP(C33,103:103,104:104)+100</f>
        <v>102</v>
      </c>
      <c r="K33" s="570"/>
      <c r="L33" s="2948"/>
      <c r="M33" s="2950"/>
      <c r="N33" s="2950"/>
      <c r="O33" s="2950"/>
      <c r="P33" s="3324"/>
      <c r="Q33" s="715" t="str">
        <f t="shared" si="11"/>
        <v>项目建筑规模</v>
      </c>
      <c r="R33" s="716" t="s">
        <v>17</v>
      </c>
      <c r="S33" s="717">
        <f t="shared" si="12"/>
        <v>102.5</v>
      </c>
      <c r="T33" s="716" t="s">
        <v>17</v>
      </c>
      <c r="U33" s="717">
        <f t="shared" si="13"/>
        <v>102</v>
      </c>
      <c r="V33" s="716" t="s">
        <v>17</v>
      </c>
      <c r="W33" s="717">
        <f t="shared" si="14"/>
        <v>102</v>
      </c>
      <c r="X33" s="718"/>
      <c r="Y33" s="3326"/>
      <c r="Z33" s="719" t="str">
        <f t="shared" si="15"/>
        <v>项目建筑规模</v>
      </c>
      <c r="AA33" s="1535">
        <f t="shared" si="3"/>
        <v>0.97560975609756095</v>
      </c>
      <c r="AB33" s="1535">
        <f t="shared" si="4"/>
        <v>0.98039215686274506</v>
      </c>
      <c r="AC33" s="1535">
        <f t="shared" si="5"/>
        <v>0.98039215686274506</v>
      </c>
    </row>
    <row r="34" spans="1:29" ht="15">
      <c r="A34" s="431"/>
      <c r="B34" s="381" t="s">
        <v>2388</v>
      </c>
      <c r="C34" s="2096" t="s">
        <v>3076</v>
      </c>
      <c r="D34" s="394">
        <v>100</v>
      </c>
      <c r="E34" s="2096" t="s">
        <v>3076</v>
      </c>
      <c r="F34" s="420">
        <f>SUMIF(105:105,E34,106:106)-SUMIF(105:105,C34,106:106)+100</f>
        <v>100</v>
      </c>
      <c r="G34" s="2096" t="s">
        <v>3076</v>
      </c>
      <c r="H34" s="394">
        <f>SUMIF(105:105,G34,106:106)-SUMIF(105:105,C34,106:106)+100</f>
        <v>100</v>
      </c>
      <c r="I34" s="2096" t="s">
        <v>3076</v>
      </c>
      <c r="J34" s="394">
        <f>SUMIF(105:105,I34,106:106)-SUMIF(105:105,C34,106:106)+100</f>
        <v>100</v>
      </c>
      <c r="K34" s="569">
        <v>2</v>
      </c>
      <c r="L34" s="2949"/>
      <c r="M34" s="2943"/>
      <c r="N34" s="2943"/>
      <c r="O34" s="2943"/>
      <c r="P34" s="3324"/>
      <c r="Q34" s="1534" t="str">
        <f t="shared" si="11"/>
        <v>建筑结构</v>
      </c>
      <c r="R34" s="713" t="s">
        <v>17</v>
      </c>
      <c r="S34" s="714">
        <f t="shared" si="12"/>
        <v>100</v>
      </c>
      <c r="T34" s="713" t="s">
        <v>17</v>
      </c>
      <c r="U34" s="714">
        <f t="shared" si="13"/>
        <v>100</v>
      </c>
      <c r="V34" s="713" t="s">
        <v>17</v>
      </c>
      <c r="W34" s="714">
        <f t="shared" si="14"/>
        <v>100</v>
      </c>
      <c r="X34" s="1537"/>
      <c r="Y34" s="3326"/>
      <c r="Z34" s="1538" t="str">
        <f t="shared" si="15"/>
        <v>建筑结构</v>
      </c>
      <c r="AA34" s="1535">
        <f t="shared" si="3"/>
        <v>1</v>
      </c>
      <c r="AB34" s="1535">
        <f t="shared" si="4"/>
        <v>1</v>
      </c>
      <c r="AC34" s="1535">
        <f t="shared" si="5"/>
        <v>1</v>
      </c>
    </row>
    <row r="35" spans="1:29" ht="15">
      <c r="A35" s="431"/>
      <c r="B35" s="381" t="s">
        <v>2482</v>
      </c>
      <c r="C35" s="2090" t="s">
        <v>3089</v>
      </c>
      <c r="D35" s="394">
        <v>100</v>
      </c>
      <c r="E35" s="2090" t="s">
        <v>3089</v>
      </c>
      <c r="F35" s="420">
        <f>SUMIF(107:107,E35,108:108)-SUMIF(107:107,C35,108:108)+100</f>
        <v>100</v>
      </c>
      <c r="G35" s="2090" t="s">
        <v>3089</v>
      </c>
      <c r="H35" s="394">
        <f>SUMIF(107:107,G35,108:108)-SUMIF(107:107,C35,108:108)+100</f>
        <v>100</v>
      </c>
      <c r="I35" s="2090" t="s">
        <v>3089</v>
      </c>
      <c r="J35" s="394">
        <f>SUMIF(107:107,I35,108:108)-SUMIF(107:107,C35,108:108)+100</f>
        <v>100</v>
      </c>
      <c r="K35" s="569">
        <v>2</v>
      </c>
      <c r="L35" s="2949"/>
      <c r="M35" s="2943"/>
      <c r="N35" s="2943"/>
      <c r="O35" s="2943"/>
      <c r="P35" s="3324"/>
      <c r="Q35" s="1534" t="str">
        <f t="shared" si="11"/>
        <v>公共部分装修</v>
      </c>
      <c r="R35" s="713" t="s">
        <v>17</v>
      </c>
      <c r="S35" s="714">
        <f t="shared" si="12"/>
        <v>100</v>
      </c>
      <c r="T35" s="713" t="s">
        <v>17</v>
      </c>
      <c r="U35" s="714">
        <f t="shared" si="13"/>
        <v>100</v>
      </c>
      <c r="V35" s="713" t="s">
        <v>17</v>
      </c>
      <c r="W35" s="714">
        <f t="shared" si="14"/>
        <v>100</v>
      </c>
      <c r="X35" s="1537"/>
      <c r="Y35" s="3326"/>
      <c r="Z35" s="1538" t="str">
        <f t="shared" si="15"/>
        <v>公共部分装修</v>
      </c>
      <c r="AA35" s="1535">
        <f t="shared" si="3"/>
        <v>1</v>
      </c>
      <c r="AB35" s="1535">
        <f t="shared" si="4"/>
        <v>1</v>
      </c>
      <c r="AC35" s="1535">
        <f t="shared" si="5"/>
        <v>1</v>
      </c>
    </row>
    <row r="36" spans="1:29" ht="15">
      <c r="A36" s="431"/>
      <c r="B36" s="381" t="s">
        <v>2483</v>
      </c>
      <c r="C36" s="433">
        <f>'数据-取费表'!N6</f>
        <v>0.81</v>
      </c>
      <c r="D36" s="394">
        <v>100</v>
      </c>
      <c r="E36" s="433">
        <v>1</v>
      </c>
      <c r="F36" s="420">
        <f>LOOKUP(E36,110:110,111:111)-LOOKUP(C36,110:110,111:111)+100</f>
        <v>102</v>
      </c>
      <c r="G36" s="433">
        <v>1</v>
      </c>
      <c r="H36" s="420">
        <f>LOOKUP(G36,110:110,111:111)-LOOKUP(C36,110:110,111:111)+100</f>
        <v>102</v>
      </c>
      <c r="I36" s="433">
        <v>1</v>
      </c>
      <c r="J36" s="394">
        <f>LOOKUP(I36,110:110,111:111)-LOOKUP(C36,110:110,111:111)+100</f>
        <v>102</v>
      </c>
      <c r="K36" s="569">
        <v>2</v>
      </c>
      <c r="L36" s="2949"/>
      <c r="M36" s="2943"/>
      <c r="N36" s="2943"/>
      <c r="O36" s="2943"/>
      <c r="P36" s="3324"/>
      <c r="Q36" s="1534" t="str">
        <f t="shared" si="11"/>
        <v>成新度</v>
      </c>
      <c r="R36" s="713" t="s">
        <v>17</v>
      </c>
      <c r="S36" s="714">
        <f t="shared" si="12"/>
        <v>102</v>
      </c>
      <c r="T36" s="713" t="s">
        <v>17</v>
      </c>
      <c r="U36" s="714">
        <f t="shared" si="13"/>
        <v>102</v>
      </c>
      <c r="V36" s="713" t="s">
        <v>17</v>
      </c>
      <c r="W36" s="714">
        <f t="shared" si="14"/>
        <v>102</v>
      </c>
      <c r="X36" s="1537"/>
      <c r="Y36" s="3326"/>
      <c r="Z36" s="1538" t="str">
        <f t="shared" si="15"/>
        <v>成新度</v>
      </c>
      <c r="AA36" s="1535">
        <f t="shared" si="3"/>
        <v>0.98039215686274506</v>
      </c>
      <c r="AB36" s="1535">
        <f t="shared" si="4"/>
        <v>0.98039215686274506</v>
      </c>
      <c r="AC36" s="1535">
        <f t="shared" si="5"/>
        <v>0.98039215686274506</v>
      </c>
    </row>
    <row r="37" spans="1:29" s="113" customFormat="1" ht="15">
      <c r="A37" s="432"/>
      <c r="B37" s="381" t="s">
        <v>2484</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24"/>
      <c r="Q37" s="1525" t="str">
        <f t="shared" si="11"/>
        <v>市政基础设施</v>
      </c>
      <c r="R37" s="709" t="s">
        <v>17</v>
      </c>
      <c r="S37" s="710">
        <f t="shared" si="12"/>
        <v>100</v>
      </c>
      <c r="T37" s="709" t="s">
        <v>17</v>
      </c>
      <c r="U37" s="710">
        <f t="shared" si="13"/>
        <v>100</v>
      </c>
      <c r="V37" s="709" t="s">
        <v>17</v>
      </c>
      <c r="W37" s="710">
        <f t="shared" si="14"/>
        <v>100</v>
      </c>
      <c r="X37" s="711"/>
      <c r="Y37" s="3326"/>
      <c r="Z37" s="55" t="str">
        <f t="shared" si="15"/>
        <v>市政基础设施</v>
      </c>
      <c r="AA37" s="712">
        <f t="shared" si="3"/>
        <v>1</v>
      </c>
      <c r="AB37" s="712">
        <f t="shared" si="4"/>
        <v>1</v>
      </c>
      <c r="AC37" s="712">
        <f t="shared" si="5"/>
        <v>1</v>
      </c>
    </row>
    <row r="38" spans="1:29" ht="15">
      <c r="A38" s="431"/>
      <c r="B38" s="381" t="s">
        <v>2485</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v>5</v>
      </c>
      <c r="L38" s="2949"/>
      <c r="M38" s="2943"/>
      <c r="N38" s="2943"/>
      <c r="O38" s="2943"/>
      <c r="P38" s="3324" t="s">
        <v>2386</v>
      </c>
      <c r="Q38" s="1534" t="str">
        <f t="shared" si="11"/>
        <v>业态</v>
      </c>
      <c r="R38" s="713" t="s">
        <v>17</v>
      </c>
      <c r="S38" s="714">
        <f t="shared" si="12"/>
        <v>100</v>
      </c>
      <c r="T38" s="713" t="s">
        <v>17</v>
      </c>
      <c r="U38" s="714">
        <f t="shared" si="13"/>
        <v>100</v>
      </c>
      <c r="V38" s="713" t="s">
        <v>17</v>
      </c>
      <c r="W38" s="714">
        <f t="shared" si="14"/>
        <v>100</v>
      </c>
      <c r="X38" s="1537"/>
      <c r="Y38" s="3326" t="s">
        <v>2386</v>
      </c>
      <c r="Z38" s="1538" t="str">
        <f t="shared" si="15"/>
        <v>业态</v>
      </c>
      <c r="AA38" s="1535">
        <f t="shared" si="3"/>
        <v>1</v>
      </c>
      <c r="AB38" s="1535">
        <f t="shared" si="4"/>
        <v>1</v>
      </c>
      <c r="AC38" s="1535">
        <f t="shared" si="5"/>
        <v>1</v>
      </c>
    </row>
    <row r="39" spans="1:29" ht="15">
      <c r="A39" s="431"/>
      <c r="B39" s="381" t="s">
        <v>2486</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v>10</v>
      </c>
      <c r="L39" s="2949"/>
      <c r="M39" s="2943"/>
      <c r="N39" s="2943"/>
      <c r="O39" s="2943"/>
      <c r="P39" s="3324"/>
      <c r="Q39" s="1534" t="str">
        <f t="shared" si="11"/>
        <v>层高</v>
      </c>
      <c r="R39" s="713" t="s">
        <v>17</v>
      </c>
      <c r="S39" s="714">
        <f t="shared" si="12"/>
        <v>100</v>
      </c>
      <c r="T39" s="713" t="s">
        <v>17</v>
      </c>
      <c r="U39" s="714">
        <f t="shared" si="13"/>
        <v>100</v>
      </c>
      <c r="V39" s="713" t="s">
        <v>17</v>
      </c>
      <c r="W39" s="714">
        <f t="shared" si="14"/>
        <v>100</v>
      </c>
      <c r="X39" s="1537"/>
      <c r="Y39" s="3326"/>
      <c r="Z39" s="1538" t="str">
        <f t="shared" si="15"/>
        <v>层高</v>
      </c>
      <c r="AA39" s="1535">
        <f t="shared" si="3"/>
        <v>1</v>
      </c>
      <c r="AB39" s="1535">
        <f t="shared" si="4"/>
        <v>1</v>
      </c>
      <c r="AC39" s="1535">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24"/>
      <c r="Q40" s="1534" t="str">
        <f t="shared" si="11"/>
        <v>单套建筑面积</v>
      </c>
      <c r="R40" s="713" t="s">
        <v>17</v>
      </c>
      <c r="S40" s="714">
        <f t="shared" si="12"/>
        <v>100</v>
      </c>
      <c r="T40" s="713" t="s">
        <v>17</v>
      </c>
      <c r="U40" s="714">
        <f t="shared" si="13"/>
        <v>100</v>
      </c>
      <c r="V40" s="713" t="s">
        <v>17</v>
      </c>
      <c r="W40" s="714">
        <f t="shared" si="14"/>
        <v>100</v>
      </c>
      <c r="X40" s="1537"/>
      <c r="Y40" s="3326"/>
      <c r="Z40" s="1538" t="str">
        <f t="shared" si="15"/>
        <v>单套建筑面积</v>
      </c>
      <c r="AA40" s="1535">
        <f t="shared" si="3"/>
        <v>1</v>
      </c>
      <c r="AB40" s="1535">
        <f t="shared" si="4"/>
        <v>1</v>
      </c>
      <c r="AC40" s="1535">
        <f t="shared" si="5"/>
        <v>1</v>
      </c>
    </row>
    <row r="41" spans="1:29" s="430" customFormat="1" ht="15">
      <c r="A41" s="427"/>
      <c r="B41" s="1536" t="s">
        <v>2488</v>
      </c>
      <c r="C41" s="573" t="s">
        <v>3117</v>
      </c>
      <c r="D41" s="394">
        <v>100</v>
      </c>
      <c r="E41" s="573" t="s">
        <v>3083</v>
      </c>
      <c r="F41" s="420">
        <f>SUMIF(120:120,E41,121:121)-SUMIF(120:120,C41,121:121)+100</f>
        <v>120</v>
      </c>
      <c r="G41" s="573" t="s">
        <v>3083</v>
      </c>
      <c r="H41" s="394">
        <f>SUMIF(120:120,G41,121:121)-SUMIF(120:120,C41,121:121)+100</f>
        <v>120</v>
      </c>
      <c r="I41" s="573" t="s">
        <v>3083</v>
      </c>
      <c r="J41" s="394">
        <f>SUMIF(120:120,I41,121:121)-SUMIF(120:120,C41,121:121)+100</f>
        <v>120</v>
      </c>
      <c r="K41" s="569">
        <v>10</v>
      </c>
      <c r="L41" s="2948"/>
      <c r="M41" s="2950"/>
      <c r="N41" s="2950"/>
      <c r="O41" s="2950"/>
      <c r="P41" s="3324"/>
      <c r="Q41" s="715" t="str">
        <f t="shared" si="11"/>
        <v>进深比</v>
      </c>
      <c r="R41" s="716" t="s">
        <v>17</v>
      </c>
      <c r="S41" s="717">
        <f t="shared" si="12"/>
        <v>120</v>
      </c>
      <c r="T41" s="716" t="s">
        <v>17</v>
      </c>
      <c r="U41" s="717">
        <f t="shared" si="13"/>
        <v>120</v>
      </c>
      <c r="V41" s="716" t="s">
        <v>17</v>
      </c>
      <c r="W41" s="717">
        <f t="shared" si="14"/>
        <v>120</v>
      </c>
      <c r="X41" s="718"/>
      <c r="Y41" s="3326"/>
      <c r="Z41" s="719" t="str">
        <f t="shared" si="15"/>
        <v>进深比</v>
      </c>
      <c r="AA41" s="1535">
        <f t="shared" si="3"/>
        <v>0.83333333333333337</v>
      </c>
      <c r="AB41" s="1535">
        <f t="shared" si="4"/>
        <v>0.83333333333333337</v>
      </c>
      <c r="AC41" s="1535">
        <f t="shared" si="5"/>
        <v>0.83333333333333337</v>
      </c>
    </row>
    <row r="42" spans="1:29" ht="15">
      <c r="A42" s="431"/>
      <c r="B42" s="381" t="s">
        <v>2489</v>
      </c>
      <c r="C42" s="2090" t="s">
        <v>3268</v>
      </c>
      <c r="D42" s="394">
        <v>100</v>
      </c>
      <c r="E42" s="2090" t="s">
        <v>3102</v>
      </c>
      <c r="F42" s="420">
        <f>SUMIF(122:122,E42,123:123)-SUMIF(122:122,C42,123:123)+100</f>
        <v>99</v>
      </c>
      <c r="G42" s="2090" t="s">
        <v>3102</v>
      </c>
      <c r="H42" s="394">
        <f>SUMIF(122:122,G42,123:123)-SUMIF(122:122,C42,123:123)+100</f>
        <v>99</v>
      </c>
      <c r="I42" s="2090" t="s">
        <v>3102</v>
      </c>
      <c r="J42" s="394">
        <f>SUMIF(122:122,I42,123:123)-SUMIF(122:122,C42,123:123)+100</f>
        <v>99</v>
      </c>
      <c r="K42" s="569">
        <v>1</v>
      </c>
      <c r="L42" s="2949"/>
      <c r="M42" s="2943"/>
      <c r="N42" s="2943"/>
      <c r="O42" s="2943"/>
      <c r="P42" s="3324"/>
      <c r="Q42" s="1534" t="str">
        <f t="shared" si="11"/>
        <v>内部装修</v>
      </c>
      <c r="R42" s="713" t="s">
        <v>17</v>
      </c>
      <c r="S42" s="714">
        <f t="shared" si="12"/>
        <v>99</v>
      </c>
      <c r="T42" s="713" t="s">
        <v>17</v>
      </c>
      <c r="U42" s="714">
        <f t="shared" si="13"/>
        <v>99</v>
      </c>
      <c r="V42" s="713" t="s">
        <v>17</v>
      </c>
      <c r="W42" s="714">
        <f t="shared" si="14"/>
        <v>99</v>
      </c>
      <c r="X42" s="1537"/>
      <c r="Y42" s="3326"/>
      <c r="Z42" s="1538" t="str">
        <f t="shared" si="15"/>
        <v>内部装修</v>
      </c>
      <c r="AA42" s="1535">
        <f t="shared" si="3"/>
        <v>1.0101010101010102</v>
      </c>
      <c r="AB42" s="1535">
        <f t="shared" si="4"/>
        <v>1.0101010101010102</v>
      </c>
      <c r="AC42" s="1535">
        <f t="shared" si="5"/>
        <v>1.0101010101010102</v>
      </c>
    </row>
    <row r="43" spans="1:29" ht="28.8">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24"/>
      <c r="Q43" s="1534" t="str">
        <f t="shared" si="11"/>
        <v>内部装修维护情况</v>
      </c>
      <c r="R43" s="713" t="s">
        <v>17</v>
      </c>
      <c r="S43" s="714">
        <f t="shared" si="12"/>
        <v>100</v>
      </c>
      <c r="T43" s="713" t="s">
        <v>17</v>
      </c>
      <c r="U43" s="714">
        <f t="shared" si="13"/>
        <v>100</v>
      </c>
      <c r="V43" s="713" t="s">
        <v>17</v>
      </c>
      <c r="W43" s="714">
        <f t="shared" si="14"/>
        <v>100</v>
      </c>
      <c r="X43" s="1537"/>
      <c r="Y43" s="3326"/>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24"/>
      <c r="Q44" s="1525">
        <f t="shared" si="11"/>
        <v>111</v>
      </c>
      <c r="R44" s="709" t="s">
        <v>17</v>
      </c>
      <c r="S44" s="710">
        <f t="shared" si="12"/>
        <v>100</v>
      </c>
      <c r="T44" s="709" t="s">
        <v>17</v>
      </c>
      <c r="U44" s="710">
        <f t="shared" si="13"/>
        <v>100</v>
      </c>
      <c r="V44" s="709" t="s">
        <v>17</v>
      </c>
      <c r="W44" s="710">
        <f t="shared" si="14"/>
        <v>100</v>
      </c>
      <c r="X44" s="711"/>
      <c r="Y44" s="3326"/>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24"/>
      <c r="Q45" s="1534">
        <f t="shared" si="11"/>
        <v>111</v>
      </c>
      <c r="R45" s="713" t="s">
        <v>17</v>
      </c>
      <c r="S45" s="714">
        <f t="shared" si="12"/>
        <v>100</v>
      </c>
      <c r="T45" s="713" t="s">
        <v>17</v>
      </c>
      <c r="U45" s="714">
        <f t="shared" si="13"/>
        <v>100</v>
      </c>
      <c r="V45" s="713" t="s">
        <v>17</v>
      </c>
      <c r="W45" s="714">
        <f t="shared" si="14"/>
        <v>100</v>
      </c>
      <c r="X45" s="1537"/>
      <c r="Y45" s="3326"/>
      <c r="Z45" s="1538">
        <f t="shared" si="15"/>
        <v>111</v>
      </c>
      <c r="AA45" s="1535">
        <f t="shared" si="3"/>
        <v>1</v>
      </c>
      <c r="AB45" s="1535">
        <f t="shared" si="4"/>
        <v>1</v>
      </c>
      <c r="AC45" s="1535">
        <f t="shared" si="5"/>
        <v>1</v>
      </c>
    </row>
    <row r="46" spans="1:29" ht="15.6"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25"/>
      <c r="Q46" s="1534">
        <f t="shared" si="11"/>
        <v>111</v>
      </c>
      <c r="R46" s="713" t="s">
        <v>17</v>
      </c>
      <c r="S46" s="714">
        <f t="shared" si="12"/>
        <v>100</v>
      </c>
      <c r="T46" s="713" t="s">
        <v>17</v>
      </c>
      <c r="U46" s="714">
        <f t="shared" si="13"/>
        <v>100</v>
      </c>
      <c r="V46" s="713" t="s">
        <v>17</v>
      </c>
      <c r="W46" s="714">
        <f t="shared" si="14"/>
        <v>100</v>
      </c>
      <c r="X46" s="1537"/>
      <c r="Y46" s="3327"/>
      <c r="Z46" s="1538">
        <f t="shared" si="15"/>
        <v>111</v>
      </c>
      <c r="AA46" s="1535">
        <f t="shared" si="3"/>
        <v>1</v>
      </c>
      <c r="AB46" s="1535">
        <f t="shared" si="4"/>
        <v>1</v>
      </c>
      <c r="AC46" s="1535">
        <f t="shared" si="5"/>
        <v>1</v>
      </c>
    </row>
    <row r="47" spans="1:29" ht="14.4">
      <c r="A47" s="438" t="s">
        <v>2398</v>
      </c>
      <c r="B47" s="439"/>
      <c r="C47" s="1315" t="s">
        <v>1</v>
      </c>
      <c r="D47" s="1316"/>
      <c r="E47" s="1317">
        <v>18000</v>
      </c>
      <c r="F47" s="1318"/>
      <c r="G47" s="1319">
        <v>24426</v>
      </c>
      <c r="H47" s="1320"/>
      <c r="I47" s="1317">
        <v>24270</v>
      </c>
      <c r="J47" s="1320"/>
      <c r="K47" s="722"/>
      <c r="L47" s="2951"/>
      <c r="M47" s="2952"/>
      <c r="N47" s="2943"/>
      <c r="O47" s="2952"/>
      <c r="P47" s="3328" t="str">
        <f>A47</f>
        <v>成交单价（元/平方米）</v>
      </c>
      <c r="Q47" s="3328"/>
      <c r="R47" s="3316">
        <f>E47</f>
        <v>18000</v>
      </c>
      <c r="S47" s="3316"/>
      <c r="T47" s="3316">
        <f>G47</f>
        <v>24426</v>
      </c>
      <c r="U47" s="3316"/>
      <c r="V47" s="3316">
        <f>I47</f>
        <v>24270</v>
      </c>
      <c r="W47" s="3316"/>
      <c r="X47" s="698"/>
      <c r="Y47" s="720"/>
      <c r="Z47" s="698"/>
      <c r="AA47" s="698"/>
      <c r="AB47" s="698"/>
      <c r="AC47" s="698"/>
    </row>
    <row r="48" spans="1:29" ht="15" thickBot="1">
      <c r="A48" s="445" t="s">
        <v>2490</v>
      </c>
      <c r="B48" s="446"/>
      <c r="C48" s="1321">
        <f>R49</f>
        <v>14490</v>
      </c>
      <c r="D48" s="2536" t="s">
        <v>2879</v>
      </c>
      <c r="E48" s="1322">
        <f>R48</f>
        <v>12761</v>
      </c>
      <c r="F48" s="2537"/>
      <c r="G48" s="1321">
        <f>T48</f>
        <v>15559</v>
      </c>
      <c r="H48" s="2537"/>
      <c r="I48" s="1322">
        <f>V48</f>
        <v>15151</v>
      </c>
      <c r="J48" s="2537"/>
      <c r="K48" s="2539">
        <f>F48+H48+J48</f>
        <v>0</v>
      </c>
      <c r="L48" s="2951"/>
      <c r="M48" s="2952"/>
      <c r="N48" s="2943"/>
      <c r="O48" s="2952"/>
      <c r="P48" s="3328" t="str">
        <f>A48</f>
        <v>比较价值（元/平方米）</v>
      </c>
      <c r="Q48" s="3328"/>
      <c r="R48" s="3329">
        <f>IF(F1="售价",ROUND(PRODUCT(R47,AA7:AA46),0),ROUND(PRODUCT(R47,AA7:AA46),1))</f>
        <v>12761</v>
      </c>
      <c r="S48" s="3329"/>
      <c r="T48" s="3329">
        <f>IF(F1="售价",ROUND(PRODUCT(T47,AB7:AB46),0),ROUND(PRODUCT(T47,AB7:AB46),1))</f>
        <v>15559</v>
      </c>
      <c r="U48" s="3329"/>
      <c r="V48" s="3329">
        <f>IF(F1="售价",ROUND(PRODUCT(V47,AC7:AC46),0),ROUND(PRODUCT(V47,AC7:AC46),1))</f>
        <v>15151</v>
      </c>
      <c r="W48" s="3329"/>
      <c r="X48" s="698"/>
      <c r="Y48" s="698"/>
      <c r="Z48" s="698"/>
      <c r="AA48" s="698"/>
      <c r="AB48" s="698"/>
      <c r="AC48" s="698"/>
    </row>
    <row r="49" spans="1:29" ht="15" thickBot="1">
      <c r="A49" s="449" t="s">
        <v>2491</v>
      </c>
      <c r="B49" s="450"/>
      <c r="C49" s="1324">
        <f>R49</f>
        <v>14490</v>
      </c>
      <c r="D49" s="1324"/>
      <c r="E49" s="1324"/>
      <c r="F49" s="1324"/>
      <c r="G49" s="1324"/>
      <c r="H49" s="1324"/>
      <c r="I49" s="1324"/>
      <c r="J49" s="1324"/>
      <c r="K49" s="723"/>
      <c r="L49" s="2951"/>
      <c r="M49" s="2952"/>
      <c r="N49" s="2943"/>
      <c r="O49" s="2952"/>
      <c r="P49" s="3341" t="str">
        <f>A49</f>
        <v>估价对象XX用房的比较价值（楼面单价，元/平方米）</v>
      </c>
      <c r="Q49" s="3342"/>
      <c r="R49" s="3343">
        <f>IF(F1="售价",ROUND(IF(D48="简单平均",AVERAGE(R48:V48),R48*F48+T48*H48+V48*J48),0),ROUND(IF(D48="简单平均",AVERAGE(R48:V48),R48*F48+T48*H48+V48*J48),1))</f>
        <v>14490</v>
      </c>
      <c r="S49" s="3343"/>
      <c r="T49" s="3343"/>
      <c r="U49" s="3343"/>
      <c r="V49" s="3343"/>
      <c r="W49" s="3343"/>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0.41054776271452087</v>
      </c>
      <c r="F52" s="457" t="str">
        <f>IF(OR(E52&gt;=0.3,E52&lt;=-0.3),"超过30%","")</f>
        <v>超过30%</v>
      </c>
      <c r="G52" s="456">
        <f>IF(G47&lt;G48,G48/G47-1,G47/G48-1)</f>
        <v>0.56989523748312876</v>
      </c>
      <c r="H52" s="457" t="str">
        <f>IF(OR(G52&gt;=0.3,G52&lt;=-0.3),"超过30%","")</f>
        <v>超过30%</v>
      </c>
      <c r="I52" s="456">
        <f>IF(I47&lt;I48,I48/I47-1,I47/I48-1)</f>
        <v>0.60187446373176678</v>
      </c>
      <c r="J52" s="457" t="str">
        <f>IF(OR(I52&gt;=0.3,I52&lt;=-0.3),"超过30%","")</f>
        <v>超过30%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0.21926181333751282</v>
      </c>
      <c r="F53" s="457" t="str">
        <f>IF(OR(E53&gt;=0.2,E53&lt;=-0.2),"超过20%","")</f>
        <v>超过20%</v>
      </c>
      <c r="G53" s="456">
        <f>IF(G48&lt;I48,I48/G48-1,G48/I48-1)</f>
        <v>2.692891558312982E-2</v>
      </c>
      <c r="H53" s="457" t="str">
        <f>IF(OR(G53&gt;=0.2,G53&lt;=-0.2),"超过20%","")</f>
        <v/>
      </c>
      <c r="I53" s="456">
        <f>IF(I48&lt;E48,E48/I48-1,I48/E48-1)</f>
        <v>0.18728939738265016</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0.35699999999999998</v>
      </c>
      <c r="F54" s="457" t="str">
        <f>IF(OR(E54&gt;=0.3,E54&lt;=-0.3),"超过30%","")</f>
        <v>超过30%</v>
      </c>
      <c r="G54" s="456">
        <f>IF(G47&lt;I47,I47/G47-1,G47/I47-1)</f>
        <v>6.4276885043264009E-3</v>
      </c>
      <c r="H54" s="457" t="str">
        <f>IF(OR(G54&gt;=0.3,G54&lt;=-0.3),"超过30%","")</f>
        <v/>
      </c>
      <c r="I54" s="456">
        <f>IF(I47&lt;E47,E47/I47-1,I47/E47-1)</f>
        <v>0.34833333333333338</v>
      </c>
      <c r="J54" s="457" t="str">
        <f>IF(OR(I54&gt;=0.3,I54&lt;=-0.3),"超过30%","")</f>
        <v>超过30%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2.2"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4.4">
      <c r="A58" s="462" t="s">
        <v>2369</v>
      </c>
      <c r="B58" s="463"/>
      <c r="C58" s="1344" t="str">
        <f>YEAR(C7)&amp;"-"&amp;MONTH(C7)</f>
        <v>2021-12</v>
      </c>
      <c r="D58" s="1345">
        <f>EDATE(C58,-1)</f>
        <v>44501</v>
      </c>
      <c r="E58" s="1345">
        <f t="shared" ref="E58:N58" si="16">EDATE(D58,-1)</f>
        <v>44470</v>
      </c>
      <c r="F58" s="1345">
        <f t="shared" si="16"/>
        <v>44440</v>
      </c>
      <c r="G58" s="1345">
        <f t="shared" si="16"/>
        <v>44409</v>
      </c>
      <c r="H58" s="1345">
        <f t="shared" si="16"/>
        <v>44378</v>
      </c>
      <c r="I58" s="1345">
        <f t="shared" si="16"/>
        <v>44348</v>
      </c>
      <c r="J58" s="1345">
        <f t="shared" si="16"/>
        <v>44317</v>
      </c>
      <c r="K58" s="1345">
        <f t="shared" si="16"/>
        <v>44287</v>
      </c>
      <c r="L58" s="1345">
        <f t="shared" si="16"/>
        <v>44256</v>
      </c>
      <c r="M58" s="1345">
        <f t="shared" si="16"/>
        <v>44228</v>
      </c>
      <c r="N58" s="1345">
        <f t="shared" si="16"/>
        <v>44197</v>
      </c>
      <c r="O58" s="1345">
        <f>EDATE(N58,-1)</f>
        <v>44166</v>
      </c>
      <c r="P58" s="2967"/>
      <c r="Q58" s="2968"/>
      <c r="R58" s="2968"/>
      <c r="S58" s="2968"/>
      <c r="T58" s="2968"/>
      <c r="U58" s="2968"/>
      <c r="V58" s="2968"/>
      <c r="W58" s="2968"/>
      <c r="X58" s="2968"/>
      <c r="Y58" s="2968"/>
      <c r="Z58" s="2968"/>
      <c r="AA58" s="2968"/>
      <c r="AB58" s="2968"/>
      <c r="AC58" s="2968"/>
    </row>
    <row r="59" spans="1:29" s="113" customFormat="1">
      <c r="A59" s="466"/>
      <c r="B59" s="467"/>
      <c r="C59" s="1343">
        <v>100</v>
      </c>
      <c r="D59" s="469">
        <f>C59-$C$60</f>
        <v>100</v>
      </c>
      <c r="E59" s="469">
        <f t="shared" ref="E59:M59" si="17">D59-$C$60</f>
        <v>100</v>
      </c>
      <c r="F59" s="469">
        <f t="shared" si="17"/>
        <v>100</v>
      </c>
      <c r="G59" s="469">
        <f t="shared" si="17"/>
        <v>100</v>
      </c>
      <c r="H59" s="469">
        <f t="shared" si="17"/>
        <v>100</v>
      </c>
      <c r="I59" s="469">
        <f t="shared" si="17"/>
        <v>100</v>
      </c>
      <c r="J59" s="469">
        <f t="shared" si="17"/>
        <v>100</v>
      </c>
      <c r="K59" s="469">
        <f t="shared" si="17"/>
        <v>100</v>
      </c>
      <c r="L59" s="469">
        <f t="shared" si="17"/>
        <v>100</v>
      </c>
      <c r="M59" s="469">
        <f t="shared" si="17"/>
        <v>100</v>
      </c>
      <c r="N59" s="469"/>
      <c r="O59" s="470"/>
      <c r="P59" s="2969"/>
      <c r="Q59" s="2886"/>
      <c r="R59" s="2886"/>
      <c r="S59" s="2886"/>
      <c r="T59" s="2886"/>
      <c r="U59" s="2886"/>
      <c r="V59" s="2886"/>
      <c r="W59" s="2886"/>
      <c r="X59" s="2886"/>
      <c r="Y59" s="2886"/>
      <c r="Z59" s="2886"/>
      <c r="AA59" s="2886"/>
      <c r="AB59" s="2886"/>
      <c r="AC59" s="2886"/>
    </row>
    <row r="60" spans="1:29" s="113" customFormat="1" ht="15" thickBot="1">
      <c r="A60" s="472" t="s">
        <v>2406</v>
      </c>
      <c r="B60" s="473"/>
      <c r="C60" s="474">
        <v>0</v>
      </c>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4.4">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4.4"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ht="14.4">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4.4"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9.4"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4.4" thickBot="1">
      <c r="A66" s="491"/>
      <c r="B66" s="500"/>
      <c r="C66" s="501" t="s">
        <v>24</v>
      </c>
      <c r="D66" s="501" t="s">
        <v>25</v>
      </c>
      <c r="E66" s="501" t="s">
        <v>26</v>
      </c>
      <c r="F66" s="501">
        <v>100</v>
      </c>
      <c r="G66" s="501">
        <f>F66-$K10</f>
        <v>95</v>
      </c>
      <c r="H66" s="501">
        <f>G66-$K10</f>
        <v>90</v>
      </c>
      <c r="I66" s="501">
        <f>H66-$K10</f>
        <v>85</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 thickTop="1">
      <c r="A67" s="491"/>
      <c r="B67" s="503" t="s">
        <v>2379</v>
      </c>
      <c r="C67" s="504" t="str">
        <f>C68&amp;"（含）"&amp;"-"&amp;D68</f>
        <v>0（含）-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 t="shared" si="18"/>
        <v>（含）-</v>
      </c>
      <c r="L67" s="504" t="str">
        <f t="shared" si="18"/>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4.4"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81"/>
      <c r="O69" s="2981"/>
      <c r="P69" s="2971"/>
      <c r="Q69" s="2966"/>
      <c r="R69" s="2952"/>
      <c r="S69" s="2952"/>
      <c r="T69" s="2952"/>
      <c r="U69" s="2952"/>
      <c r="V69" s="2952"/>
      <c r="W69" s="2952"/>
      <c r="X69" s="2952"/>
      <c r="Y69" s="2952"/>
      <c r="Z69" s="2952"/>
      <c r="AA69" s="2952"/>
      <c r="AB69" s="2952"/>
      <c r="AC69" s="2952"/>
    </row>
    <row r="70" spans="1:29" s="430" customFormat="1" ht="14.4"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4.4"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4.4"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4.4"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4.4"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4.4"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ht="14.4">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4.4"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4.4"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4.4"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 thickTop="1">
      <c r="A82" s="491"/>
      <c r="B82" s="503" t="s">
        <v>2476</v>
      </c>
      <c r="C82" s="616" t="s">
        <v>2496</v>
      </c>
      <c r="D82" s="616" t="s">
        <v>2497</v>
      </c>
      <c r="E82" s="616" t="s">
        <v>2498</v>
      </c>
      <c r="F82" s="616" t="s">
        <v>2499</v>
      </c>
      <c r="G82" s="616" t="s">
        <v>2500</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4.4" thickBot="1">
      <c r="A83" s="491"/>
      <c r="B83" s="503"/>
      <c r="C83" s="501">
        <v>100</v>
      </c>
      <c r="D83" s="501">
        <f>C83-$K21</f>
        <v>99</v>
      </c>
      <c r="E83" s="501">
        <f t="shared" ref="E83:G83" si="20">D83-$K21</f>
        <v>98</v>
      </c>
      <c r="F83" s="501">
        <f t="shared" si="20"/>
        <v>97</v>
      </c>
      <c r="G83" s="501">
        <f t="shared" si="20"/>
        <v>96</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4.4"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4.4" thickBot="1">
      <c r="A87" s="536"/>
      <c r="B87" s="500"/>
      <c r="C87" s="539">
        <v>100</v>
      </c>
      <c r="D87" s="501">
        <f t="shared" ref="D87:M87" si="21">C87-$K25</f>
        <v>100</v>
      </c>
      <c r="E87" s="501">
        <f t="shared" si="21"/>
        <v>100</v>
      </c>
      <c r="F87" s="501">
        <f t="shared" si="21"/>
        <v>100</v>
      </c>
      <c r="G87" s="501">
        <f t="shared" si="21"/>
        <v>100</v>
      </c>
      <c r="H87" s="501">
        <f t="shared" si="21"/>
        <v>100</v>
      </c>
      <c r="I87" s="501">
        <f t="shared" si="21"/>
        <v>100</v>
      </c>
      <c r="J87" s="501">
        <f t="shared" si="21"/>
        <v>100</v>
      </c>
      <c r="K87" s="501">
        <f t="shared" si="21"/>
        <v>100</v>
      </c>
      <c r="L87" s="501">
        <f t="shared" si="21"/>
        <v>100</v>
      </c>
      <c r="M87" s="501">
        <f t="shared" si="21"/>
        <v>100</v>
      </c>
      <c r="N87" s="2981"/>
      <c r="O87" s="2981"/>
      <c r="P87" s="2971"/>
      <c r="Q87" s="2966"/>
      <c r="R87" s="2886"/>
      <c r="S87" s="2886"/>
      <c r="T87" s="2886"/>
      <c r="U87" s="2886"/>
      <c r="V87" s="2886"/>
      <c r="W87" s="2886"/>
      <c r="X87" s="2886"/>
      <c r="Y87" s="2886"/>
      <c r="Z87" s="2886"/>
      <c r="AA87" s="2886"/>
      <c r="AB87" s="2886"/>
      <c r="AC87" s="2886"/>
    </row>
    <row r="88" spans="1:29" s="113" customFormat="1" ht="15" thickTop="1">
      <c r="A88" s="536"/>
      <c r="B88" s="495" t="str">
        <f>B26</f>
        <v>平面位置/可视性</v>
      </c>
      <c r="C88" s="3063" t="s">
        <v>3280</v>
      </c>
      <c r="D88" s="3063" t="s">
        <v>3281</v>
      </c>
      <c r="E88" s="3063" t="s">
        <v>3282</v>
      </c>
      <c r="F88" s="3084" t="s">
        <v>3283</v>
      </c>
      <c r="G88" s="3063" t="s">
        <v>3284</v>
      </c>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4.4" thickBot="1">
      <c r="A89" s="536"/>
      <c r="B89" s="500"/>
      <c r="C89" s="517">
        <v>100</v>
      </c>
      <c r="D89" s="493">
        <v>95</v>
      </c>
      <c r="E89" s="493">
        <v>90</v>
      </c>
      <c r="F89" s="493">
        <v>85</v>
      </c>
      <c r="G89" s="493">
        <v>80</v>
      </c>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 thickTop="1">
      <c r="A90" s="510"/>
      <c r="B90" s="495" t="str">
        <f>B27</f>
        <v>人流量</v>
      </c>
      <c r="C90" s="511"/>
      <c r="D90" s="3063" t="s">
        <v>3264</v>
      </c>
      <c r="E90" s="3063" t="s">
        <v>3265</v>
      </c>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4.4"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82"/>
      <c r="O91" s="2982"/>
      <c r="P91" s="2972"/>
      <c r="Q91" s="2973"/>
      <c r="R91" s="2974"/>
      <c r="S91" s="2974"/>
      <c r="T91" s="2974"/>
      <c r="U91" s="2974"/>
      <c r="V91" s="2974"/>
      <c r="W91" s="2974"/>
      <c r="X91" s="2974"/>
      <c r="Y91" s="2974"/>
      <c r="Z91" s="2974"/>
      <c r="AA91" s="2974"/>
      <c r="AB91" s="2974"/>
      <c r="AC91" s="2974"/>
    </row>
    <row r="92" spans="1:29" ht="14.4"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4.4"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4.4"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4.4"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4.4"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4.4"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4.4"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4.4"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ht="28.8">
      <c r="A100" s="484" t="s">
        <v>2384</v>
      </c>
      <c r="B100" s="485" t="s">
        <v>2502</v>
      </c>
      <c r="C100" s="3062" t="s">
        <v>3274</v>
      </c>
      <c r="D100" s="3062" t="s">
        <v>3275</v>
      </c>
      <c r="E100" s="3062" t="s">
        <v>3276</v>
      </c>
      <c r="F100" s="3062" t="s">
        <v>3278</v>
      </c>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4.4" thickBot="1">
      <c r="A101" s="491"/>
      <c r="B101" s="500"/>
      <c r="C101" s="501">
        <v>100</v>
      </c>
      <c r="D101" s="501">
        <f t="shared" ref="D101:M101" si="23">C101-$K32</f>
        <v>99</v>
      </c>
      <c r="E101" s="501">
        <f t="shared" si="23"/>
        <v>98</v>
      </c>
      <c r="F101" s="501">
        <f t="shared" si="23"/>
        <v>97</v>
      </c>
      <c r="G101" s="501">
        <f t="shared" si="23"/>
        <v>96</v>
      </c>
      <c r="H101" s="501">
        <f t="shared" si="23"/>
        <v>95</v>
      </c>
      <c r="I101" s="501">
        <f t="shared" si="23"/>
        <v>94</v>
      </c>
      <c r="J101" s="501">
        <f t="shared" si="23"/>
        <v>93</v>
      </c>
      <c r="K101" s="501">
        <f t="shared" si="23"/>
        <v>92</v>
      </c>
      <c r="L101" s="501">
        <f t="shared" si="23"/>
        <v>91</v>
      </c>
      <c r="M101" s="502">
        <f t="shared" si="23"/>
        <v>90</v>
      </c>
      <c r="N101" s="2981"/>
      <c r="O101" s="2981"/>
      <c r="P101" s="2971"/>
      <c r="Q101" s="2966"/>
      <c r="R101" s="2952"/>
      <c r="S101" s="2952"/>
      <c r="T101" s="2952"/>
      <c r="U101" s="2952"/>
      <c r="V101" s="2952"/>
      <c r="W101" s="2952"/>
      <c r="X101" s="2952"/>
      <c r="Y101" s="2952"/>
      <c r="Z101" s="2952"/>
      <c r="AA101" s="2952"/>
      <c r="AB101" s="2952"/>
      <c r="AC101" s="2952"/>
    </row>
    <row r="102" spans="1:29" ht="28.2" thickTop="1">
      <c r="A102" s="491"/>
      <c r="B102" s="495" t="s">
        <v>2434</v>
      </c>
      <c r="C102" s="535" t="str">
        <f>C103&amp;"(含)"&amp;"-"&amp;D103</f>
        <v>0(含)-50</v>
      </c>
      <c r="D102" s="535" t="str">
        <f t="shared" ref="D102:L102" si="24">D103&amp;"(含)"&amp;"-"&amp;E103</f>
        <v>50(含)-500</v>
      </c>
      <c r="E102" s="535" t="str">
        <f t="shared" si="24"/>
        <v>500(含)-1000</v>
      </c>
      <c r="F102" s="535" t="str">
        <f t="shared" si="24"/>
        <v>1000(含)-5000</v>
      </c>
      <c r="G102" s="535" t="str">
        <f t="shared" si="24"/>
        <v>5000(含)-10000</v>
      </c>
      <c r="H102" s="535" t="str">
        <f t="shared" si="24"/>
        <v>10000(含)-20000</v>
      </c>
      <c r="I102" s="535" t="str">
        <f t="shared" si="24"/>
        <v>20000(含)-</v>
      </c>
      <c r="J102" s="535" t="str">
        <f t="shared" si="24"/>
        <v>(含)-</v>
      </c>
      <c r="K102" s="535" t="str">
        <f t="shared" si="24"/>
        <v>(含)-</v>
      </c>
      <c r="L102" s="535" t="str">
        <f t="shared" si="24"/>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50</v>
      </c>
      <c r="E103" s="552">
        <v>500</v>
      </c>
      <c r="F103" s="552">
        <v>1000</v>
      </c>
      <c r="G103" s="552">
        <v>5000</v>
      </c>
      <c r="H103" s="552">
        <v>10000</v>
      </c>
      <c r="I103" s="552">
        <v>20000</v>
      </c>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4.4" thickBot="1">
      <c r="A104" s="510"/>
      <c r="B104" s="500"/>
      <c r="C104" s="517">
        <v>100</v>
      </c>
      <c r="D104" s="493">
        <v>99.5</v>
      </c>
      <c r="E104" s="493">
        <v>99</v>
      </c>
      <c r="F104" s="493">
        <v>98.5</v>
      </c>
      <c r="G104" s="493">
        <v>98</v>
      </c>
      <c r="H104" s="493">
        <v>97.5</v>
      </c>
      <c r="I104" s="493">
        <v>97</v>
      </c>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063" t="s">
        <v>3271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4.4"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063" t="s">
        <v>3272</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4.4"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4.4"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4.4" thickBot="1">
      <c r="A113" s="510"/>
      <c r="B113" s="500"/>
      <c r="C113" s="501">
        <v>100</v>
      </c>
      <c r="D113" s="501">
        <f>C113-$K37</f>
        <v>100</v>
      </c>
      <c r="E113" s="501">
        <f t="shared" ref="E113:M113" si="28">D113-$K37</f>
        <v>100</v>
      </c>
      <c r="F113" s="501">
        <f t="shared" si="28"/>
        <v>100</v>
      </c>
      <c r="G113" s="501">
        <f t="shared" si="28"/>
        <v>100</v>
      </c>
      <c r="H113" s="501">
        <f t="shared" si="28"/>
        <v>100</v>
      </c>
      <c r="I113" s="501">
        <f t="shared" si="28"/>
        <v>100</v>
      </c>
      <c r="J113" s="501">
        <f t="shared" si="28"/>
        <v>100</v>
      </c>
      <c r="K113" s="501">
        <f t="shared" si="28"/>
        <v>100</v>
      </c>
      <c r="L113" s="501">
        <f t="shared" si="28"/>
        <v>100</v>
      </c>
      <c r="M113" s="501">
        <f t="shared" si="28"/>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3063" t="s">
        <v>3279</v>
      </c>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4.4" thickBot="1">
      <c r="A115" s="491"/>
      <c r="B115" s="500"/>
      <c r="C115" s="501">
        <v>100</v>
      </c>
      <c r="D115" s="501">
        <f t="shared" ref="D115:M115" si="29">C115-$K38</f>
        <v>95</v>
      </c>
      <c r="E115" s="501">
        <f t="shared" si="29"/>
        <v>90</v>
      </c>
      <c r="F115" s="501">
        <f t="shared" si="29"/>
        <v>85</v>
      </c>
      <c r="G115" s="501">
        <f t="shared" si="29"/>
        <v>80</v>
      </c>
      <c r="H115" s="501">
        <f t="shared" si="29"/>
        <v>75</v>
      </c>
      <c r="I115" s="501">
        <f t="shared" si="29"/>
        <v>70</v>
      </c>
      <c r="J115" s="501">
        <f t="shared" si="29"/>
        <v>65</v>
      </c>
      <c r="K115" s="501">
        <f t="shared" si="29"/>
        <v>60</v>
      </c>
      <c r="L115" s="501">
        <f t="shared" si="29"/>
        <v>55</v>
      </c>
      <c r="M115" s="502">
        <f t="shared" si="29"/>
        <v>50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063" t="s">
        <v>3285</v>
      </c>
      <c r="D116" s="3063" t="s">
        <v>3286</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4.4" thickBot="1">
      <c r="A117" s="491"/>
      <c r="B117" s="500"/>
      <c r="C117" s="501">
        <v>100</v>
      </c>
      <c r="D117" s="501">
        <f>C117-$K39</f>
        <v>90</v>
      </c>
      <c r="E117" s="501">
        <f>D117-$K39</f>
        <v>80</v>
      </c>
      <c r="F117" s="501">
        <f>E117-$K39</f>
        <v>70</v>
      </c>
      <c r="G117" s="501">
        <f>F117-$K39</f>
        <v>60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4.4"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3064" t="s">
        <v>3280</v>
      </c>
      <c r="D120" s="3064" t="s">
        <v>3281</v>
      </c>
      <c r="E120" s="3064" t="s">
        <v>3282</v>
      </c>
      <c r="F120" s="3064" t="s">
        <v>3283</v>
      </c>
      <c r="G120" s="3083" t="s">
        <v>3284</v>
      </c>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4.4" thickBot="1">
      <c r="A121" s="510"/>
      <c r="B121" s="492"/>
      <c r="C121" s="539">
        <v>100</v>
      </c>
      <c r="D121" s="501">
        <f>C121-$K41</f>
        <v>90</v>
      </c>
      <c r="E121" s="501">
        <f t="shared" ref="E121:M121" si="30">D121-$K41</f>
        <v>80</v>
      </c>
      <c r="F121" s="501">
        <f t="shared" si="30"/>
        <v>70</v>
      </c>
      <c r="G121" s="501">
        <f t="shared" si="30"/>
        <v>60</v>
      </c>
      <c r="H121" s="501">
        <f t="shared" si="30"/>
        <v>50</v>
      </c>
      <c r="I121" s="501">
        <f t="shared" si="30"/>
        <v>40</v>
      </c>
      <c r="J121" s="501">
        <f t="shared" si="30"/>
        <v>30</v>
      </c>
      <c r="K121" s="501">
        <f t="shared" si="30"/>
        <v>20</v>
      </c>
      <c r="L121" s="501">
        <f t="shared" si="30"/>
        <v>10</v>
      </c>
      <c r="M121" s="502">
        <f t="shared" si="30"/>
        <v>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063" t="s">
        <v>3266</v>
      </c>
      <c r="D122" s="3063" t="s">
        <v>3267</v>
      </c>
      <c r="E122" s="3063" t="s">
        <v>3269</v>
      </c>
      <c r="F122" s="3064" t="s">
        <v>3270</v>
      </c>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4.4" thickBot="1">
      <c r="A123" s="491"/>
      <c r="B123" s="500"/>
      <c r="C123" s="501">
        <v>100</v>
      </c>
      <c r="D123" s="501">
        <f t="shared" ref="D123:M123" si="31">C123-$K42</f>
        <v>99</v>
      </c>
      <c r="E123" s="501">
        <f t="shared" si="31"/>
        <v>98</v>
      </c>
      <c r="F123" s="501">
        <f t="shared" si="31"/>
        <v>97</v>
      </c>
      <c r="G123" s="501">
        <f t="shared" si="31"/>
        <v>96</v>
      </c>
      <c r="H123" s="501">
        <f t="shared" si="31"/>
        <v>95</v>
      </c>
      <c r="I123" s="501">
        <f t="shared" si="31"/>
        <v>94</v>
      </c>
      <c r="J123" s="501">
        <f t="shared" si="31"/>
        <v>93</v>
      </c>
      <c r="K123" s="501">
        <f t="shared" si="31"/>
        <v>92</v>
      </c>
      <c r="L123" s="501">
        <f t="shared" si="31"/>
        <v>91</v>
      </c>
      <c r="M123" s="502">
        <f t="shared" si="31"/>
        <v>90</v>
      </c>
      <c r="N123" s="2981"/>
      <c r="O123" s="2981"/>
      <c r="P123" s="2971"/>
      <c r="Q123" s="2966"/>
      <c r="R123" s="2952"/>
      <c r="S123" s="2952"/>
      <c r="T123" s="2952"/>
      <c r="U123" s="2952"/>
      <c r="V123" s="2952"/>
      <c r="W123" s="2952"/>
      <c r="X123" s="2952"/>
      <c r="Y123" s="2952"/>
      <c r="Z123" s="2952"/>
      <c r="AA123" s="2952"/>
      <c r="AB123" s="2952"/>
      <c r="AC123" s="2952"/>
    </row>
    <row r="124" spans="1:29" ht="29.4"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4.4"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4.4"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4.4"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4.4"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4.4"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4.4"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5" customWidth="1"/>
    <col min="2" max="2" width="9.21875" style="27" customWidth="1"/>
    <col min="3" max="3" width="5" style="27" customWidth="1"/>
    <col min="4" max="4" width="9" style="27"/>
    <col min="5" max="5" width="6.8867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344" t="s">
        <v>2826</v>
      </c>
      <c r="D1" s="3345"/>
      <c r="E1" s="3345"/>
      <c r="F1" s="3345"/>
      <c r="G1" s="3345"/>
      <c r="H1" s="3345"/>
      <c r="I1" s="3345"/>
      <c r="J1" s="3345"/>
      <c r="K1" s="3345"/>
      <c r="L1" s="3345"/>
      <c r="M1" s="3345"/>
      <c r="N1" s="3345"/>
      <c r="O1" s="3345"/>
      <c r="P1" s="3345"/>
      <c r="Q1" s="3345"/>
      <c r="R1" s="3345"/>
      <c r="S1" s="3346"/>
      <c r="T1" s="1113" t="s">
        <v>2699</v>
      </c>
    </row>
    <row r="2" spans="1:45" s="663" customFormat="1" ht="52.8">
      <c r="A2" s="1114"/>
      <c r="B2" s="659" t="s">
        <v>1751</v>
      </c>
      <c r="C2" s="660" t="str">
        <f t="shared" ref="C2:R2" si="0">C3&amp;"(含)"&amp;"-"&amp;D3</f>
        <v>0(含)-50</v>
      </c>
      <c r="D2" s="661" t="str">
        <f t="shared" si="0"/>
        <v>50(含)-500</v>
      </c>
      <c r="E2" s="661" t="str">
        <f t="shared" si="0"/>
        <v>500(含)-1000</v>
      </c>
      <c r="F2" s="661" t="str">
        <f t="shared" si="0"/>
        <v>1000(含)-5000</v>
      </c>
      <c r="G2" s="661" t="str">
        <f t="shared" si="0"/>
        <v>5000(含)-10000</v>
      </c>
      <c r="H2" s="661" t="str">
        <f t="shared" si="0"/>
        <v>10000(含)-20000</v>
      </c>
      <c r="I2" s="661" t="str">
        <f t="shared" si="0"/>
        <v>20000(含)-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50</v>
      </c>
      <c r="E3" s="665">
        <f>'比较法-商业'!E103</f>
        <v>500</v>
      </c>
      <c r="F3" s="665">
        <f>'比较法-商业'!F103</f>
        <v>1000</v>
      </c>
      <c r="G3" s="665">
        <f>'比较法-商业'!G103</f>
        <v>5000</v>
      </c>
      <c r="H3" s="665">
        <f>'比较法-商业'!H103</f>
        <v>10000</v>
      </c>
      <c r="I3" s="665">
        <f>'比较法-商业'!I103</f>
        <v>20000</v>
      </c>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7"/>
      <c r="B4" s="1118"/>
      <c r="C4" s="1119">
        <f>'比较法-商业'!C104</f>
        <v>100</v>
      </c>
      <c r="D4" s="1119">
        <f>'比较法-商业'!D104</f>
        <v>99.5</v>
      </c>
      <c r="E4" s="1119">
        <f>'比较法-商业'!E104</f>
        <v>99</v>
      </c>
      <c r="F4" s="1119">
        <f>'比较法-商业'!F104</f>
        <v>98.5</v>
      </c>
      <c r="G4" s="1119">
        <f>'比较法-商业'!G104</f>
        <v>98</v>
      </c>
      <c r="H4" s="1119">
        <f>'比较法-商业'!H104</f>
        <v>97.5</v>
      </c>
      <c r="I4" s="1119">
        <f>'比较法-商业'!I104</f>
        <v>97</v>
      </c>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91" t="s">
        <v>3260</v>
      </c>
      <c r="C5" s="1125"/>
      <c r="D5" s="1125"/>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8" thickBot="1">
      <c r="A6" s="1124"/>
      <c r="B6" s="1029"/>
      <c r="C6" s="1035">
        <v>100</v>
      </c>
      <c r="D6" s="1032">
        <f>C6-$T5</f>
        <v>100</v>
      </c>
      <c r="E6" s="1032">
        <f t="shared" ref="E6:S6" si="1">D6-$T5</f>
        <v>100</v>
      </c>
      <c r="F6" s="1482">
        <f t="shared" si="1"/>
        <v>100</v>
      </c>
      <c r="G6" s="1482">
        <f t="shared" si="1"/>
        <v>100</v>
      </c>
      <c r="H6" s="1482">
        <f t="shared" si="1"/>
        <v>100</v>
      </c>
      <c r="I6" s="1482">
        <f t="shared" si="1"/>
        <v>100</v>
      </c>
      <c r="J6" s="1482">
        <f t="shared" si="1"/>
        <v>100</v>
      </c>
      <c r="K6" s="1482">
        <f t="shared" si="1"/>
        <v>100</v>
      </c>
      <c r="L6" s="1482">
        <f t="shared" si="1"/>
        <v>100</v>
      </c>
      <c r="M6" s="1482">
        <f t="shared" si="1"/>
        <v>100</v>
      </c>
      <c r="N6" s="1482">
        <f t="shared" si="1"/>
        <v>100</v>
      </c>
      <c r="O6" s="1482">
        <f t="shared" si="1"/>
        <v>100</v>
      </c>
      <c r="P6" s="1482">
        <f t="shared" si="1"/>
        <v>100</v>
      </c>
      <c r="Q6" s="1482">
        <f t="shared" si="1"/>
        <v>100</v>
      </c>
      <c r="R6" s="1482">
        <f t="shared" si="1"/>
        <v>100</v>
      </c>
      <c r="S6" s="1482">
        <f t="shared" si="1"/>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8" thickBot="1">
      <c r="A8" s="1124"/>
      <c r="B8" s="1029"/>
      <c r="C8" s="1035">
        <v>100</v>
      </c>
      <c r="D8" s="1032">
        <f>C8-$T7</f>
        <v>100</v>
      </c>
      <c r="E8" s="1032">
        <f t="shared" ref="E8:S8" si="2">D8-$T7</f>
        <v>100</v>
      </c>
      <c r="F8" s="1482">
        <f t="shared" si="2"/>
        <v>100</v>
      </c>
      <c r="G8" s="1482">
        <f t="shared" si="2"/>
        <v>100</v>
      </c>
      <c r="H8" s="1482">
        <f t="shared" si="2"/>
        <v>100</v>
      </c>
      <c r="I8" s="1482">
        <f t="shared" si="2"/>
        <v>100</v>
      </c>
      <c r="J8" s="1482">
        <f t="shared" si="2"/>
        <v>100</v>
      </c>
      <c r="K8" s="1482">
        <f t="shared" si="2"/>
        <v>100</v>
      </c>
      <c r="L8" s="1482">
        <f t="shared" si="2"/>
        <v>100</v>
      </c>
      <c r="M8" s="1482">
        <f t="shared" si="2"/>
        <v>100</v>
      </c>
      <c r="N8" s="1482">
        <f t="shared" si="2"/>
        <v>100</v>
      </c>
      <c r="O8" s="1482">
        <f t="shared" si="2"/>
        <v>100</v>
      </c>
      <c r="P8" s="1482">
        <f t="shared" si="2"/>
        <v>100</v>
      </c>
      <c r="Q8" s="1482">
        <f t="shared" si="2"/>
        <v>100</v>
      </c>
      <c r="R8" s="1482">
        <f t="shared" si="2"/>
        <v>100</v>
      </c>
      <c r="S8" s="1482">
        <f t="shared" si="2"/>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8" thickBot="1">
      <c r="A10" s="1124"/>
      <c r="B10" s="1118"/>
      <c r="C10" s="1129">
        <v>100</v>
      </c>
      <c r="D10" s="1130">
        <f>C10-$T9</f>
        <v>100</v>
      </c>
      <c r="E10" s="1130">
        <f t="shared" ref="E10:S10" si="3">D10-$T9</f>
        <v>100</v>
      </c>
      <c r="F10" s="1492">
        <f t="shared" si="3"/>
        <v>100</v>
      </c>
      <c r="G10" s="1492">
        <f t="shared" si="3"/>
        <v>100</v>
      </c>
      <c r="H10" s="1492">
        <f t="shared" si="3"/>
        <v>100</v>
      </c>
      <c r="I10" s="1492">
        <f t="shared" si="3"/>
        <v>100</v>
      </c>
      <c r="J10" s="1492">
        <f t="shared" si="3"/>
        <v>100</v>
      </c>
      <c r="K10" s="1492">
        <f t="shared" si="3"/>
        <v>100</v>
      </c>
      <c r="L10" s="1492">
        <f t="shared" si="3"/>
        <v>100</v>
      </c>
      <c r="M10" s="1492">
        <f t="shared" si="3"/>
        <v>100</v>
      </c>
      <c r="N10" s="1492">
        <f t="shared" si="3"/>
        <v>100</v>
      </c>
      <c r="O10" s="1492">
        <f t="shared" si="3"/>
        <v>100</v>
      </c>
      <c r="P10" s="1492">
        <f t="shared" si="3"/>
        <v>100</v>
      </c>
      <c r="Q10" s="1492">
        <f t="shared" si="3"/>
        <v>100</v>
      </c>
      <c r="R10" s="1492">
        <f t="shared" si="3"/>
        <v>100</v>
      </c>
      <c r="S10" s="1492">
        <f t="shared" si="3"/>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8" thickBot="1">
      <c r="A12" s="1124"/>
      <c r="B12" s="1029"/>
      <c r="C12" s="1035">
        <v>100</v>
      </c>
      <c r="D12" s="1032">
        <f>C12-$T11</f>
        <v>100</v>
      </c>
      <c r="E12" s="1032">
        <f t="shared" ref="E12:S12" si="4">D12-$T11</f>
        <v>100</v>
      </c>
      <c r="F12" s="1032">
        <f t="shared" si="4"/>
        <v>100</v>
      </c>
      <c r="G12" s="1032">
        <f t="shared" si="4"/>
        <v>100</v>
      </c>
      <c r="H12" s="1032">
        <f t="shared" si="4"/>
        <v>100</v>
      </c>
      <c r="I12" s="1032">
        <f t="shared" si="4"/>
        <v>100</v>
      </c>
      <c r="J12" s="1032">
        <f t="shared" si="4"/>
        <v>100</v>
      </c>
      <c r="K12" s="1032">
        <f t="shared" si="4"/>
        <v>100</v>
      </c>
      <c r="L12" s="1032">
        <f t="shared" si="4"/>
        <v>100</v>
      </c>
      <c r="M12" s="1032">
        <f t="shared" si="4"/>
        <v>100</v>
      </c>
      <c r="N12" s="1032">
        <f t="shared" si="4"/>
        <v>100</v>
      </c>
      <c r="O12" s="1032">
        <f t="shared" si="4"/>
        <v>100</v>
      </c>
      <c r="P12" s="1032">
        <f t="shared" si="4"/>
        <v>100</v>
      </c>
      <c r="Q12" s="1032">
        <f t="shared" si="4"/>
        <v>100</v>
      </c>
      <c r="R12" s="1032">
        <f>Q12-$T11</f>
        <v>100</v>
      </c>
      <c r="S12" s="1032">
        <f t="shared" si="4"/>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v>1</v>
      </c>
      <c r="D17" s="1140">
        <v>2</v>
      </c>
      <c r="E17" s="1140">
        <v>3</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8" thickBot="1">
      <c r="A18" s="1150"/>
      <c r="B18" s="1151"/>
      <c r="C18" s="1152">
        <v>100</v>
      </c>
      <c r="D18" s="1152">
        <v>70</v>
      </c>
      <c r="E18" s="1152">
        <v>60</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2" thickBot="1">
      <c r="A20" s="670" t="s">
        <v>2837</v>
      </c>
      <c r="B20" s="300">
        <f>IF(D20="——",S22,S22-F20)</f>
        <v>48585</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6">
      <c r="A21" s="670" t="s">
        <v>2839</v>
      </c>
      <c r="B21" s="300">
        <f>ROUND(B20*10000/B22,0)</f>
        <v>11185</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43436.399999999994</v>
      </c>
      <c r="C22" s="3347" t="s">
        <v>33</v>
      </c>
      <c r="D22" s="3348"/>
      <c r="E22" s="3348"/>
      <c r="F22" s="3348"/>
      <c r="G22" s="3348"/>
      <c r="H22" s="3348"/>
      <c r="I22" s="3348"/>
      <c r="J22" s="3348"/>
      <c r="K22" s="3348"/>
      <c r="L22" s="3348"/>
      <c r="M22" s="3348"/>
      <c r="N22" s="3348"/>
      <c r="O22" s="3348"/>
      <c r="P22" s="3348"/>
      <c r="Q22" s="3349"/>
      <c r="R22" s="671">
        <f>ROUND(S22*10000/B22,0)</f>
        <v>11185</v>
      </c>
      <c r="S22" s="24">
        <f>SUM(S24:S10000)</f>
        <v>48585</v>
      </c>
    </row>
    <row r="23" spans="1:45" s="12" customFormat="1" ht="24">
      <c r="A23" s="3073" t="s">
        <v>2841</v>
      </c>
      <c r="B23" s="3073" t="s">
        <v>2842</v>
      </c>
      <c r="C23" s="3073" t="s">
        <v>2843</v>
      </c>
      <c r="D23" s="3073" t="str">
        <f>B5</f>
        <v>修正项2</v>
      </c>
      <c r="E23" s="3073" t="s">
        <v>2843</v>
      </c>
      <c r="F23" s="3073" t="str">
        <f>B7</f>
        <v>修正项3</v>
      </c>
      <c r="G23" s="3073" t="s">
        <v>2843</v>
      </c>
      <c r="H23" s="3073" t="str">
        <f>B9</f>
        <v>修正项4</v>
      </c>
      <c r="I23" s="3073" t="s">
        <v>2843</v>
      </c>
      <c r="J23" s="3073" t="str">
        <f>B11</f>
        <v>修正项5</v>
      </c>
      <c r="K23" s="3073" t="s">
        <v>2843</v>
      </c>
      <c r="L23" s="3073" t="str">
        <f>B13</f>
        <v>修正项6</v>
      </c>
      <c r="M23" s="3073" t="s">
        <v>2843</v>
      </c>
      <c r="N23" s="3073" t="str">
        <f>B15</f>
        <v>修正项7</v>
      </c>
      <c r="O23" s="3073" t="s">
        <v>2843</v>
      </c>
      <c r="P23" s="3073" t="str">
        <f>B17</f>
        <v>楼层</v>
      </c>
      <c r="Q23" s="3073" t="s">
        <v>2843</v>
      </c>
      <c r="R23" s="3074" t="s">
        <v>2844</v>
      </c>
      <c r="S23" s="3073"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c r="B24" s="673">
        <f>Sheet1!G12</f>
        <v>15347.3</v>
      </c>
      <c r="C24" s="3039">
        <v>1</v>
      </c>
      <c r="D24" s="3040"/>
      <c r="E24" s="3039">
        <v>1</v>
      </c>
      <c r="F24" s="3040"/>
      <c r="G24" s="3039">
        <v>1</v>
      </c>
      <c r="H24" s="3040"/>
      <c r="I24" s="3039">
        <v>1</v>
      </c>
      <c r="J24" s="3040"/>
      <c r="K24" s="3039">
        <v>1</v>
      </c>
      <c r="L24" s="3040"/>
      <c r="M24" s="3039">
        <v>1</v>
      </c>
      <c r="N24" s="3040"/>
      <c r="O24" s="3039">
        <v>1</v>
      </c>
      <c r="P24" s="3040">
        <v>1</v>
      </c>
      <c r="Q24" s="3039">
        <v>1</v>
      </c>
      <c r="R24" s="676">
        <f>'比较法-商业'!C49</f>
        <v>14490</v>
      </c>
      <c r="S24" s="674">
        <f t="shared" ref="S24:S87" si="5">ROUND(R24*B24/10000,0)</f>
        <v>22238</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673">
        <f>Sheet1!G13</f>
        <v>13292.8</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10143</v>
      </c>
      <c r="S25" s="322">
        <f t="shared" si="5"/>
        <v>13483</v>
      </c>
    </row>
    <row r="26" spans="1:45">
      <c r="A26" s="155"/>
      <c r="B26" s="673">
        <f>Sheet1!G14</f>
        <v>14796.3</v>
      </c>
      <c r="C26" s="24">
        <f t="shared" ref="C26:C89" si="6">IF(B26="",1,(LOOKUP(B26,$3:$3,$4:$4)-LOOKUP($B$24,$3:$3,$4:$4)+100)/100)</f>
        <v>1</v>
      </c>
      <c r="D26" s="675"/>
      <c r="E26" s="24">
        <f t="shared" ref="E26:E89" si="7">(SUMIF($5:$5,D26,$6:$6)-SUMIF($5:$5,$D$24,$6:$6)+100)/100</f>
        <v>1</v>
      </c>
      <c r="F26" s="675"/>
      <c r="G26" s="24">
        <f t="shared" ref="G26:G89" si="8">(SUMIF($7:$7,F26,$8:$8)-SUMIF($7:$7,$F$24,$8:$8)+100)/100</f>
        <v>1</v>
      </c>
      <c r="H26" s="675"/>
      <c r="I26" s="24">
        <f t="shared" ref="I26:I89" si="9">(SUMIF($9:$9,H26,$10:$10)-SUMIF($9:$9,$H$24,$10:$10)+100)/100</f>
        <v>1</v>
      </c>
      <c r="J26" s="675"/>
      <c r="K26" s="24">
        <f t="shared" ref="K26:K89" si="10">(SUMIF($11:$11,J26,$12:$12)-SUMIF($11:$11,$J$24,$12:$12)+100)/100</f>
        <v>1</v>
      </c>
      <c r="L26" s="675"/>
      <c r="M26" s="24">
        <f t="shared" ref="M26:M89" si="11">(SUMIF($13:$13,L26,$14:$14)-SUMIF($13:$13,$L$24,$14:$14)+100)/100</f>
        <v>1</v>
      </c>
      <c r="N26" s="675"/>
      <c r="O26" s="24">
        <f t="shared" ref="O26:O89" si="12">(SUMIF($15:$15,N26,$16:$16)-SUMIF($15:$15,$N$24,$16:$16)+100)/100</f>
        <v>1</v>
      </c>
      <c r="P26" s="675">
        <v>3</v>
      </c>
      <c r="Q26" s="24">
        <f t="shared" ref="Q26:Q89" si="13">(SUMIF($17:$17,P26,$18:$18)-SUMIF($17:$17,$P$24,$18:$18)+100)/100</f>
        <v>0.6</v>
      </c>
      <c r="R26" s="671">
        <f t="shared" ref="R26:R89" si="14">IF(B26="",0,ROUND($R$24*C26*E26*G26*I26*K26*M26*O26*Q26,0))</f>
        <v>8694</v>
      </c>
      <c r="S26" s="322">
        <f t="shared" si="5"/>
        <v>12864</v>
      </c>
    </row>
    <row r="27" spans="1:45">
      <c r="A27" s="155"/>
      <c r="B27" s="673"/>
      <c r="C27" s="24">
        <f t="shared" si="6"/>
        <v>1</v>
      </c>
      <c r="D27" s="675"/>
      <c r="E27" s="24">
        <f t="shared" si="7"/>
        <v>1</v>
      </c>
      <c r="F27" s="675"/>
      <c r="G27" s="24">
        <f t="shared" si="8"/>
        <v>1</v>
      </c>
      <c r="H27" s="675"/>
      <c r="I27" s="24">
        <f t="shared" si="9"/>
        <v>1</v>
      </c>
      <c r="J27" s="675"/>
      <c r="K27" s="24">
        <f t="shared" si="10"/>
        <v>1</v>
      </c>
      <c r="L27" s="675"/>
      <c r="M27" s="24">
        <f t="shared" si="11"/>
        <v>1</v>
      </c>
      <c r="N27" s="675"/>
      <c r="O27" s="24">
        <f t="shared" si="12"/>
        <v>1</v>
      </c>
      <c r="P27" s="675"/>
      <c r="Q27" s="24">
        <f t="shared" si="13"/>
        <v>0</v>
      </c>
      <c r="R27" s="671">
        <f t="shared" si="14"/>
        <v>0</v>
      </c>
      <c r="S27" s="322">
        <f t="shared" si="5"/>
        <v>0</v>
      </c>
    </row>
    <row r="28" spans="1:45">
      <c r="A28" s="155"/>
      <c r="B28" s="673"/>
      <c r="C28" s="24">
        <f t="shared" si="6"/>
        <v>1</v>
      </c>
      <c r="D28" s="675"/>
      <c r="E28" s="24">
        <f t="shared" si="7"/>
        <v>1</v>
      </c>
      <c r="F28" s="675"/>
      <c r="G28" s="24">
        <f t="shared" si="8"/>
        <v>1</v>
      </c>
      <c r="H28" s="675"/>
      <c r="I28" s="24">
        <f t="shared" si="9"/>
        <v>1</v>
      </c>
      <c r="J28" s="675"/>
      <c r="K28" s="24">
        <f t="shared" si="10"/>
        <v>1</v>
      </c>
      <c r="L28" s="675"/>
      <c r="M28" s="24">
        <f t="shared" si="11"/>
        <v>1</v>
      </c>
      <c r="N28" s="675"/>
      <c r="O28" s="24">
        <f t="shared" si="12"/>
        <v>1</v>
      </c>
      <c r="P28" s="675"/>
      <c r="Q28" s="24">
        <f t="shared" si="13"/>
        <v>0</v>
      </c>
      <c r="R28" s="671">
        <f t="shared" si="14"/>
        <v>0</v>
      </c>
      <c r="S28" s="322">
        <f t="shared" si="5"/>
        <v>0</v>
      </c>
    </row>
    <row r="29" spans="1:45">
      <c r="A29" s="155"/>
      <c r="B29" s="673"/>
      <c r="C29" s="24">
        <f t="shared" si="6"/>
        <v>1</v>
      </c>
      <c r="D29" s="675"/>
      <c r="E29" s="24">
        <f t="shared" si="7"/>
        <v>1</v>
      </c>
      <c r="F29" s="675"/>
      <c r="G29" s="24">
        <f t="shared" si="8"/>
        <v>1</v>
      </c>
      <c r="H29" s="675"/>
      <c r="I29" s="24">
        <f t="shared" si="9"/>
        <v>1</v>
      </c>
      <c r="J29" s="675"/>
      <c r="K29" s="24">
        <f t="shared" si="10"/>
        <v>1</v>
      </c>
      <c r="L29" s="675"/>
      <c r="M29" s="24">
        <f t="shared" si="11"/>
        <v>1</v>
      </c>
      <c r="N29" s="675"/>
      <c r="O29" s="24">
        <f t="shared" si="12"/>
        <v>1</v>
      </c>
      <c r="P29" s="675"/>
      <c r="Q29" s="24">
        <f t="shared" si="13"/>
        <v>0</v>
      </c>
      <c r="R29" s="671">
        <f t="shared" si="14"/>
        <v>0</v>
      </c>
      <c r="S29" s="322">
        <f t="shared" si="5"/>
        <v>0</v>
      </c>
    </row>
    <row r="30" spans="1:45">
      <c r="A30" s="155"/>
      <c r="B30" s="673"/>
      <c r="C30" s="24">
        <f t="shared" si="6"/>
        <v>1</v>
      </c>
      <c r="D30" s="675"/>
      <c r="E30" s="24">
        <f t="shared" si="7"/>
        <v>1</v>
      </c>
      <c r="F30" s="675"/>
      <c r="G30" s="24">
        <f t="shared" si="8"/>
        <v>1</v>
      </c>
      <c r="H30" s="675"/>
      <c r="I30" s="24">
        <f t="shared" si="9"/>
        <v>1</v>
      </c>
      <c r="J30" s="675"/>
      <c r="K30" s="24">
        <f t="shared" si="10"/>
        <v>1</v>
      </c>
      <c r="L30" s="675"/>
      <c r="M30" s="24">
        <f t="shared" si="11"/>
        <v>1</v>
      </c>
      <c r="N30" s="675"/>
      <c r="O30" s="24">
        <f t="shared" si="12"/>
        <v>1</v>
      </c>
      <c r="P30" s="675"/>
      <c r="Q30" s="24">
        <f t="shared" si="13"/>
        <v>0</v>
      </c>
      <c r="R30" s="671">
        <f t="shared" si="14"/>
        <v>0</v>
      </c>
      <c r="S30" s="322">
        <f t="shared" si="5"/>
        <v>0</v>
      </c>
    </row>
    <row r="31" spans="1:45">
      <c r="A31" s="155"/>
      <c r="B31" s="673"/>
      <c r="C31" s="24">
        <f t="shared" si="6"/>
        <v>1</v>
      </c>
      <c r="D31" s="675"/>
      <c r="E31" s="24">
        <f t="shared" si="7"/>
        <v>1</v>
      </c>
      <c r="F31" s="675"/>
      <c r="G31" s="24">
        <f t="shared" si="8"/>
        <v>1</v>
      </c>
      <c r="H31" s="675"/>
      <c r="I31" s="24">
        <f t="shared" si="9"/>
        <v>1</v>
      </c>
      <c r="J31" s="675"/>
      <c r="K31" s="24">
        <f t="shared" si="10"/>
        <v>1</v>
      </c>
      <c r="L31" s="675"/>
      <c r="M31" s="24">
        <f t="shared" si="11"/>
        <v>1</v>
      </c>
      <c r="N31" s="675"/>
      <c r="O31" s="24">
        <f t="shared" si="12"/>
        <v>1</v>
      </c>
      <c r="P31" s="675"/>
      <c r="Q31" s="24">
        <f t="shared" si="13"/>
        <v>0</v>
      </c>
      <c r="R31" s="671">
        <f t="shared" si="14"/>
        <v>0</v>
      </c>
      <c r="S31" s="322">
        <f t="shared" si="5"/>
        <v>0</v>
      </c>
    </row>
    <row r="32" spans="1:45">
      <c r="A32" s="155"/>
      <c r="B32" s="673"/>
      <c r="C32" s="24">
        <f t="shared" si="6"/>
        <v>1</v>
      </c>
      <c r="D32" s="675"/>
      <c r="E32" s="24">
        <f t="shared" si="7"/>
        <v>1</v>
      </c>
      <c r="F32" s="675"/>
      <c r="G32" s="24">
        <f t="shared" si="8"/>
        <v>1</v>
      </c>
      <c r="H32" s="675"/>
      <c r="I32" s="24">
        <f t="shared" si="9"/>
        <v>1</v>
      </c>
      <c r="J32" s="675"/>
      <c r="K32" s="24">
        <f t="shared" si="10"/>
        <v>1</v>
      </c>
      <c r="L32" s="675"/>
      <c r="M32" s="24">
        <f t="shared" si="11"/>
        <v>1</v>
      </c>
      <c r="N32" s="675"/>
      <c r="O32" s="24">
        <f t="shared" si="12"/>
        <v>1</v>
      </c>
      <c r="P32" s="675"/>
      <c r="Q32" s="24">
        <f t="shared" si="13"/>
        <v>0</v>
      </c>
      <c r="R32" s="671">
        <f t="shared" si="14"/>
        <v>0</v>
      </c>
      <c r="S32" s="322">
        <f t="shared" si="5"/>
        <v>0</v>
      </c>
    </row>
    <row r="33" spans="1:19">
      <c r="A33" s="155"/>
      <c r="B33" s="673"/>
      <c r="C33" s="24">
        <f t="shared" si="6"/>
        <v>1</v>
      </c>
      <c r="D33" s="675"/>
      <c r="E33" s="24">
        <f t="shared" si="7"/>
        <v>1</v>
      </c>
      <c r="F33" s="675"/>
      <c r="G33" s="24">
        <f t="shared" si="8"/>
        <v>1</v>
      </c>
      <c r="H33" s="675"/>
      <c r="I33" s="24">
        <f t="shared" si="9"/>
        <v>1</v>
      </c>
      <c r="J33" s="675"/>
      <c r="K33" s="24">
        <f t="shared" si="10"/>
        <v>1</v>
      </c>
      <c r="L33" s="675"/>
      <c r="M33" s="24">
        <f t="shared" si="11"/>
        <v>1</v>
      </c>
      <c r="N33" s="675"/>
      <c r="O33" s="24">
        <f t="shared" si="12"/>
        <v>1</v>
      </c>
      <c r="P33" s="675"/>
      <c r="Q33" s="24">
        <f t="shared" si="13"/>
        <v>0</v>
      </c>
      <c r="R33" s="671">
        <f t="shared" si="14"/>
        <v>0</v>
      </c>
      <c r="S33" s="322">
        <f t="shared" si="5"/>
        <v>0</v>
      </c>
    </row>
    <row r="34" spans="1:19">
      <c r="A34" s="155"/>
      <c r="B34" s="673"/>
      <c r="C34" s="24">
        <f t="shared" si="6"/>
        <v>1</v>
      </c>
      <c r="D34" s="675"/>
      <c r="E34" s="24">
        <f t="shared" si="7"/>
        <v>1</v>
      </c>
      <c r="F34" s="675"/>
      <c r="G34" s="24">
        <f t="shared" si="8"/>
        <v>1</v>
      </c>
      <c r="H34" s="675"/>
      <c r="I34" s="24">
        <f t="shared" si="9"/>
        <v>1</v>
      </c>
      <c r="J34" s="675"/>
      <c r="K34" s="24">
        <f t="shared" si="10"/>
        <v>1</v>
      </c>
      <c r="L34" s="675"/>
      <c r="M34" s="24">
        <f t="shared" si="11"/>
        <v>1</v>
      </c>
      <c r="N34" s="675"/>
      <c r="O34" s="24">
        <f t="shared" si="12"/>
        <v>1</v>
      </c>
      <c r="P34" s="675"/>
      <c r="Q34" s="24">
        <f t="shared" si="13"/>
        <v>0</v>
      </c>
      <c r="R34" s="671">
        <f t="shared" si="14"/>
        <v>0</v>
      </c>
      <c r="S34" s="322">
        <f t="shared" si="5"/>
        <v>0</v>
      </c>
    </row>
    <row r="35" spans="1:19">
      <c r="A35" s="155"/>
      <c r="B35" s="673"/>
      <c r="C35" s="24">
        <f t="shared" si="6"/>
        <v>1</v>
      </c>
      <c r="D35" s="675"/>
      <c r="E35" s="24">
        <f t="shared" si="7"/>
        <v>1</v>
      </c>
      <c r="F35" s="675"/>
      <c r="G35" s="24">
        <f t="shared" si="8"/>
        <v>1</v>
      </c>
      <c r="H35" s="675"/>
      <c r="I35" s="24">
        <f t="shared" si="9"/>
        <v>1</v>
      </c>
      <c r="J35" s="675"/>
      <c r="K35" s="24">
        <f t="shared" si="10"/>
        <v>1</v>
      </c>
      <c r="L35" s="675"/>
      <c r="M35" s="24">
        <f t="shared" si="11"/>
        <v>1</v>
      </c>
      <c r="N35" s="675"/>
      <c r="O35" s="24">
        <f t="shared" si="12"/>
        <v>1</v>
      </c>
      <c r="P35" s="675"/>
      <c r="Q35" s="24">
        <f t="shared" si="13"/>
        <v>0</v>
      </c>
      <c r="R35" s="671">
        <f t="shared" si="14"/>
        <v>0</v>
      </c>
      <c r="S35" s="322">
        <f t="shared" si="5"/>
        <v>0</v>
      </c>
    </row>
    <row r="36" spans="1:19">
      <c r="A36" s="155"/>
      <c r="B36" s="57"/>
      <c r="C36" s="24">
        <f t="shared" si="6"/>
        <v>1</v>
      </c>
      <c r="D36" s="675"/>
      <c r="E36" s="24">
        <f t="shared" si="7"/>
        <v>1</v>
      </c>
      <c r="F36" s="675"/>
      <c r="G36" s="24">
        <f t="shared" si="8"/>
        <v>1</v>
      </c>
      <c r="H36" s="675"/>
      <c r="I36" s="24">
        <f t="shared" si="9"/>
        <v>1</v>
      </c>
      <c r="J36" s="675"/>
      <c r="K36" s="24">
        <f t="shared" si="10"/>
        <v>1</v>
      </c>
      <c r="L36" s="675"/>
      <c r="M36" s="24">
        <f t="shared" si="11"/>
        <v>1</v>
      </c>
      <c r="N36" s="675"/>
      <c r="O36" s="24">
        <f t="shared" si="12"/>
        <v>1</v>
      </c>
      <c r="P36" s="675"/>
      <c r="Q36" s="24">
        <f t="shared" si="13"/>
        <v>0</v>
      </c>
      <c r="R36" s="671">
        <f t="shared" si="14"/>
        <v>0</v>
      </c>
      <c r="S36" s="322">
        <f t="shared" si="5"/>
        <v>0</v>
      </c>
    </row>
    <row r="37" spans="1:19">
      <c r="A37" s="155"/>
      <c r="B37" s="57"/>
      <c r="C37" s="24">
        <f t="shared" si="6"/>
        <v>1</v>
      </c>
      <c r="D37" s="675"/>
      <c r="E37" s="24">
        <f t="shared" si="7"/>
        <v>1</v>
      </c>
      <c r="F37" s="675"/>
      <c r="G37" s="24">
        <f t="shared" si="8"/>
        <v>1</v>
      </c>
      <c r="H37" s="675"/>
      <c r="I37" s="24">
        <f t="shared" si="9"/>
        <v>1</v>
      </c>
      <c r="J37" s="675"/>
      <c r="K37" s="24">
        <f t="shared" si="10"/>
        <v>1</v>
      </c>
      <c r="L37" s="675"/>
      <c r="M37" s="24">
        <f t="shared" si="11"/>
        <v>1</v>
      </c>
      <c r="N37" s="675"/>
      <c r="O37" s="24">
        <f t="shared" si="12"/>
        <v>1</v>
      </c>
      <c r="P37" s="675"/>
      <c r="Q37" s="24">
        <f t="shared" si="13"/>
        <v>0</v>
      </c>
      <c r="R37" s="671">
        <f t="shared" si="14"/>
        <v>0</v>
      </c>
      <c r="S37" s="322">
        <f t="shared" si="5"/>
        <v>0</v>
      </c>
    </row>
    <row r="38" spans="1:19">
      <c r="A38" s="155"/>
      <c r="B38" s="57"/>
      <c r="C38" s="24">
        <f t="shared" si="6"/>
        <v>1</v>
      </c>
      <c r="D38" s="675"/>
      <c r="E38" s="24">
        <f t="shared" si="7"/>
        <v>1</v>
      </c>
      <c r="F38" s="675"/>
      <c r="G38" s="24">
        <f t="shared" si="8"/>
        <v>1</v>
      </c>
      <c r="H38" s="675"/>
      <c r="I38" s="24">
        <f t="shared" si="9"/>
        <v>1</v>
      </c>
      <c r="J38" s="675"/>
      <c r="K38" s="24">
        <f t="shared" si="10"/>
        <v>1</v>
      </c>
      <c r="L38" s="675"/>
      <c r="M38" s="24">
        <f t="shared" si="11"/>
        <v>1</v>
      </c>
      <c r="N38" s="675"/>
      <c r="O38" s="24">
        <f t="shared" si="12"/>
        <v>1</v>
      </c>
      <c r="P38" s="675"/>
      <c r="Q38" s="24">
        <f t="shared" si="13"/>
        <v>0</v>
      </c>
      <c r="R38" s="671">
        <f t="shared" si="14"/>
        <v>0</v>
      </c>
      <c r="S38" s="322">
        <f t="shared" si="5"/>
        <v>0</v>
      </c>
    </row>
    <row r="39" spans="1:19">
      <c r="A39" s="155"/>
      <c r="B39" s="57"/>
      <c r="C39" s="24">
        <f t="shared" si="6"/>
        <v>1</v>
      </c>
      <c r="D39" s="675"/>
      <c r="E39" s="24">
        <f t="shared" si="7"/>
        <v>1</v>
      </c>
      <c r="F39" s="675"/>
      <c r="G39" s="24">
        <f t="shared" si="8"/>
        <v>1</v>
      </c>
      <c r="H39" s="675"/>
      <c r="I39" s="24">
        <f t="shared" si="9"/>
        <v>1</v>
      </c>
      <c r="J39" s="675"/>
      <c r="K39" s="24">
        <f t="shared" si="10"/>
        <v>1</v>
      </c>
      <c r="L39" s="675"/>
      <c r="M39" s="24">
        <f t="shared" si="11"/>
        <v>1</v>
      </c>
      <c r="N39" s="675"/>
      <c r="O39" s="24">
        <f t="shared" si="12"/>
        <v>1</v>
      </c>
      <c r="P39" s="675"/>
      <c r="Q39" s="24">
        <f t="shared" si="13"/>
        <v>0</v>
      </c>
      <c r="R39" s="671">
        <f t="shared" si="14"/>
        <v>0</v>
      </c>
      <c r="S39" s="322">
        <f t="shared" si="5"/>
        <v>0</v>
      </c>
    </row>
    <row r="40" spans="1:19">
      <c r="A40" s="155"/>
      <c r="B40" s="57"/>
      <c r="C40" s="24">
        <f t="shared" si="6"/>
        <v>1</v>
      </c>
      <c r="D40" s="675"/>
      <c r="E40" s="24">
        <f t="shared" si="7"/>
        <v>1</v>
      </c>
      <c r="F40" s="675"/>
      <c r="G40" s="24">
        <f t="shared" si="8"/>
        <v>1</v>
      </c>
      <c r="H40" s="675"/>
      <c r="I40" s="24">
        <f t="shared" si="9"/>
        <v>1</v>
      </c>
      <c r="J40" s="675"/>
      <c r="K40" s="24">
        <f t="shared" si="10"/>
        <v>1</v>
      </c>
      <c r="L40" s="675"/>
      <c r="M40" s="24">
        <f t="shared" si="11"/>
        <v>1</v>
      </c>
      <c r="N40" s="675"/>
      <c r="O40" s="24">
        <f t="shared" si="12"/>
        <v>1</v>
      </c>
      <c r="P40" s="675"/>
      <c r="Q40" s="24">
        <f t="shared" si="13"/>
        <v>0</v>
      </c>
      <c r="R40" s="671">
        <f t="shared" si="14"/>
        <v>0</v>
      </c>
      <c r="S40" s="322">
        <f t="shared" si="5"/>
        <v>0</v>
      </c>
    </row>
    <row r="41" spans="1:19">
      <c r="A41" s="155"/>
      <c r="B41" s="57"/>
      <c r="C41" s="24">
        <f t="shared" si="6"/>
        <v>1</v>
      </c>
      <c r="D41" s="675"/>
      <c r="E41" s="24">
        <f t="shared" si="7"/>
        <v>1</v>
      </c>
      <c r="F41" s="675"/>
      <c r="G41" s="24">
        <f t="shared" si="8"/>
        <v>1</v>
      </c>
      <c r="H41" s="675"/>
      <c r="I41" s="24">
        <f t="shared" si="9"/>
        <v>1</v>
      </c>
      <c r="J41" s="675"/>
      <c r="K41" s="24">
        <f t="shared" si="10"/>
        <v>1</v>
      </c>
      <c r="L41" s="675"/>
      <c r="M41" s="24">
        <f t="shared" si="11"/>
        <v>1</v>
      </c>
      <c r="N41" s="675"/>
      <c r="O41" s="24">
        <f t="shared" si="12"/>
        <v>1</v>
      </c>
      <c r="P41" s="675"/>
      <c r="Q41" s="24">
        <f t="shared" si="13"/>
        <v>0</v>
      </c>
      <c r="R41" s="671">
        <f t="shared" si="14"/>
        <v>0</v>
      </c>
      <c r="S41" s="322">
        <f t="shared" si="5"/>
        <v>0</v>
      </c>
    </row>
    <row r="42" spans="1:19">
      <c r="A42" s="155"/>
      <c r="B42" s="57"/>
      <c r="C42" s="24">
        <f t="shared" si="6"/>
        <v>1</v>
      </c>
      <c r="D42" s="675"/>
      <c r="E42" s="24">
        <f t="shared" si="7"/>
        <v>1</v>
      </c>
      <c r="F42" s="675"/>
      <c r="G42" s="24">
        <f t="shared" si="8"/>
        <v>1</v>
      </c>
      <c r="H42" s="675"/>
      <c r="I42" s="24">
        <f t="shared" si="9"/>
        <v>1</v>
      </c>
      <c r="J42" s="675"/>
      <c r="K42" s="24">
        <f t="shared" si="10"/>
        <v>1</v>
      </c>
      <c r="L42" s="675"/>
      <c r="M42" s="24">
        <f t="shared" si="11"/>
        <v>1</v>
      </c>
      <c r="N42" s="675"/>
      <c r="O42" s="24">
        <f t="shared" si="12"/>
        <v>1</v>
      </c>
      <c r="P42" s="675"/>
      <c r="Q42" s="24">
        <f t="shared" si="13"/>
        <v>0</v>
      </c>
      <c r="R42" s="671">
        <f t="shared" si="14"/>
        <v>0</v>
      </c>
      <c r="S42" s="322">
        <f t="shared" si="5"/>
        <v>0</v>
      </c>
    </row>
    <row r="43" spans="1:19">
      <c r="A43" s="155"/>
      <c r="B43" s="57"/>
      <c r="C43" s="24">
        <f t="shared" si="6"/>
        <v>1</v>
      </c>
      <c r="D43" s="675"/>
      <c r="E43" s="24">
        <f t="shared" si="7"/>
        <v>1</v>
      </c>
      <c r="F43" s="675"/>
      <c r="G43" s="24">
        <f t="shared" si="8"/>
        <v>1</v>
      </c>
      <c r="H43" s="675"/>
      <c r="I43" s="24">
        <f t="shared" si="9"/>
        <v>1</v>
      </c>
      <c r="J43" s="675"/>
      <c r="K43" s="24">
        <f t="shared" si="10"/>
        <v>1</v>
      </c>
      <c r="L43" s="675"/>
      <c r="M43" s="24">
        <f t="shared" si="11"/>
        <v>1</v>
      </c>
      <c r="N43" s="675"/>
      <c r="O43" s="24">
        <f t="shared" si="12"/>
        <v>1</v>
      </c>
      <c r="P43" s="675"/>
      <c r="Q43" s="24">
        <f t="shared" si="13"/>
        <v>0</v>
      </c>
      <c r="R43" s="671">
        <f t="shared" si="14"/>
        <v>0</v>
      </c>
      <c r="S43" s="322">
        <f t="shared" si="5"/>
        <v>0</v>
      </c>
    </row>
    <row r="44" spans="1:19">
      <c r="A44" s="155"/>
      <c r="B44" s="57"/>
      <c r="C44" s="24">
        <f t="shared" si="6"/>
        <v>1</v>
      </c>
      <c r="D44" s="675"/>
      <c r="E44" s="24">
        <f t="shared" si="7"/>
        <v>1</v>
      </c>
      <c r="F44" s="675"/>
      <c r="G44" s="24">
        <f t="shared" si="8"/>
        <v>1</v>
      </c>
      <c r="H44" s="675"/>
      <c r="I44" s="24">
        <f t="shared" si="9"/>
        <v>1</v>
      </c>
      <c r="J44" s="675"/>
      <c r="K44" s="24">
        <f t="shared" si="10"/>
        <v>1</v>
      </c>
      <c r="L44" s="675"/>
      <c r="M44" s="24">
        <f t="shared" si="11"/>
        <v>1</v>
      </c>
      <c r="N44" s="675"/>
      <c r="O44" s="24">
        <f t="shared" si="12"/>
        <v>1</v>
      </c>
      <c r="P44" s="675"/>
      <c r="Q44" s="24">
        <f t="shared" si="13"/>
        <v>0</v>
      </c>
      <c r="R44" s="671">
        <f t="shared" si="14"/>
        <v>0</v>
      </c>
      <c r="S44" s="322">
        <f t="shared" si="5"/>
        <v>0</v>
      </c>
    </row>
    <row r="45" spans="1:19">
      <c r="A45" s="155"/>
      <c r="B45" s="57"/>
      <c r="C45" s="24">
        <f t="shared" si="6"/>
        <v>1</v>
      </c>
      <c r="D45" s="675"/>
      <c r="E45" s="24">
        <f t="shared" si="7"/>
        <v>1</v>
      </c>
      <c r="F45" s="675"/>
      <c r="G45" s="24">
        <f t="shared" si="8"/>
        <v>1</v>
      </c>
      <c r="H45" s="675"/>
      <c r="I45" s="24">
        <f t="shared" si="9"/>
        <v>1</v>
      </c>
      <c r="J45" s="675"/>
      <c r="K45" s="24">
        <f t="shared" si="10"/>
        <v>1</v>
      </c>
      <c r="L45" s="675"/>
      <c r="M45" s="24">
        <f t="shared" si="11"/>
        <v>1</v>
      </c>
      <c r="N45" s="675"/>
      <c r="O45" s="24">
        <f t="shared" si="12"/>
        <v>1</v>
      </c>
      <c r="P45" s="675"/>
      <c r="Q45" s="24">
        <f t="shared" si="13"/>
        <v>0</v>
      </c>
      <c r="R45" s="671">
        <f t="shared" si="14"/>
        <v>0</v>
      </c>
      <c r="S45" s="322">
        <f t="shared" si="5"/>
        <v>0</v>
      </c>
    </row>
    <row r="46" spans="1:19">
      <c r="A46" s="155"/>
      <c r="B46" s="57"/>
      <c r="C46" s="24">
        <f t="shared" si="6"/>
        <v>1</v>
      </c>
      <c r="D46" s="675"/>
      <c r="E46" s="24">
        <f t="shared" si="7"/>
        <v>1</v>
      </c>
      <c r="F46" s="675"/>
      <c r="G46" s="24">
        <f t="shared" si="8"/>
        <v>1</v>
      </c>
      <c r="H46" s="675"/>
      <c r="I46" s="24">
        <f t="shared" si="9"/>
        <v>1</v>
      </c>
      <c r="J46" s="675"/>
      <c r="K46" s="24">
        <f t="shared" si="10"/>
        <v>1</v>
      </c>
      <c r="L46" s="675"/>
      <c r="M46" s="24">
        <f t="shared" si="11"/>
        <v>1</v>
      </c>
      <c r="N46" s="675"/>
      <c r="O46" s="24">
        <f t="shared" si="12"/>
        <v>1</v>
      </c>
      <c r="P46" s="675"/>
      <c r="Q46" s="24">
        <f t="shared" si="13"/>
        <v>0</v>
      </c>
      <c r="R46" s="671">
        <f t="shared" si="14"/>
        <v>0</v>
      </c>
      <c r="S46" s="322">
        <f t="shared" si="5"/>
        <v>0</v>
      </c>
    </row>
    <row r="47" spans="1:19">
      <c r="A47" s="155"/>
      <c r="B47" s="57"/>
      <c r="C47" s="24">
        <f t="shared" si="6"/>
        <v>1</v>
      </c>
      <c r="D47" s="675"/>
      <c r="E47" s="24">
        <f t="shared" si="7"/>
        <v>1</v>
      </c>
      <c r="F47" s="675"/>
      <c r="G47" s="24">
        <f t="shared" si="8"/>
        <v>1</v>
      </c>
      <c r="H47" s="675"/>
      <c r="I47" s="24">
        <f t="shared" si="9"/>
        <v>1</v>
      </c>
      <c r="J47" s="675"/>
      <c r="K47" s="24">
        <f t="shared" si="10"/>
        <v>1</v>
      </c>
      <c r="L47" s="675"/>
      <c r="M47" s="24">
        <f t="shared" si="11"/>
        <v>1</v>
      </c>
      <c r="N47" s="675"/>
      <c r="O47" s="24">
        <f t="shared" si="12"/>
        <v>1</v>
      </c>
      <c r="P47" s="675"/>
      <c r="Q47" s="24">
        <f t="shared" si="13"/>
        <v>0</v>
      </c>
      <c r="R47" s="671">
        <f t="shared" si="14"/>
        <v>0</v>
      </c>
      <c r="S47" s="322">
        <f t="shared" si="5"/>
        <v>0</v>
      </c>
    </row>
    <row r="48" spans="1:19">
      <c r="A48" s="155"/>
      <c r="B48" s="57"/>
      <c r="C48" s="24">
        <f t="shared" si="6"/>
        <v>1</v>
      </c>
      <c r="D48" s="675"/>
      <c r="E48" s="24">
        <f t="shared" si="7"/>
        <v>1</v>
      </c>
      <c r="F48" s="675"/>
      <c r="G48" s="24">
        <f t="shared" si="8"/>
        <v>1</v>
      </c>
      <c r="H48" s="675"/>
      <c r="I48" s="24">
        <f t="shared" si="9"/>
        <v>1</v>
      </c>
      <c r="J48" s="675"/>
      <c r="K48" s="24">
        <f t="shared" si="10"/>
        <v>1</v>
      </c>
      <c r="L48" s="675"/>
      <c r="M48" s="24">
        <f t="shared" si="11"/>
        <v>1</v>
      </c>
      <c r="N48" s="675"/>
      <c r="O48" s="24">
        <f t="shared" si="12"/>
        <v>1</v>
      </c>
      <c r="P48" s="675"/>
      <c r="Q48" s="24">
        <f t="shared" si="13"/>
        <v>0</v>
      </c>
      <c r="R48" s="671">
        <f t="shared" si="14"/>
        <v>0</v>
      </c>
      <c r="S48" s="322">
        <f t="shared" si="5"/>
        <v>0</v>
      </c>
    </row>
    <row r="49" spans="1:19">
      <c r="A49" s="155"/>
      <c r="B49" s="57"/>
      <c r="C49" s="24">
        <f t="shared" si="6"/>
        <v>1</v>
      </c>
      <c r="D49" s="675"/>
      <c r="E49" s="24">
        <f t="shared" si="7"/>
        <v>1</v>
      </c>
      <c r="F49" s="675"/>
      <c r="G49" s="24">
        <f t="shared" si="8"/>
        <v>1</v>
      </c>
      <c r="H49" s="675"/>
      <c r="I49" s="24">
        <f t="shared" si="9"/>
        <v>1</v>
      </c>
      <c r="J49" s="675"/>
      <c r="K49" s="24">
        <f t="shared" si="10"/>
        <v>1</v>
      </c>
      <c r="L49" s="675"/>
      <c r="M49" s="24">
        <f t="shared" si="11"/>
        <v>1</v>
      </c>
      <c r="N49" s="675"/>
      <c r="O49" s="24">
        <f t="shared" si="12"/>
        <v>1</v>
      </c>
      <c r="P49" s="675"/>
      <c r="Q49" s="24">
        <f t="shared" si="13"/>
        <v>0</v>
      </c>
      <c r="R49" s="671">
        <f t="shared" si="14"/>
        <v>0</v>
      </c>
      <c r="S49" s="322">
        <f t="shared" si="5"/>
        <v>0</v>
      </c>
    </row>
    <row r="50" spans="1:19">
      <c r="A50" s="155"/>
      <c r="B50" s="57"/>
      <c r="C50" s="24">
        <f t="shared" si="6"/>
        <v>1</v>
      </c>
      <c r="D50" s="675"/>
      <c r="E50" s="24">
        <f t="shared" si="7"/>
        <v>1</v>
      </c>
      <c r="F50" s="675"/>
      <c r="G50" s="24">
        <f t="shared" si="8"/>
        <v>1</v>
      </c>
      <c r="H50" s="675"/>
      <c r="I50" s="24">
        <f t="shared" si="9"/>
        <v>1</v>
      </c>
      <c r="J50" s="675"/>
      <c r="K50" s="24">
        <f t="shared" si="10"/>
        <v>1</v>
      </c>
      <c r="L50" s="675"/>
      <c r="M50" s="24">
        <f t="shared" si="11"/>
        <v>1</v>
      </c>
      <c r="N50" s="675"/>
      <c r="O50" s="24">
        <f t="shared" si="12"/>
        <v>1</v>
      </c>
      <c r="P50" s="675"/>
      <c r="Q50" s="24">
        <f t="shared" si="13"/>
        <v>0</v>
      </c>
      <c r="R50" s="671">
        <f t="shared" si="14"/>
        <v>0</v>
      </c>
      <c r="S50" s="322">
        <f t="shared" si="5"/>
        <v>0</v>
      </c>
    </row>
    <row r="51" spans="1:19">
      <c r="A51" s="155"/>
      <c r="B51" s="57"/>
      <c r="C51" s="24">
        <f t="shared" si="6"/>
        <v>1</v>
      </c>
      <c r="D51" s="675"/>
      <c r="E51" s="24">
        <f t="shared" si="7"/>
        <v>1</v>
      </c>
      <c r="F51" s="675"/>
      <c r="G51" s="24">
        <f t="shared" si="8"/>
        <v>1</v>
      </c>
      <c r="H51" s="675"/>
      <c r="I51" s="24">
        <f t="shared" si="9"/>
        <v>1</v>
      </c>
      <c r="J51" s="675"/>
      <c r="K51" s="24">
        <f t="shared" si="10"/>
        <v>1</v>
      </c>
      <c r="L51" s="675"/>
      <c r="M51" s="24">
        <f t="shared" si="11"/>
        <v>1</v>
      </c>
      <c r="N51" s="675"/>
      <c r="O51" s="24">
        <f t="shared" si="12"/>
        <v>1</v>
      </c>
      <c r="P51" s="675"/>
      <c r="Q51" s="24">
        <f t="shared" si="13"/>
        <v>0</v>
      </c>
      <c r="R51" s="671">
        <f t="shared" si="14"/>
        <v>0</v>
      </c>
      <c r="S51" s="322">
        <f t="shared" si="5"/>
        <v>0</v>
      </c>
    </row>
    <row r="52" spans="1:19">
      <c r="A52" s="155"/>
      <c r="B52" s="57"/>
      <c r="C52" s="24">
        <f t="shared" si="6"/>
        <v>1</v>
      </c>
      <c r="D52" s="675"/>
      <c r="E52" s="24">
        <f t="shared" si="7"/>
        <v>1</v>
      </c>
      <c r="F52" s="675"/>
      <c r="G52" s="24">
        <f t="shared" si="8"/>
        <v>1</v>
      </c>
      <c r="H52" s="675"/>
      <c r="I52" s="24">
        <f t="shared" si="9"/>
        <v>1</v>
      </c>
      <c r="J52" s="675"/>
      <c r="K52" s="24">
        <f t="shared" si="10"/>
        <v>1</v>
      </c>
      <c r="L52" s="675"/>
      <c r="M52" s="24">
        <f t="shared" si="11"/>
        <v>1</v>
      </c>
      <c r="N52" s="675"/>
      <c r="O52" s="24">
        <f t="shared" si="12"/>
        <v>1</v>
      </c>
      <c r="P52" s="675"/>
      <c r="Q52" s="24">
        <f t="shared" si="13"/>
        <v>0</v>
      </c>
      <c r="R52" s="671">
        <f t="shared" si="14"/>
        <v>0</v>
      </c>
      <c r="S52" s="322">
        <f t="shared" si="5"/>
        <v>0</v>
      </c>
    </row>
    <row r="53" spans="1:19">
      <c r="A53" s="155"/>
      <c r="B53" s="57"/>
      <c r="C53" s="24">
        <f t="shared" si="6"/>
        <v>1</v>
      </c>
      <c r="D53" s="675"/>
      <c r="E53" s="24">
        <f t="shared" si="7"/>
        <v>1</v>
      </c>
      <c r="F53" s="675"/>
      <c r="G53" s="24">
        <f t="shared" si="8"/>
        <v>1</v>
      </c>
      <c r="H53" s="675"/>
      <c r="I53" s="24">
        <f t="shared" si="9"/>
        <v>1</v>
      </c>
      <c r="J53" s="675"/>
      <c r="K53" s="24">
        <f t="shared" si="10"/>
        <v>1</v>
      </c>
      <c r="L53" s="675"/>
      <c r="M53" s="24">
        <f t="shared" si="11"/>
        <v>1</v>
      </c>
      <c r="N53" s="675"/>
      <c r="O53" s="24">
        <f t="shared" si="12"/>
        <v>1</v>
      </c>
      <c r="P53" s="675"/>
      <c r="Q53" s="24">
        <f t="shared" si="13"/>
        <v>0</v>
      </c>
      <c r="R53" s="671">
        <f t="shared" si="14"/>
        <v>0</v>
      </c>
      <c r="S53" s="322">
        <f t="shared" si="5"/>
        <v>0</v>
      </c>
    </row>
    <row r="54" spans="1:19">
      <c r="A54" s="155"/>
      <c r="B54" s="57"/>
      <c r="C54" s="24">
        <f t="shared" si="6"/>
        <v>1</v>
      </c>
      <c r="D54" s="675"/>
      <c r="E54" s="24">
        <f t="shared" si="7"/>
        <v>1</v>
      </c>
      <c r="F54" s="675"/>
      <c r="G54" s="24">
        <f t="shared" si="8"/>
        <v>1</v>
      </c>
      <c r="H54" s="675"/>
      <c r="I54" s="24">
        <f t="shared" si="9"/>
        <v>1</v>
      </c>
      <c r="J54" s="675"/>
      <c r="K54" s="24">
        <f t="shared" si="10"/>
        <v>1</v>
      </c>
      <c r="L54" s="675"/>
      <c r="M54" s="24">
        <f t="shared" si="11"/>
        <v>1</v>
      </c>
      <c r="N54" s="675"/>
      <c r="O54" s="24">
        <f t="shared" si="12"/>
        <v>1</v>
      </c>
      <c r="P54" s="675"/>
      <c r="Q54" s="24">
        <f t="shared" si="13"/>
        <v>0</v>
      </c>
      <c r="R54" s="671">
        <f t="shared" si="14"/>
        <v>0</v>
      </c>
      <c r="S54" s="322">
        <f t="shared" si="5"/>
        <v>0</v>
      </c>
    </row>
    <row r="55" spans="1:19">
      <c r="A55" s="155"/>
      <c r="B55" s="57"/>
      <c r="C55" s="24">
        <f t="shared" si="6"/>
        <v>1</v>
      </c>
      <c r="D55" s="675"/>
      <c r="E55" s="24">
        <f t="shared" si="7"/>
        <v>1</v>
      </c>
      <c r="F55" s="675"/>
      <c r="G55" s="24">
        <f t="shared" si="8"/>
        <v>1</v>
      </c>
      <c r="H55" s="675"/>
      <c r="I55" s="24">
        <f t="shared" si="9"/>
        <v>1</v>
      </c>
      <c r="J55" s="675"/>
      <c r="K55" s="24">
        <f t="shared" si="10"/>
        <v>1</v>
      </c>
      <c r="L55" s="675"/>
      <c r="M55" s="24">
        <f t="shared" si="11"/>
        <v>1</v>
      </c>
      <c r="N55" s="675"/>
      <c r="O55" s="24">
        <f t="shared" si="12"/>
        <v>1</v>
      </c>
      <c r="P55" s="675"/>
      <c r="Q55" s="24">
        <f t="shared" si="13"/>
        <v>0</v>
      </c>
      <c r="R55" s="671">
        <f t="shared" si="14"/>
        <v>0</v>
      </c>
      <c r="S55" s="322">
        <f t="shared" si="5"/>
        <v>0</v>
      </c>
    </row>
    <row r="56" spans="1:19">
      <c r="A56" s="155"/>
      <c r="B56" s="57"/>
      <c r="C56" s="24">
        <f t="shared" si="6"/>
        <v>1</v>
      </c>
      <c r="D56" s="675"/>
      <c r="E56" s="24">
        <f t="shared" si="7"/>
        <v>1</v>
      </c>
      <c r="F56" s="675"/>
      <c r="G56" s="24">
        <f t="shared" si="8"/>
        <v>1</v>
      </c>
      <c r="H56" s="675"/>
      <c r="I56" s="24">
        <f t="shared" si="9"/>
        <v>1</v>
      </c>
      <c r="J56" s="675"/>
      <c r="K56" s="24">
        <f t="shared" si="10"/>
        <v>1</v>
      </c>
      <c r="L56" s="675"/>
      <c r="M56" s="24">
        <f t="shared" si="11"/>
        <v>1</v>
      </c>
      <c r="N56" s="675"/>
      <c r="O56" s="24">
        <f t="shared" si="12"/>
        <v>1</v>
      </c>
      <c r="P56" s="675"/>
      <c r="Q56" s="24">
        <f t="shared" si="13"/>
        <v>0</v>
      </c>
      <c r="R56" s="671">
        <f t="shared" si="14"/>
        <v>0</v>
      </c>
      <c r="S56" s="322">
        <f t="shared" si="5"/>
        <v>0</v>
      </c>
    </row>
    <row r="57" spans="1:19">
      <c r="A57" s="155"/>
      <c r="B57" s="57"/>
      <c r="C57" s="24">
        <f t="shared" si="6"/>
        <v>1</v>
      </c>
      <c r="D57" s="675"/>
      <c r="E57" s="24">
        <f t="shared" si="7"/>
        <v>1</v>
      </c>
      <c r="F57" s="675"/>
      <c r="G57" s="24">
        <f t="shared" si="8"/>
        <v>1</v>
      </c>
      <c r="H57" s="675"/>
      <c r="I57" s="24">
        <f t="shared" si="9"/>
        <v>1</v>
      </c>
      <c r="J57" s="675"/>
      <c r="K57" s="24">
        <f t="shared" si="10"/>
        <v>1</v>
      </c>
      <c r="L57" s="675"/>
      <c r="M57" s="24">
        <f t="shared" si="11"/>
        <v>1</v>
      </c>
      <c r="N57" s="675"/>
      <c r="O57" s="24">
        <f t="shared" si="12"/>
        <v>1</v>
      </c>
      <c r="P57" s="675"/>
      <c r="Q57" s="24">
        <f t="shared" si="13"/>
        <v>0</v>
      </c>
      <c r="R57" s="671">
        <f t="shared" si="14"/>
        <v>0</v>
      </c>
      <c r="S57" s="322">
        <f t="shared" si="5"/>
        <v>0</v>
      </c>
    </row>
    <row r="58" spans="1:19">
      <c r="A58" s="155"/>
      <c r="B58" s="57"/>
      <c r="C58" s="24">
        <f t="shared" si="6"/>
        <v>1</v>
      </c>
      <c r="D58" s="675"/>
      <c r="E58" s="24">
        <f t="shared" si="7"/>
        <v>1</v>
      </c>
      <c r="F58" s="675"/>
      <c r="G58" s="24">
        <f t="shared" si="8"/>
        <v>1</v>
      </c>
      <c r="H58" s="675"/>
      <c r="I58" s="24">
        <f t="shared" si="9"/>
        <v>1</v>
      </c>
      <c r="J58" s="675"/>
      <c r="K58" s="24">
        <f t="shared" si="10"/>
        <v>1</v>
      </c>
      <c r="L58" s="675"/>
      <c r="M58" s="24">
        <f t="shared" si="11"/>
        <v>1</v>
      </c>
      <c r="N58" s="675"/>
      <c r="O58" s="24">
        <f t="shared" si="12"/>
        <v>1</v>
      </c>
      <c r="P58" s="675"/>
      <c r="Q58" s="24">
        <f t="shared" si="13"/>
        <v>0</v>
      </c>
      <c r="R58" s="671">
        <f t="shared" si="14"/>
        <v>0</v>
      </c>
      <c r="S58" s="322">
        <f t="shared" si="5"/>
        <v>0</v>
      </c>
    </row>
    <row r="59" spans="1:19">
      <c r="A59" s="155"/>
      <c r="B59" s="57"/>
      <c r="C59" s="24">
        <f t="shared" si="6"/>
        <v>1</v>
      </c>
      <c r="D59" s="675"/>
      <c r="E59" s="24">
        <f t="shared" si="7"/>
        <v>1</v>
      </c>
      <c r="F59" s="675"/>
      <c r="G59" s="24">
        <f t="shared" si="8"/>
        <v>1</v>
      </c>
      <c r="H59" s="675"/>
      <c r="I59" s="24">
        <f t="shared" si="9"/>
        <v>1</v>
      </c>
      <c r="J59" s="675"/>
      <c r="K59" s="24">
        <f t="shared" si="10"/>
        <v>1</v>
      </c>
      <c r="L59" s="675"/>
      <c r="M59" s="24">
        <f t="shared" si="11"/>
        <v>1</v>
      </c>
      <c r="N59" s="675"/>
      <c r="O59" s="24">
        <f t="shared" si="12"/>
        <v>1</v>
      </c>
      <c r="P59" s="675"/>
      <c r="Q59" s="24">
        <f t="shared" si="13"/>
        <v>0</v>
      </c>
      <c r="R59" s="671">
        <f t="shared" si="14"/>
        <v>0</v>
      </c>
      <c r="S59" s="322">
        <f t="shared" si="5"/>
        <v>0</v>
      </c>
    </row>
    <row r="60" spans="1:19">
      <c r="A60" s="155"/>
      <c r="B60" s="57"/>
      <c r="C60" s="24">
        <f t="shared" si="6"/>
        <v>1</v>
      </c>
      <c r="D60" s="675"/>
      <c r="E60" s="24">
        <f t="shared" si="7"/>
        <v>1</v>
      </c>
      <c r="F60" s="675"/>
      <c r="G60" s="24">
        <f t="shared" si="8"/>
        <v>1</v>
      </c>
      <c r="H60" s="675"/>
      <c r="I60" s="24">
        <f t="shared" si="9"/>
        <v>1</v>
      </c>
      <c r="J60" s="675"/>
      <c r="K60" s="24">
        <f t="shared" si="10"/>
        <v>1</v>
      </c>
      <c r="L60" s="675"/>
      <c r="M60" s="24">
        <f t="shared" si="11"/>
        <v>1</v>
      </c>
      <c r="N60" s="675"/>
      <c r="O60" s="24">
        <f t="shared" si="12"/>
        <v>1</v>
      </c>
      <c r="P60" s="675"/>
      <c r="Q60" s="24">
        <f t="shared" si="13"/>
        <v>0</v>
      </c>
      <c r="R60" s="671">
        <f t="shared" si="14"/>
        <v>0</v>
      </c>
      <c r="S60" s="322">
        <f t="shared" si="5"/>
        <v>0</v>
      </c>
    </row>
    <row r="61" spans="1:19">
      <c r="A61" s="155"/>
      <c r="B61" s="57"/>
      <c r="C61" s="24">
        <f t="shared" si="6"/>
        <v>1</v>
      </c>
      <c r="D61" s="675"/>
      <c r="E61" s="24">
        <f t="shared" si="7"/>
        <v>1</v>
      </c>
      <c r="F61" s="675"/>
      <c r="G61" s="24">
        <f t="shared" si="8"/>
        <v>1</v>
      </c>
      <c r="H61" s="675"/>
      <c r="I61" s="24">
        <f t="shared" si="9"/>
        <v>1</v>
      </c>
      <c r="J61" s="675"/>
      <c r="K61" s="24">
        <f t="shared" si="10"/>
        <v>1</v>
      </c>
      <c r="L61" s="675"/>
      <c r="M61" s="24">
        <f t="shared" si="11"/>
        <v>1</v>
      </c>
      <c r="N61" s="675"/>
      <c r="O61" s="24">
        <f t="shared" si="12"/>
        <v>1</v>
      </c>
      <c r="P61" s="675"/>
      <c r="Q61" s="24">
        <f t="shared" si="13"/>
        <v>0</v>
      </c>
      <c r="R61" s="671">
        <f t="shared" si="14"/>
        <v>0</v>
      </c>
      <c r="S61" s="322">
        <f t="shared" si="5"/>
        <v>0</v>
      </c>
    </row>
    <row r="62" spans="1:19">
      <c r="A62" s="155"/>
      <c r="B62" s="57"/>
      <c r="C62" s="24">
        <f t="shared" si="6"/>
        <v>1</v>
      </c>
      <c r="D62" s="675"/>
      <c r="E62" s="24">
        <f t="shared" si="7"/>
        <v>1</v>
      </c>
      <c r="F62" s="675"/>
      <c r="G62" s="24">
        <f t="shared" si="8"/>
        <v>1</v>
      </c>
      <c r="H62" s="675"/>
      <c r="I62" s="24">
        <f t="shared" si="9"/>
        <v>1</v>
      </c>
      <c r="J62" s="675"/>
      <c r="K62" s="24">
        <f t="shared" si="10"/>
        <v>1</v>
      </c>
      <c r="L62" s="675"/>
      <c r="M62" s="24">
        <f t="shared" si="11"/>
        <v>1</v>
      </c>
      <c r="N62" s="675"/>
      <c r="O62" s="24">
        <f t="shared" si="12"/>
        <v>1</v>
      </c>
      <c r="P62" s="675"/>
      <c r="Q62" s="24">
        <f t="shared" si="13"/>
        <v>0</v>
      </c>
      <c r="R62" s="671">
        <f t="shared" si="14"/>
        <v>0</v>
      </c>
      <c r="S62" s="322">
        <f t="shared" si="5"/>
        <v>0</v>
      </c>
    </row>
    <row r="63" spans="1:19">
      <c r="A63" s="155"/>
      <c r="B63" s="57"/>
      <c r="C63" s="24">
        <f t="shared" si="6"/>
        <v>1</v>
      </c>
      <c r="D63" s="675"/>
      <c r="E63" s="24">
        <f t="shared" si="7"/>
        <v>1</v>
      </c>
      <c r="F63" s="675"/>
      <c r="G63" s="24">
        <f t="shared" si="8"/>
        <v>1</v>
      </c>
      <c r="H63" s="675"/>
      <c r="I63" s="24">
        <f t="shared" si="9"/>
        <v>1</v>
      </c>
      <c r="J63" s="675"/>
      <c r="K63" s="24">
        <f t="shared" si="10"/>
        <v>1</v>
      </c>
      <c r="L63" s="675"/>
      <c r="M63" s="24">
        <f t="shared" si="11"/>
        <v>1</v>
      </c>
      <c r="N63" s="675"/>
      <c r="O63" s="24">
        <f t="shared" si="12"/>
        <v>1</v>
      </c>
      <c r="P63" s="675"/>
      <c r="Q63" s="24">
        <f t="shared" si="13"/>
        <v>0</v>
      </c>
      <c r="R63" s="671">
        <f t="shared" si="14"/>
        <v>0</v>
      </c>
      <c r="S63" s="322">
        <f t="shared" si="5"/>
        <v>0</v>
      </c>
    </row>
    <row r="64" spans="1:19">
      <c r="A64" s="155"/>
      <c r="B64" s="57"/>
      <c r="C64" s="24">
        <f t="shared" si="6"/>
        <v>1</v>
      </c>
      <c r="D64" s="675"/>
      <c r="E64" s="24">
        <f t="shared" si="7"/>
        <v>1</v>
      </c>
      <c r="F64" s="675"/>
      <c r="G64" s="24">
        <f t="shared" si="8"/>
        <v>1</v>
      </c>
      <c r="H64" s="675"/>
      <c r="I64" s="24">
        <f t="shared" si="9"/>
        <v>1</v>
      </c>
      <c r="J64" s="675"/>
      <c r="K64" s="24">
        <f t="shared" si="10"/>
        <v>1</v>
      </c>
      <c r="L64" s="675"/>
      <c r="M64" s="24">
        <f t="shared" si="11"/>
        <v>1</v>
      </c>
      <c r="N64" s="675"/>
      <c r="O64" s="24">
        <f t="shared" si="12"/>
        <v>1</v>
      </c>
      <c r="P64" s="675"/>
      <c r="Q64" s="24">
        <f t="shared" si="13"/>
        <v>0</v>
      </c>
      <c r="R64" s="671">
        <f t="shared" si="14"/>
        <v>0</v>
      </c>
      <c r="S64" s="322">
        <f t="shared" si="5"/>
        <v>0</v>
      </c>
    </row>
    <row r="65" spans="1:19">
      <c r="A65" s="155"/>
      <c r="B65" s="57"/>
      <c r="C65" s="24">
        <f t="shared" si="6"/>
        <v>1</v>
      </c>
      <c r="D65" s="675"/>
      <c r="E65" s="24">
        <f t="shared" si="7"/>
        <v>1</v>
      </c>
      <c r="F65" s="675"/>
      <c r="G65" s="24">
        <f t="shared" si="8"/>
        <v>1</v>
      </c>
      <c r="H65" s="675"/>
      <c r="I65" s="24">
        <f t="shared" si="9"/>
        <v>1</v>
      </c>
      <c r="J65" s="675"/>
      <c r="K65" s="24">
        <f t="shared" si="10"/>
        <v>1</v>
      </c>
      <c r="L65" s="675"/>
      <c r="M65" s="24">
        <f t="shared" si="11"/>
        <v>1</v>
      </c>
      <c r="N65" s="675"/>
      <c r="O65" s="24">
        <f t="shared" si="12"/>
        <v>1</v>
      </c>
      <c r="P65" s="675"/>
      <c r="Q65" s="24">
        <f t="shared" si="13"/>
        <v>0</v>
      </c>
      <c r="R65" s="671">
        <f t="shared" si="14"/>
        <v>0</v>
      </c>
      <c r="S65" s="322">
        <f t="shared" si="5"/>
        <v>0</v>
      </c>
    </row>
    <row r="66" spans="1:19">
      <c r="A66" s="155"/>
      <c r="B66" s="57"/>
      <c r="C66" s="24">
        <f t="shared" si="6"/>
        <v>1</v>
      </c>
      <c r="D66" s="675"/>
      <c r="E66" s="24">
        <f t="shared" si="7"/>
        <v>1</v>
      </c>
      <c r="F66" s="675"/>
      <c r="G66" s="24">
        <f t="shared" si="8"/>
        <v>1</v>
      </c>
      <c r="H66" s="675"/>
      <c r="I66" s="24">
        <f t="shared" si="9"/>
        <v>1</v>
      </c>
      <c r="J66" s="675"/>
      <c r="K66" s="24">
        <f t="shared" si="10"/>
        <v>1</v>
      </c>
      <c r="L66" s="675"/>
      <c r="M66" s="24">
        <f t="shared" si="11"/>
        <v>1</v>
      </c>
      <c r="N66" s="675"/>
      <c r="O66" s="24">
        <f t="shared" si="12"/>
        <v>1</v>
      </c>
      <c r="P66" s="675"/>
      <c r="Q66" s="24">
        <f t="shared" si="13"/>
        <v>0</v>
      </c>
      <c r="R66" s="671">
        <f t="shared" si="14"/>
        <v>0</v>
      </c>
      <c r="S66" s="322">
        <f t="shared" si="5"/>
        <v>0</v>
      </c>
    </row>
    <row r="67" spans="1:19">
      <c r="A67" s="155"/>
      <c r="B67" s="57"/>
      <c r="C67" s="24">
        <f t="shared" si="6"/>
        <v>1</v>
      </c>
      <c r="D67" s="675"/>
      <c r="E67" s="24">
        <f t="shared" si="7"/>
        <v>1</v>
      </c>
      <c r="F67" s="675"/>
      <c r="G67" s="24">
        <f t="shared" si="8"/>
        <v>1</v>
      </c>
      <c r="H67" s="675"/>
      <c r="I67" s="24">
        <f t="shared" si="9"/>
        <v>1</v>
      </c>
      <c r="J67" s="675"/>
      <c r="K67" s="24">
        <f t="shared" si="10"/>
        <v>1</v>
      </c>
      <c r="L67" s="675"/>
      <c r="M67" s="24">
        <f t="shared" si="11"/>
        <v>1</v>
      </c>
      <c r="N67" s="675"/>
      <c r="O67" s="24">
        <f t="shared" si="12"/>
        <v>1</v>
      </c>
      <c r="P67" s="675"/>
      <c r="Q67" s="24">
        <f t="shared" si="13"/>
        <v>0</v>
      </c>
      <c r="R67" s="671">
        <f t="shared" si="14"/>
        <v>0</v>
      </c>
      <c r="S67" s="322">
        <f t="shared" si="5"/>
        <v>0</v>
      </c>
    </row>
    <row r="68" spans="1:19">
      <c r="A68" s="155"/>
      <c r="B68" s="57"/>
      <c r="C68" s="24">
        <f t="shared" si="6"/>
        <v>1</v>
      </c>
      <c r="D68" s="675"/>
      <c r="E68" s="24">
        <f t="shared" si="7"/>
        <v>1</v>
      </c>
      <c r="F68" s="675"/>
      <c r="G68" s="24">
        <f t="shared" si="8"/>
        <v>1</v>
      </c>
      <c r="H68" s="675"/>
      <c r="I68" s="24">
        <f t="shared" si="9"/>
        <v>1</v>
      </c>
      <c r="J68" s="675"/>
      <c r="K68" s="24">
        <f t="shared" si="10"/>
        <v>1</v>
      </c>
      <c r="L68" s="675"/>
      <c r="M68" s="24">
        <f t="shared" si="11"/>
        <v>1</v>
      </c>
      <c r="N68" s="675"/>
      <c r="O68" s="24">
        <f t="shared" si="12"/>
        <v>1</v>
      </c>
      <c r="P68" s="675"/>
      <c r="Q68" s="24">
        <f t="shared" si="13"/>
        <v>0</v>
      </c>
      <c r="R68" s="671">
        <f t="shared" si="14"/>
        <v>0</v>
      </c>
      <c r="S68" s="322">
        <f t="shared" si="5"/>
        <v>0</v>
      </c>
    </row>
    <row r="69" spans="1:19">
      <c r="A69" s="155"/>
      <c r="B69" s="57"/>
      <c r="C69" s="24">
        <f t="shared" si="6"/>
        <v>1</v>
      </c>
      <c r="D69" s="675"/>
      <c r="E69" s="24">
        <f t="shared" si="7"/>
        <v>1</v>
      </c>
      <c r="F69" s="675"/>
      <c r="G69" s="24">
        <f t="shared" si="8"/>
        <v>1</v>
      </c>
      <c r="H69" s="675"/>
      <c r="I69" s="24">
        <f t="shared" si="9"/>
        <v>1</v>
      </c>
      <c r="J69" s="675"/>
      <c r="K69" s="24">
        <f t="shared" si="10"/>
        <v>1</v>
      </c>
      <c r="L69" s="675"/>
      <c r="M69" s="24">
        <f t="shared" si="11"/>
        <v>1</v>
      </c>
      <c r="N69" s="675"/>
      <c r="O69" s="24">
        <f t="shared" si="12"/>
        <v>1</v>
      </c>
      <c r="P69" s="675"/>
      <c r="Q69" s="24">
        <f t="shared" si="13"/>
        <v>0</v>
      </c>
      <c r="R69" s="671">
        <f t="shared" si="14"/>
        <v>0</v>
      </c>
      <c r="S69" s="322">
        <f t="shared" si="5"/>
        <v>0</v>
      </c>
    </row>
    <row r="70" spans="1:19">
      <c r="A70" s="155"/>
      <c r="B70" s="57"/>
      <c r="C70" s="24">
        <f t="shared" si="6"/>
        <v>1</v>
      </c>
      <c r="D70" s="675"/>
      <c r="E70" s="24">
        <f t="shared" si="7"/>
        <v>1</v>
      </c>
      <c r="F70" s="675"/>
      <c r="G70" s="24">
        <f t="shared" si="8"/>
        <v>1</v>
      </c>
      <c r="H70" s="675"/>
      <c r="I70" s="24">
        <f t="shared" si="9"/>
        <v>1</v>
      </c>
      <c r="J70" s="675"/>
      <c r="K70" s="24">
        <f t="shared" si="10"/>
        <v>1</v>
      </c>
      <c r="L70" s="675"/>
      <c r="M70" s="24">
        <f t="shared" si="11"/>
        <v>1</v>
      </c>
      <c r="N70" s="675"/>
      <c r="O70" s="24">
        <f t="shared" si="12"/>
        <v>1</v>
      </c>
      <c r="P70" s="675"/>
      <c r="Q70" s="24">
        <f t="shared" si="13"/>
        <v>0</v>
      </c>
      <c r="R70" s="671">
        <f t="shared" si="14"/>
        <v>0</v>
      </c>
      <c r="S70" s="322">
        <f t="shared" si="5"/>
        <v>0</v>
      </c>
    </row>
    <row r="71" spans="1:19">
      <c r="A71" s="155"/>
      <c r="B71" s="57"/>
      <c r="C71" s="24">
        <f t="shared" si="6"/>
        <v>1</v>
      </c>
      <c r="D71" s="675"/>
      <c r="E71" s="24">
        <f t="shared" si="7"/>
        <v>1</v>
      </c>
      <c r="F71" s="675"/>
      <c r="G71" s="24">
        <f t="shared" si="8"/>
        <v>1</v>
      </c>
      <c r="H71" s="675"/>
      <c r="I71" s="24">
        <f t="shared" si="9"/>
        <v>1</v>
      </c>
      <c r="J71" s="675"/>
      <c r="K71" s="24">
        <f t="shared" si="10"/>
        <v>1</v>
      </c>
      <c r="L71" s="675"/>
      <c r="M71" s="24">
        <f t="shared" si="11"/>
        <v>1</v>
      </c>
      <c r="N71" s="675"/>
      <c r="O71" s="24">
        <f t="shared" si="12"/>
        <v>1</v>
      </c>
      <c r="P71" s="675"/>
      <c r="Q71" s="24">
        <f t="shared" si="13"/>
        <v>0</v>
      </c>
      <c r="R71" s="671">
        <f t="shared" si="14"/>
        <v>0</v>
      </c>
      <c r="S71" s="322">
        <f t="shared" si="5"/>
        <v>0</v>
      </c>
    </row>
    <row r="72" spans="1:19">
      <c r="A72" s="155"/>
      <c r="B72" s="57"/>
      <c r="C72" s="24">
        <f t="shared" si="6"/>
        <v>1</v>
      </c>
      <c r="D72" s="675"/>
      <c r="E72" s="24">
        <f t="shared" si="7"/>
        <v>1</v>
      </c>
      <c r="F72" s="675"/>
      <c r="G72" s="24">
        <f t="shared" si="8"/>
        <v>1</v>
      </c>
      <c r="H72" s="675"/>
      <c r="I72" s="24">
        <f t="shared" si="9"/>
        <v>1</v>
      </c>
      <c r="J72" s="675"/>
      <c r="K72" s="24">
        <f t="shared" si="10"/>
        <v>1</v>
      </c>
      <c r="L72" s="675"/>
      <c r="M72" s="24">
        <f t="shared" si="11"/>
        <v>1</v>
      </c>
      <c r="N72" s="675"/>
      <c r="O72" s="24">
        <f t="shared" si="12"/>
        <v>1</v>
      </c>
      <c r="P72" s="675"/>
      <c r="Q72" s="24">
        <f t="shared" si="13"/>
        <v>0</v>
      </c>
      <c r="R72" s="671">
        <f t="shared" si="14"/>
        <v>0</v>
      </c>
      <c r="S72" s="322">
        <f t="shared" si="5"/>
        <v>0</v>
      </c>
    </row>
    <row r="73" spans="1:19">
      <c r="A73" s="155"/>
      <c r="B73" s="57"/>
      <c r="C73" s="24">
        <f t="shared" si="6"/>
        <v>1</v>
      </c>
      <c r="D73" s="675"/>
      <c r="E73" s="24">
        <f t="shared" si="7"/>
        <v>1</v>
      </c>
      <c r="F73" s="675"/>
      <c r="G73" s="24">
        <f t="shared" si="8"/>
        <v>1</v>
      </c>
      <c r="H73" s="675"/>
      <c r="I73" s="24">
        <f t="shared" si="9"/>
        <v>1</v>
      </c>
      <c r="J73" s="675"/>
      <c r="K73" s="24">
        <f t="shared" si="10"/>
        <v>1</v>
      </c>
      <c r="L73" s="675"/>
      <c r="M73" s="24">
        <f t="shared" si="11"/>
        <v>1</v>
      </c>
      <c r="N73" s="675"/>
      <c r="O73" s="24">
        <f t="shared" si="12"/>
        <v>1</v>
      </c>
      <c r="P73" s="675"/>
      <c r="Q73" s="24">
        <f t="shared" si="13"/>
        <v>0</v>
      </c>
      <c r="R73" s="671">
        <f t="shared" si="14"/>
        <v>0</v>
      </c>
      <c r="S73" s="322">
        <f t="shared" si="5"/>
        <v>0</v>
      </c>
    </row>
    <row r="74" spans="1:19">
      <c r="A74" s="155"/>
      <c r="B74" s="57"/>
      <c r="C74" s="24">
        <f t="shared" si="6"/>
        <v>1</v>
      </c>
      <c r="D74" s="675"/>
      <c r="E74" s="24">
        <f t="shared" si="7"/>
        <v>1</v>
      </c>
      <c r="F74" s="675"/>
      <c r="G74" s="24">
        <f t="shared" si="8"/>
        <v>1</v>
      </c>
      <c r="H74" s="675"/>
      <c r="I74" s="24">
        <f t="shared" si="9"/>
        <v>1</v>
      </c>
      <c r="J74" s="675"/>
      <c r="K74" s="24">
        <f t="shared" si="10"/>
        <v>1</v>
      </c>
      <c r="L74" s="675"/>
      <c r="M74" s="24">
        <f t="shared" si="11"/>
        <v>1</v>
      </c>
      <c r="N74" s="675"/>
      <c r="O74" s="24">
        <f t="shared" si="12"/>
        <v>1</v>
      </c>
      <c r="P74" s="675"/>
      <c r="Q74" s="24">
        <f t="shared" si="13"/>
        <v>0</v>
      </c>
      <c r="R74" s="671">
        <f t="shared" si="14"/>
        <v>0</v>
      </c>
      <c r="S74" s="322">
        <f t="shared" si="5"/>
        <v>0</v>
      </c>
    </row>
    <row r="75" spans="1:19">
      <c r="A75" s="155"/>
      <c r="B75" s="57"/>
      <c r="C75" s="24">
        <f t="shared" si="6"/>
        <v>1</v>
      </c>
      <c r="D75" s="675"/>
      <c r="E75" s="24">
        <f t="shared" si="7"/>
        <v>1</v>
      </c>
      <c r="F75" s="675"/>
      <c r="G75" s="24">
        <f t="shared" si="8"/>
        <v>1</v>
      </c>
      <c r="H75" s="675"/>
      <c r="I75" s="24">
        <f t="shared" si="9"/>
        <v>1</v>
      </c>
      <c r="J75" s="675"/>
      <c r="K75" s="24">
        <f t="shared" si="10"/>
        <v>1</v>
      </c>
      <c r="L75" s="675"/>
      <c r="M75" s="24">
        <f t="shared" si="11"/>
        <v>1</v>
      </c>
      <c r="N75" s="675"/>
      <c r="O75" s="24">
        <f t="shared" si="12"/>
        <v>1</v>
      </c>
      <c r="P75" s="675"/>
      <c r="Q75" s="24">
        <f t="shared" si="13"/>
        <v>0</v>
      </c>
      <c r="R75" s="671">
        <f t="shared" si="14"/>
        <v>0</v>
      </c>
      <c r="S75" s="322">
        <f t="shared" si="5"/>
        <v>0</v>
      </c>
    </row>
    <row r="76" spans="1:19">
      <c r="A76" s="155"/>
      <c r="B76" s="57"/>
      <c r="C76" s="24">
        <f t="shared" si="6"/>
        <v>1</v>
      </c>
      <c r="D76" s="675"/>
      <c r="E76" s="24">
        <f t="shared" si="7"/>
        <v>1</v>
      </c>
      <c r="F76" s="675"/>
      <c r="G76" s="24">
        <f t="shared" si="8"/>
        <v>1</v>
      </c>
      <c r="H76" s="675"/>
      <c r="I76" s="24">
        <f t="shared" si="9"/>
        <v>1</v>
      </c>
      <c r="J76" s="675"/>
      <c r="K76" s="24">
        <f t="shared" si="10"/>
        <v>1</v>
      </c>
      <c r="L76" s="675"/>
      <c r="M76" s="24">
        <f t="shared" si="11"/>
        <v>1</v>
      </c>
      <c r="N76" s="675"/>
      <c r="O76" s="24">
        <f t="shared" si="12"/>
        <v>1</v>
      </c>
      <c r="P76" s="675"/>
      <c r="Q76" s="24">
        <f t="shared" si="13"/>
        <v>0</v>
      </c>
      <c r="R76" s="671">
        <f t="shared" si="14"/>
        <v>0</v>
      </c>
      <c r="S76" s="322">
        <f t="shared" si="5"/>
        <v>0</v>
      </c>
    </row>
    <row r="77" spans="1:19">
      <c r="A77" s="155"/>
      <c r="B77" s="57"/>
      <c r="C77" s="24">
        <f t="shared" si="6"/>
        <v>1</v>
      </c>
      <c r="D77" s="675"/>
      <c r="E77" s="24">
        <f t="shared" si="7"/>
        <v>1</v>
      </c>
      <c r="F77" s="675"/>
      <c r="G77" s="24">
        <f t="shared" si="8"/>
        <v>1</v>
      </c>
      <c r="H77" s="675"/>
      <c r="I77" s="24">
        <f t="shared" si="9"/>
        <v>1</v>
      </c>
      <c r="J77" s="675"/>
      <c r="K77" s="24">
        <f t="shared" si="10"/>
        <v>1</v>
      </c>
      <c r="L77" s="675"/>
      <c r="M77" s="24">
        <f t="shared" si="11"/>
        <v>1</v>
      </c>
      <c r="N77" s="675"/>
      <c r="O77" s="24">
        <f t="shared" si="12"/>
        <v>1</v>
      </c>
      <c r="P77" s="675"/>
      <c r="Q77" s="24">
        <f t="shared" si="13"/>
        <v>0</v>
      </c>
      <c r="R77" s="671">
        <f t="shared" si="14"/>
        <v>0</v>
      </c>
      <c r="S77" s="322">
        <f t="shared" si="5"/>
        <v>0</v>
      </c>
    </row>
    <row r="78" spans="1:19">
      <c r="A78" s="155"/>
      <c r="B78" s="57"/>
      <c r="C78" s="24">
        <f t="shared" si="6"/>
        <v>1</v>
      </c>
      <c r="D78" s="675"/>
      <c r="E78" s="24">
        <f t="shared" si="7"/>
        <v>1</v>
      </c>
      <c r="F78" s="675"/>
      <c r="G78" s="24">
        <f t="shared" si="8"/>
        <v>1</v>
      </c>
      <c r="H78" s="675"/>
      <c r="I78" s="24">
        <f t="shared" si="9"/>
        <v>1</v>
      </c>
      <c r="J78" s="675"/>
      <c r="K78" s="24">
        <f t="shared" si="10"/>
        <v>1</v>
      </c>
      <c r="L78" s="675"/>
      <c r="M78" s="24">
        <f t="shared" si="11"/>
        <v>1</v>
      </c>
      <c r="N78" s="675"/>
      <c r="O78" s="24">
        <f t="shared" si="12"/>
        <v>1</v>
      </c>
      <c r="P78" s="675"/>
      <c r="Q78" s="24">
        <f t="shared" si="13"/>
        <v>0</v>
      </c>
      <c r="R78" s="671">
        <f t="shared" si="14"/>
        <v>0</v>
      </c>
      <c r="S78" s="322">
        <f t="shared" si="5"/>
        <v>0</v>
      </c>
    </row>
    <row r="79" spans="1:19">
      <c r="A79" s="155"/>
      <c r="B79" s="57"/>
      <c r="C79" s="24">
        <f t="shared" si="6"/>
        <v>1</v>
      </c>
      <c r="D79" s="675"/>
      <c r="E79" s="24">
        <f t="shared" si="7"/>
        <v>1</v>
      </c>
      <c r="F79" s="675"/>
      <c r="G79" s="24">
        <f t="shared" si="8"/>
        <v>1</v>
      </c>
      <c r="H79" s="675"/>
      <c r="I79" s="24">
        <f t="shared" si="9"/>
        <v>1</v>
      </c>
      <c r="J79" s="675"/>
      <c r="K79" s="24">
        <f t="shared" si="10"/>
        <v>1</v>
      </c>
      <c r="L79" s="675"/>
      <c r="M79" s="24">
        <f t="shared" si="11"/>
        <v>1</v>
      </c>
      <c r="N79" s="675"/>
      <c r="O79" s="24">
        <f t="shared" si="12"/>
        <v>1</v>
      </c>
      <c r="P79" s="675"/>
      <c r="Q79" s="24">
        <f t="shared" si="13"/>
        <v>0</v>
      </c>
      <c r="R79" s="671">
        <f t="shared" si="14"/>
        <v>0</v>
      </c>
      <c r="S79" s="322">
        <f t="shared" si="5"/>
        <v>0</v>
      </c>
    </row>
    <row r="80" spans="1:19">
      <c r="A80" s="155"/>
      <c r="B80" s="57"/>
      <c r="C80" s="24">
        <f t="shared" si="6"/>
        <v>1</v>
      </c>
      <c r="D80" s="675"/>
      <c r="E80" s="24">
        <f t="shared" si="7"/>
        <v>1</v>
      </c>
      <c r="F80" s="675"/>
      <c r="G80" s="24">
        <f t="shared" si="8"/>
        <v>1</v>
      </c>
      <c r="H80" s="675"/>
      <c r="I80" s="24">
        <f t="shared" si="9"/>
        <v>1</v>
      </c>
      <c r="J80" s="675"/>
      <c r="K80" s="24">
        <f t="shared" si="10"/>
        <v>1</v>
      </c>
      <c r="L80" s="675"/>
      <c r="M80" s="24">
        <f t="shared" si="11"/>
        <v>1</v>
      </c>
      <c r="N80" s="675"/>
      <c r="O80" s="24">
        <f t="shared" si="12"/>
        <v>1</v>
      </c>
      <c r="P80" s="675"/>
      <c r="Q80" s="24">
        <f t="shared" si="13"/>
        <v>0</v>
      </c>
      <c r="R80" s="671">
        <f t="shared" si="14"/>
        <v>0</v>
      </c>
      <c r="S80" s="322">
        <f t="shared" si="5"/>
        <v>0</v>
      </c>
    </row>
    <row r="81" spans="1:19">
      <c r="A81" s="155"/>
      <c r="B81" s="57"/>
      <c r="C81" s="24">
        <f t="shared" si="6"/>
        <v>1</v>
      </c>
      <c r="D81" s="675"/>
      <c r="E81" s="24">
        <f t="shared" si="7"/>
        <v>1</v>
      </c>
      <c r="F81" s="675"/>
      <c r="G81" s="24">
        <f t="shared" si="8"/>
        <v>1</v>
      </c>
      <c r="H81" s="675"/>
      <c r="I81" s="24">
        <f t="shared" si="9"/>
        <v>1</v>
      </c>
      <c r="J81" s="675"/>
      <c r="K81" s="24">
        <f t="shared" si="10"/>
        <v>1</v>
      </c>
      <c r="L81" s="675"/>
      <c r="M81" s="24">
        <f t="shared" si="11"/>
        <v>1</v>
      </c>
      <c r="N81" s="675"/>
      <c r="O81" s="24">
        <f t="shared" si="12"/>
        <v>1</v>
      </c>
      <c r="P81" s="675"/>
      <c r="Q81" s="24">
        <f t="shared" si="13"/>
        <v>0</v>
      </c>
      <c r="R81" s="671">
        <f t="shared" si="14"/>
        <v>0</v>
      </c>
      <c r="S81" s="322">
        <f t="shared" si="5"/>
        <v>0</v>
      </c>
    </row>
    <row r="82" spans="1:19">
      <c r="A82" s="155"/>
      <c r="B82" s="57"/>
      <c r="C82" s="24">
        <f t="shared" si="6"/>
        <v>1</v>
      </c>
      <c r="D82" s="675"/>
      <c r="E82" s="24">
        <f t="shared" si="7"/>
        <v>1</v>
      </c>
      <c r="F82" s="675"/>
      <c r="G82" s="24">
        <f t="shared" si="8"/>
        <v>1</v>
      </c>
      <c r="H82" s="675"/>
      <c r="I82" s="24">
        <f t="shared" si="9"/>
        <v>1</v>
      </c>
      <c r="J82" s="675"/>
      <c r="K82" s="24">
        <f t="shared" si="10"/>
        <v>1</v>
      </c>
      <c r="L82" s="675"/>
      <c r="M82" s="24">
        <f t="shared" si="11"/>
        <v>1</v>
      </c>
      <c r="N82" s="675"/>
      <c r="O82" s="24">
        <f t="shared" si="12"/>
        <v>1</v>
      </c>
      <c r="P82" s="675"/>
      <c r="Q82" s="24">
        <f t="shared" si="13"/>
        <v>0</v>
      </c>
      <c r="R82" s="671">
        <f t="shared" si="14"/>
        <v>0</v>
      </c>
      <c r="S82" s="322">
        <f t="shared" si="5"/>
        <v>0</v>
      </c>
    </row>
    <row r="83" spans="1:19">
      <c r="A83" s="155"/>
      <c r="B83" s="57"/>
      <c r="C83" s="24">
        <f t="shared" si="6"/>
        <v>1</v>
      </c>
      <c r="D83" s="675"/>
      <c r="E83" s="24">
        <f t="shared" si="7"/>
        <v>1</v>
      </c>
      <c r="F83" s="675"/>
      <c r="G83" s="24">
        <f t="shared" si="8"/>
        <v>1</v>
      </c>
      <c r="H83" s="675"/>
      <c r="I83" s="24">
        <f t="shared" si="9"/>
        <v>1</v>
      </c>
      <c r="J83" s="675"/>
      <c r="K83" s="24">
        <f t="shared" si="10"/>
        <v>1</v>
      </c>
      <c r="L83" s="675"/>
      <c r="M83" s="24">
        <f t="shared" si="11"/>
        <v>1</v>
      </c>
      <c r="N83" s="675"/>
      <c r="O83" s="24">
        <f t="shared" si="12"/>
        <v>1</v>
      </c>
      <c r="P83" s="675"/>
      <c r="Q83" s="24">
        <f t="shared" si="13"/>
        <v>0</v>
      </c>
      <c r="R83" s="671">
        <f t="shared" si="14"/>
        <v>0</v>
      </c>
      <c r="S83" s="322">
        <f t="shared" si="5"/>
        <v>0</v>
      </c>
    </row>
    <row r="84" spans="1:19">
      <c r="A84" s="155"/>
      <c r="B84" s="57"/>
      <c r="C84" s="24">
        <f t="shared" si="6"/>
        <v>1</v>
      </c>
      <c r="D84" s="675"/>
      <c r="E84" s="24">
        <f t="shared" si="7"/>
        <v>1</v>
      </c>
      <c r="F84" s="675"/>
      <c r="G84" s="24">
        <f t="shared" si="8"/>
        <v>1</v>
      </c>
      <c r="H84" s="675"/>
      <c r="I84" s="24">
        <f t="shared" si="9"/>
        <v>1</v>
      </c>
      <c r="J84" s="675"/>
      <c r="K84" s="24">
        <f t="shared" si="10"/>
        <v>1</v>
      </c>
      <c r="L84" s="675"/>
      <c r="M84" s="24">
        <f t="shared" si="11"/>
        <v>1</v>
      </c>
      <c r="N84" s="675"/>
      <c r="O84" s="24">
        <f t="shared" si="12"/>
        <v>1</v>
      </c>
      <c r="P84" s="675"/>
      <c r="Q84" s="24">
        <f t="shared" si="13"/>
        <v>0</v>
      </c>
      <c r="R84" s="671">
        <f t="shared" si="14"/>
        <v>0</v>
      </c>
      <c r="S84" s="322">
        <f t="shared" si="5"/>
        <v>0</v>
      </c>
    </row>
    <row r="85" spans="1:19">
      <c r="A85" s="155"/>
      <c r="B85" s="57"/>
      <c r="C85" s="24">
        <f t="shared" si="6"/>
        <v>1</v>
      </c>
      <c r="D85" s="675"/>
      <c r="E85" s="24">
        <f t="shared" si="7"/>
        <v>1</v>
      </c>
      <c r="F85" s="675"/>
      <c r="G85" s="24">
        <f t="shared" si="8"/>
        <v>1</v>
      </c>
      <c r="H85" s="675"/>
      <c r="I85" s="24">
        <f t="shared" si="9"/>
        <v>1</v>
      </c>
      <c r="J85" s="675"/>
      <c r="K85" s="24">
        <f t="shared" si="10"/>
        <v>1</v>
      </c>
      <c r="L85" s="675"/>
      <c r="M85" s="24">
        <f t="shared" si="11"/>
        <v>1</v>
      </c>
      <c r="N85" s="675"/>
      <c r="O85" s="24">
        <f t="shared" si="12"/>
        <v>1</v>
      </c>
      <c r="P85" s="675"/>
      <c r="Q85" s="24">
        <f t="shared" si="13"/>
        <v>0</v>
      </c>
      <c r="R85" s="671">
        <f t="shared" si="14"/>
        <v>0</v>
      </c>
      <c r="S85" s="322">
        <f t="shared" si="5"/>
        <v>0</v>
      </c>
    </row>
    <row r="86" spans="1:19">
      <c r="A86" s="155"/>
      <c r="B86" s="57"/>
      <c r="C86" s="24">
        <f t="shared" si="6"/>
        <v>1</v>
      </c>
      <c r="D86" s="675"/>
      <c r="E86" s="24">
        <f t="shared" si="7"/>
        <v>1</v>
      </c>
      <c r="F86" s="675"/>
      <c r="G86" s="24">
        <f t="shared" si="8"/>
        <v>1</v>
      </c>
      <c r="H86" s="675"/>
      <c r="I86" s="24">
        <f t="shared" si="9"/>
        <v>1</v>
      </c>
      <c r="J86" s="675"/>
      <c r="K86" s="24">
        <f t="shared" si="10"/>
        <v>1</v>
      </c>
      <c r="L86" s="675"/>
      <c r="M86" s="24">
        <f t="shared" si="11"/>
        <v>1</v>
      </c>
      <c r="N86" s="675"/>
      <c r="O86" s="24">
        <f t="shared" si="12"/>
        <v>1</v>
      </c>
      <c r="P86" s="675"/>
      <c r="Q86" s="24">
        <f t="shared" si="13"/>
        <v>0</v>
      </c>
      <c r="R86" s="671">
        <f t="shared" si="14"/>
        <v>0</v>
      </c>
      <c r="S86" s="322">
        <f t="shared" si="5"/>
        <v>0</v>
      </c>
    </row>
    <row r="87" spans="1:19">
      <c r="A87" s="155"/>
      <c r="B87" s="57"/>
      <c r="C87" s="24">
        <f t="shared" si="6"/>
        <v>1</v>
      </c>
      <c r="D87" s="675"/>
      <c r="E87" s="24">
        <f t="shared" si="7"/>
        <v>1</v>
      </c>
      <c r="F87" s="675"/>
      <c r="G87" s="24">
        <f t="shared" si="8"/>
        <v>1</v>
      </c>
      <c r="H87" s="675"/>
      <c r="I87" s="24">
        <f t="shared" si="9"/>
        <v>1</v>
      </c>
      <c r="J87" s="675"/>
      <c r="K87" s="24">
        <f t="shared" si="10"/>
        <v>1</v>
      </c>
      <c r="L87" s="675"/>
      <c r="M87" s="24">
        <f t="shared" si="11"/>
        <v>1</v>
      </c>
      <c r="N87" s="675"/>
      <c r="O87" s="24">
        <f t="shared" si="12"/>
        <v>1</v>
      </c>
      <c r="P87" s="675"/>
      <c r="Q87" s="24">
        <f t="shared" si="13"/>
        <v>0</v>
      </c>
      <c r="R87" s="671">
        <f t="shared" si="14"/>
        <v>0</v>
      </c>
      <c r="S87" s="322">
        <f t="shared" si="5"/>
        <v>0</v>
      </c>
    </row>
    <row r="88" spans="1:19">
      <c r="A88" s="155"/>
      <c r="B88" s="57"/>
      <c r="C88" s="24">
        <f t="shared" si="6"/>
        <v>1</v>
      </c>
      <c r="D88" s="675"/>
      <c r="E88" s="24">
        <f t="shared" si="7"/>
        <v>1</v>
      </c>
      <c r="F88" s="675"/>
      <c r="G88" s="24">
        <f t="shared" si="8"/>
        <v>1</v>
      </c>
      <c r="H88" s="675"/>
      <c r="I88" s="24">
        <f t="shared" si="9"/>
        <v>1</v>
      </c>
      <c r="J88" s="675"/>
      <c r="K88" s="24">
        <f t="shared" si="10"/>
        <v>1</v>
      </c>
      <c r="L88" s="675"/>
      <c r="M88" s="24">
        <f t="shared" si="11"/>
        <v>1</v>
      </c>
      <c r="N88" s="675"/>
      <c r="O88" s="24">
        <f t="shared" si="12"/>
        <v>1</v>
      </c>
      <c r="P88" s="675"/>
      <c r="Q88" s="24">
        <f t="shared" si="13"/>
        <v>0</v>
      </c>
      <c r="R88" s="671">
        <f t="shared" si="14"/>
        <v>0</v>
      </c>
      <c r="S88" s="322">
        <f t="shared" ref="S88:S151" si="15">ROUND(R88*B88/10000,0)</f>
        <v>0</v>
      </c>
    </row>
    <row r="89" spans="1:19">
      <c r="A89" s="155"/>
      <c r="B89" s="57"/>
      <c r="C89" s="24">
        <f t="shared" si="6"/>
        <v>1</v>
      </c>
      <c r="D89" s="675"/>
      <c r="E89" s="24">
        <f t="shared" si="7"/>
        <v>1</v>
      </c>
      <c r="F89" s="675"/>
      <c r="G89" s="24">
        <f t="shared" si="8"/>
        <v>1</v>
      </c>
      <c r="H89" s="675"/>
      <c r="I89" s="24">
        <f t="shared" si="9"/>
        <v>1</v>
      </c>
      <c r="J89" s="675"/>
      <c r="K89" s="24">
        <f t="shared" si="10"/>
        <v>1</v>
      </c>
      <c r="L89" s="675"/>
      <c r="M89" s="24">
        <f t="shared" si="11"/>
        <v>1</v>
      </c>
      <c r="N89" s="675"/>
      <c r="O89" s="24">
        <f t="shared" si="12"/>
        <v>1</v>
      </c>
      <c r="P89" s="675"/>
      <c r="Q89" s="24">
        <f t="shared" si="13"/>
        <v>0</v>
      </c>
      <c r="R89" s="671">
        <f t="shared" si="14"/>
        <v>0</v>
      </c>
      <c r="S89" s="322">
        <f t="shared" si="15"/>
        <v>0</v>
      </c>
    </row>
    <row r="90" spans="1:19">
      <c r="A90" s="155"/>
      <c r="B90" s="57"/>
      <c r="C90" s="24">
        <f t="shared" ref="C90:C153" si="16">IF(B90="",1,(LOOKUP(B90,$3:$3,$4:$4)-LOOKUP($B$24,$3:$3,$4:$4)+100)/100)</f>
        <v>1</v>
      </c>
      <c r="D90" s="675"/>
      <c r="E90" s="24">
        <f t="shared" ref="E90:E153" si="17">(SUMIF($5:$5,D90,$6:$6)-SUMIF($5:$5,$D$24,$6:$6)+100)/100</f>
        <v>1</v>
      </c>
      <c r="F90" s="675"/>
      <c r="G90" s="24">
        <f t="shared" ref="G90:G153" si="18">(SUMIF($7:$7,F90,$8:$8)-SUMIF($7:$7,$F$24,$8:$8)+100)/100</f>
        <v>1</v>
      </c>
      <c r="H90" s="675"/>
      <c r="I90" s="24">
        <f t="shared" ref="I90:I153" si="19">(SUMIF($9:$9,H90,$10:$10)-SUMIF($9:$9,$H$24,$10:$10)+100)/100</f>
        <v>1</v>
      </c>
      <c r="J90" s="675"/>
      <c r="K90" s="24">
        <f t="shared" ref="K90:K153" si="20">(SUMIF($11:$11,J90,$12:$12)-SUMIF($11:$11,$J$24,$12:$12)+100)/100</f>
        <v>1</v>
      </c>
      <c r="L90" s="675"/>
      <c r="M90" s="24">
        <f t="shared" ref="M90:M153" si="21">(SUMIF($13:$13,L90,$14:$14)-SUMIF($13:$13,$L$24,$14:$14)+100)/100</f>
        <v>1</v>
      </c>
      <c r="N90" s="675"/>
      <c r="O90" s="24">
        <f t="shared" ref="O90:O153" si="22">(SUMIF($15:$15,N90,$16:$16)-SUMIF($15:$15,$N$24,$16:$16)+100)/100</f>
        <v>1</v>
      </c>
      <c r="P90" s="675"/>
      <c r="Q90" s="24">
        <f t="shared" ref="Q90:Q153" si="23">(SUMIF($17:$17,P90,$18:$18)-SUMIF($17:$17,$P$24,$18:$18)+100)/100</f>
        <v>0</v>
      </c>
      <c r="R90" s="671">
        <f t="shared" ref="R90:R153" si="24">IF(B90="",0,ROUND($R$24*C90*E90*G90*I90*K90*M90*O90*Q90,0))</f>
        <v>0</v>
      </c>
      <c r="S90" s="322">
        <f t="shared" si="15"/>
        <v>0</v>
      </c>
    </row>
    <row r="91" spans="1:19">
      <c r="A91" s="155"/>
      <c r="B91" s="57"/>
      <c r="C91" s="24">
        <f t="shared" si="16"/>
        <v>1</v>
      </c>
      <c r="D91" s="675"/>
      <c r="E91" s="24">
        <f t="shared" si="17"/>
        <v>1</v>
      </c>
      <c r="F91" s="675"/>
      <c r="G91" s="24">
        <f t="shared" si="18"/>
        <v>1</v>
      </c>
      <c r="H91" s="675"/>
      <c r="I91" s="24">
        <f t="shared" si="19"/>
        <v>1</v>
      </c>
      <c r="J91" s="675"/>
      <c r="K91" s="24">
        <f t="shared" si="20"/>
        <v>1</v>
      </c>
      <c r="L91" s="675"/>
      <c r="M91" s="24">
        <f t="shared" si="21"/>
        <v>1</v>
      </c>
      <c r="N91" s="675"/>
      <c r="O91" s="24">
        <f t="shared" si="22"/>
        <v>1</v>
      </c>
      <c r="P91" s="675"/>
      <c r="Q91" s="24">
        <f t="shared" si="23"/>
        <v>0</v>
      </c>
      <c r="R91" s="671">
        <f t="shared" si="24"/>
        <v>0</v>
      </c>
      <c r="S91" s="322">
        <f t="shared" si="15"/>
        <v>0</v>
      </c>
    </row>
    <row r="92" spans="1:19">
      <c r="A92" s="155"/>
      <c r="B92" s="57"/>
      <c r="C92" s="24">
        <f t="shared" si="16"/>
        <v>1</v>
      </c>
      <c r="D92" s="675"/>
      <c r="E92" s="24">
        <f t="shared" si="17"/>
        <v>1</v>
      </c>
      <c r="F92" s="675"/>
      <c r="G92" s="24">
        <f t="shared" si="18"/>
        <v>1</v>
      </c>
      <c r="H92" s="675"/>
      <c r="I92" s="24">
        <f t="shared" si="19"/>
        <v>1</v>
      </c>
      <c r="J92" s="675"/>
      <c r="K92" s="24">
        <f t="shared" si="20"/>
        <v>1</v>
      </c>
      <c r="L92" s="675"/>
      <c r="M92" s="24">
        <f t="shared" si="21"/>
        <v>1</v>
      </c>
      <c r="N92" s="675"/>
      <c r="O92" s="24">
        <f t="shared" si="22"/>
        <v>1</v>
      </c>
      <c r="P92" s="675"/>
      <c r="Q92" s="24">
        <f t="shared" si="23"/>
        <v>0</v>
      </c>
      <c r="R92" s="671">
        <f t="shared" si="24"/>
        <v>0</v>
      </c>
      <c r="S92" s="322">
        <f t="shared" si="15"/>
        <v>0</v>
      </c>
    </row>
    <row r="93" spans="1:19">
      <c r="A93" s="155"/>
      <c r="B93" s="57"/>
      <c r="C93" s="24">
        <f t="shared" si="16"/>
        <v>1</v>
      </c>
      <c r="D93" s="675"/>
      <c r="E93" s="24">
        <f t="shared" si="17"/>
        <v>1</v>
      </c>
      <c r="F93" s="675"/>
      <c r="G93" s="24">
        <f t="shared" si="18"/>
        <v>1</v>
      </c>
      <c r="H93" s="675"/>
      <c r="I93" s="24">
        <f t="shared" si="19"/>
        <v>1</v>
      </c>
      <c r="J93" s="675"/>
      <c r="K93" s="24">
        <f t="shared" si="20"/>
        <v>1</v>
      </c>
      <c r="L93" s="675"/>
      <c r="M93" s="24">
        <f t="shared" si="21"/>
        <v>1</v>
      </c>
      <c r="N93" s="675"/>
      <c r="O93" s="24">
        <f t="shared" si="22"/>
        <v>1</v>
      </c>
      <c r="P93" s="675"/>
      <c r="Q93" s="24">
        <f t="shared" si="23"/>
        <v>0</v>
      </c>
      <c r="R93" s="671">
        <f t="shared" si="24"/>
        <v>0</v>
      </c>
      <c r="S93" s="322">
        <f t="shared" si="15"/>
        <v>0</v>
      </c>
    </row>
    <row r="94" spans="1:19">
      <c r="A94" s="155"/>
      <c r="B94" s="57"/>
      <c r="C94" s="24">
        <f t="shared" si="16"/>
        <v>1</v>
      </c>
      <c r="D94" s="675"/>
      <c r="E94" s="24">
        <f t="shared" si="17"/>
        <v>1</v>
      </c>
      <c r="F94" s="675"/>
      <c r="G94" s="24">
        <f t="shared" si="18"/>
        <v>1</v>
      </c>
      <c r="H94" s="675"/>
      <c r="I94" s="24">
        <f t="shared" si="19"/>
        <v>1</v>
      </c>
      <c r="J94" s="675"/>
      <c r="K94" s="24">
        <f t="shared" si="20"/>
        <v>1</v>
      </c>
      <c r="L94" s="675"/>
      <c r="M94" s="24">
        <f t="shared" si="21"/>
        <v>1</v>
      </c>
      <c r="N94" s="675"/>
      <c r="O94" s="24">
        <f t="shared" si="22"/>
        <v>1</v>
      </c>
      <c r="P94" s="675"/>
      <c r="Q94" s="24">
        <f t="shared" si="23"/>
        <v>0</v>
      </c>
      <c r="R94" s="671">
        <f t="shared" si="24"/>
        <v>0</v>
      </c>
      <c r="S94" s="322">
        <f t="shared" si="15"/>
        <v>0</v>
      </c>
    </row>
    <row r="95" spans="1:19">
      <c r="A95" s="155"/>
      <c r="B95" s="57"/>
      <c r="C95" s="24">
        <f t="shared" si="16"/>
        <v>1</v>
      </c>
      <c r="D95" s="675"/>
      <c r="E95" s="24">
        <f t="shared" si="17"/>
        <v>1</v>
      </c>
      <c r="F95" s="675"/>
      <c r="G95" s="24">
        <f t="shared" si="18"/>
        <v>1</v>
      </c>
      <c r="H95" s="675"/>
      <c r="I95" s="24">
        <f t="shared" si="19"/>
        <v>1</v>
      </c>
      <c r="J95" s="675"/>
      <c r="K95" s="24">
        <f t="shared" si="20"/>
        <v>1</v>
      </c>
      <c r="L95" s="675"/>
      <c r="M95" s="24">
        <f t="shared" si="21"/>
        <v>1</v>
      </c>
      <c r="N95" s="675"/>
      <c r="O95" s="24">
        <f t="shared" si="22"/>
        <v>1</v>
      </c>
      <c r="P95" s="675"/>
      <c r="Q95" s="24">
        <f t="shared" si="23"/>
        <v>0</v>
      </c>
      <c r="R95" s="671">
        <f t="shared" si="24"/>
        <v>0</v>
      </c>
      <c r="S95" s="322">
        <f t="shared" si="15"/>
        <v>0</v>
      </c>
    </row>
    <row r="96" spans="1:19">
      <c r="A96" s="155"/>
      <c r="B96" s="57"/>
      <c r="C96" s="24">
        <f t="shared" si="16"/>
        <v>1</v>
      </c>
      <c r="D96" s="675"/>
      <c r="E96" s="24">
        <f t="shared" si="17"/>
        <v>1</v>
      </c>
      <c r="F96" s="675"/>
      <c r="G96" s="24">
        <f t="shared" si="18"/>
        <v>1</v>
      </c>
      <c r="H96" s="675"/>
      <c r="I96" s="24">
        <f t="shared" si="19"/>
        <v>1</v>
      </c>
      <c r="J96" s="675"/>
      <c r="K96" s="24">
        <f t="shared" si="20"/>
        <v>1</v>
      </c>
      <c r="L96" s="675"/>
      <c r="M96" s="24">
        <f t="shared" si="21"/>
        <v>1</v>
      </c>
      <c r="N96" s="675"/>
      <c r="O96" s="24">
        <f t="shared" si="22"/>
        <v>1</v>
      </c>
      <c r="P96" s="675"/>
      <c r="Q96" s="24">
        <f t="shared" si="23"/>
        <v>0</v>
      </c>
      <c r="R96" s="671">
        <f t="shared" si="24"/>
        <v>0</v>
      </c>
      <c r="S96" s="322">
        <f t="shared" si="15"/>
        <v>0</v>
      </c>
    </row>
    <row r="97" spans="1:19">
      <c r="A97" s="155"/>
      <c r="B97" s="57"/>
      <c r="C97" s="24">
        <f t="shared" si="16"/>
        <v>1</v>
      </c>
      <c r="D97" s="675"/>
      <c r="E97" s="24">
        <f t="shared" si="17"/>
        <v>1</v>
      </c>
      <c r="F97" s="675"/>
      <c r="G97" s="24">
        <f t="shared" si="18"/>
        <v>1</v>
      </c>
      <c r="H97" s="675"/>
      <c r="I97" s="24">
        <f t="shared" si="19"/>
        <v>1</v>
      </c>
      <c r="J97" s="675"/>
      <c r="K97" s="24">
        <f t="shared" si="20"/>
        <v>1</v>
      </c>
      <c r="L97" s="675"/>
      <c r="M97" s="24">
        <f t="shared" si="21"/>
        <v>1</v>
      </c>
      <c r="N97" s="675"/>
      <c r="O97" s="24">
        <f t="shared" si="22"/>
        <v>1</v>
      </c>
      <c r="P97" s="675"/>
      <c r="Q97" s="24">
        <f t="shared" si="23"/>
        <v>0</v>
      </c>
      <c r="R97" s="671">
        <f t="shared" si="24"/>
        <v>0</v>
      </c>
      <c r="S97" s="322">
        <f t="shared" si="15"/>
        <v>0</v>
      </c>
    </row>
    <row r="98" spans="1:19">
      <c r="A98" s="155"/>
      <c r="B98" s="57"/>
      <c r="C98" s="24">
        <f t="shared" si="16"/>
        <v>1</v>
      </c>
      <c r="D98" s="675"/>
      <c r="E98" s="24">
        <f t="shared" si="17"/>
        <v>1</v>
      </c>
      <c r="F98" s="675"/>
      <c r="G98" s="24">
        <f t="shared" si="18"/>
        <v>1</v>
      </c>
      <c r="H98" s="675"/>
      <c r="I98" s="24">
        <f t="shared" si="19"/>
        <v>1</v>
      </c>
      <c r="J98" s="675"/>
      <c r="K98" s="24">
        <f t="shared" si="20"/>
        <v>1</v>
      </c>
      <c r="L98" s="675"/>
      <c r="M98" s="24">
        <f t="shared" si="21"/>
        <v>1</v>
      </c>
      <c r="N98" s="675"/>
      <c r="O98" s="24">
        <f t="shared" si="22"/>
        <v>1</v>
      </c>
      <c r="P98" s="675"/>
      <c r="Q98" s="24">
        <f t="shared" si="23"/>
        <v>0</v>
      </c>
      <c r="R98" s="671">
        <f t="shared" si="24"/>
        <v>0</v>
      </c>
      <c r="S98" s="322">
        <f t="shared" si="15"/>
        <v>0</v>
      </c>
    </row>
    <row r="99" spans="1:19">
      <c r="A99" s="155"/>
      <c r="B99" s="57"/>
      <c r="C99" s="24">
        <f t="shared" si="16"/>
        <v>1</v>
      </c>
      <c r="D99" s="675"/>
      <c r="E99" s="24">
        <f t="shared" si="17"/>
        <v>1</v>
      </c>
      <c r="F99" s="675"/>
      <c r="G99" s="24">
        <f t="shared" si="18"/>
        <v>1</v>
      </c>
      <c r="H99" s="675"/>
      <c r="I99" s="24">
        <f t="shared" si="19"/>
        <v>1</v>
      </c>
      <c r="J99" s="675"/>
      <c r="K99" s="24">
        <f t="shared" si="20"/>
        <v>1</v>
      </c>
      <c r="L99" s="675"/>
      <c r="M99" s="24">
        <f t="shared" si="21"/>
        <v>1</v>
      </c>
      <c r="N99" s="675"/>
      <c r="O99" s="24">
        <f t="shared" si="22"/>
        <v>1</v>
      </c>
      <c r="P99" s="675"/>
      <c r="Q99" s="24">
        <f t="shared" si="23"/>
        <v>0</v>
      </c>
      <c r="R99" s="671">
        <f t="shared" si="24"/>
        <v>0</v>
      </c>
      <c r="S99" s="322">
        <f t="shared" si="15"/>
        <v>0</v>
      </c>
    </row>
    <row r="100" spans="1:19">
      <c r="A100" s="155"/>
      <c r="B100" s="57"/>
      <c r="C100" s="24">
        <f t="shared" si="16"/>
        <v>1</v>
      </c>
      <c r="D100" s="675"/>
      <c r="E100" s="24">
        <f t="shared" si="17"/>
        <v>1</v>
      </c>
      <c r="F100" s="675"/>
      <c r="G100" s="24">
        <f t="shared" si="18"/>
        <v>1</v>
      </c>
      <c r="H100" s="675"/>
      <c r="I100" s="24">
        <f t="shared" si="19"/>
        <v>1</v>
      </c>
      <c r="J100" s="675"/>
      <c r="K100" s="24">
        <f t="shared" si="20"/>
        <v>1</v>
      </c>
      <c r="L100" s="675"/>
      <c r="M100" s="24">
        <f t="shared" si="21"/>
        <v>1</v>
      </c>
      <c r="N100" s="675"/>
      <c r="O100" s="24">
        <f t="shared" si="22"/>
        <v>1</v>
      </c>
      <c r="P100" s="675"/>
      <c r="Q100" s="24">
        <f t="shared" si="23"/>
        <v>0</v>
      </c>
      <c r="R100" s="671">
        <f t="shared" si="24"/>
        <v>0</v>
      </c>
      <c r="S100" s="322">
        <f t="shared" si="15"/>
        <v>0</v>
      </c>
    </row>
    <row r="101" spans="1:19">
      <c r="A101" s="155"/>
      <c r="B101" s="57"/>
      <c r="C101" s="24">
        <f t="shared" si="16"/>
        <v>1</v>
      </c>
      <c r="D101" s="675"/>
      <c r="E101" s="24">
        <f t="shared" si="17"/>
        <v>1</v>
      </c>
      <c r="F101" s="675"/>
      <c r="G101" s="24">
        <f t="shared" si="18"/>
        <v>1</v>
      </c>
      <c r="H101" s="675"/>
      <c r="I101" s="24">
        <f t="shared" si="19"/>
        <v>1</v>
      </c>
      <c r="J101" s="675"/>
      <c r="K101" s="24">
        <f t="shared" si="20"/>
        <v>1</v>
      </c>
      <c r="L101" s="675"/>
      <c r="M101" s="24">
        <f t="shared" si="21"/>
        <v>1</v>
      </c>
      <c r="N101" s="675"/>
      <c r="O101" s="24">
        <f t="shared" si="22"/>
        <v>1</v>
      </c>
      <c r="P101" s="675"/>
      <c r="Q101" s="24">
        <f t="shared" si="23"/>
        <v>0</v>
      </c>
      <c r="R101" s="671">
        <f t="shared" si="24"/>
        <v>0</v>
      </c>
      <c r="S101" s="322">
        <f t="shared" si="15"/>
        <v>0</v>
      </c>
    </row>
    <row r="102" spans="1:19">
      <c r="A102" s="155"/>
      <c r="B102" s="57"/>
      <c r="C102" s="24">
        <f t="shared" si="16"/>
        <v>1</v>
      </c>
      <c r="D102" s="675"/>
      <c r="E102" s="24">
        <f t="shared" si="17"/>
        <v>1</v>
      </c>
      <c r="F102" s="675"/>
      <c r="G102" s="24">
        <f t="shared" si="18"/>
        <v>1</v>
      </c>
      <c r="H102" s="675"/>
      <c r="I102" s="24">
        <f t="shared" si="19"/>
        <v>1</v>
      </c>
      <c r="J102" s="675"/>
      <c r="K102" s="24">
        <f t="shared" si="20"/>
        <v>1</v>
      </c>
      <c r="L102" s="675"/>
      <c r="M102" s="24">
        <f t="shared" si="21"/>
        <v>1</v>
      </c>
      <c r="N102" s="675"/>
      <c r="O102" s="24">
        <f t="shared" si="22"/>
        <v>1</v>
      </c>
      <c r="P102" s="675"/>
      <c r="Q102" s="24">
        <f t="shared" si="23"/>
        <v>0</v>
      </c>
      <c r="R102" s="671">
        <f t="shared" si="24"/>
        <v>0</v>
      </c>
      <c r="S102" s="322">
        <f t="shared" si="15"/>
        <v>0</v>
      </c>
    </row>
    <row r="103" spans="1:19">
      <c r="A103" s="155"/>
      <c r="B103" s="57"/>
      <c r="C103" s="24">
        <f t="shared" si="16"/>
        <v>1</v>
      </c>
      <c r="D103" s="675"/>
      <c r="E103" s="24">
        <f t="shared" si="17"/>
        <v>1</v>
      </c>
      <c r="F103" s="675"/>
      <c r="G103" s="24">
        <f t="shared" si="18"/>
        <v>1</v>
      </c>
      <c r="H103" s="675"/>
      <c r="I103" s="24">
        <f t="shared" si="19"/>
        <v>1</v>
      </c>
      <c r="J103" s="675"/>
      <c r="K103" s="24">
        <f t="shared" si="20"/>
        <v>1</v>
      </c>
      <c r="L103" s="675"/>
      <c r="M103" s="24">
        <f t="shared" si="21"/>
        <v>1</v>
      </c>
      <c r="N103" s="675"/>
      <c r="O103" s="24">
        <f t="shared" si="22"/>
        <v>1</v>
      </c>
      <c r="P103" s="675"/>
      <c r="Q103" s="24">
        <f t="shared" si="23"/>
        <v>0</v>
      </c>
      <c r="R103" s="671">
        <f t="shared" si="24"/>
        <v>0</v>
      </c>
      <c r="S103" s="322">
        <f t="shared" si="15"/>
        <v>0</v>
      </c>
    </row>
    <row r="104" spans="1:19">
      <c r="A104" s="155"/>
      <c r="B104" s="57"/>
      <c r="C104" s="24">
        <f t="shared" si="16"/>
        <v>1</v>
      </c>
      <c r="D104" s="675"/>
      <c r="E104" s="24">
        <f t="shared" si="17"/>
        <v>1</v>
      </c>
      <c r="F104" s="675"/>
      <c r="G104" s="24">
        <f t="shared" si="18"/>
        <v>1</v>
      </c>
      <c r="H104" s="675"/>
      <c r="I104" s="24">
        <f t="shared" si="19"/>
        <v>1</v>
      </c>
      <c r="J104" s="675"/>
      <c r="K104" s="24">
        <f t="shared" si="20"/>
        <v>1</v>
      </c>
      <c r="L104" s="675"/>
      <c r="M104" s="24">
        <f t="shared" si="21"/>
        <v>1</v>
      </c>
      <c r="N104" s="675"/>
      <c r="O104" s="24">
        <f t="shared" si="22"/>
        <v>1</v>
      </c>
      <c r="P104" s="675"/>
      <c r="Q104" s="24">
        <f t="shared" si="23"/>
        <v>0</v>
      </c>
      <c r="R104" s="671">
        <f t="shared" si="24"/>
        <v>0</v>
      </c>
      <c r="S104" s="322">
        <f t="shared" si="15"/>
        <v>0</v>
      </c>
    </row>
    <row r="105" spans="1:19">
      <c r="A105" s="155"/>
      <c r="B105" s="57"/>
      <c r="C105" s="24">
        <f t="shared" si="16"/>
        <v>1</v>
      </c>
      <c r="D105" s="675"/>
      <c r="E105" s="24">
        <f t="shared" si="17"/>
        <v>1</v>
      </c>
      <c r="F105" s="675"/>
      <c r="G105" s="24">
        <f t="shared" si="18"/>
        <v>1</v>
      </c>
      <c r="H105" s="675"/>
      <c r="I105" s="24">
        <f t="shared" si="19"/>
        <v>1</v>
      </c>
      <c r="J105" s="675"/>
      <c r="K105" s="24">
        <f t="shared" si="20"/>
        <v>1</v>
      </c>
      <c r="L105" s="675"/>
      <c r="M105" s="24">
        <f t="shared" si="21"/>
        <v>1</v>
      </c>
      <c r="N105" s="675"/>
      <c r="O105" s="24">
        <f t="shared" si="22"/>
        <v>1</v>
      </c>
      <c r="P105" s="675"/>
      <c r="Q105" s="24">
        <f t="shared" si="23"/>
        <v>0</v>
      </c>
      <c r="R105" s="671">
        <f t="shared" si="24"/>
        <v>0</v>
      </c>
      <c r="S105" s="322">
        <f t="shared" si="15"/>
        <v>0</v>
      </c>
    </row>
    <row r="106" spans="1:19">
      <c r="A106" s="155"/>
      <c r="B106" s="57"/>
      <c r="C106" s="24">
        <f t="shared" si="16"/>
        <v>1</v>
      </c>
      <c r="D106" s="675"/>
      <c r="E106" s="24">
        <f t="shared" si="17"/>
        <v>1</v>
      </c>
      <c r="F106" s="675"/>
      <c r="G106" s="24">
        <f t="shared" si="18"/>
        <v>1</v>
      </c>
      <c r="H106" s="675"/>
      <c r="I106" s="24">
        <f t="shared" si="19"/>
        <v>1</v>
      </c>
      <c r="J106" s="675"/>
      <c r="K106" s="24">
        <f t="shared" si="20"/>
        <v>1</v>
      </c>
      <c r="L106" s="675"/>
      <c r="M106" s="24">
        <f t="shared" si="21"/>
        <v>1</v>
      </c>
      <c r="N106" s="675"/>
      <c r="O106" s="24">
        <f t="shared" si="22"/>
        <v>1</v>
      </c>
      <c r="P106" s="675"/>
      <c r="Q106" s="24">
        <f t="shared" si="23"/>
        <v>0</v>
      </c>
      <c r="R106" s="671">
        <f t="shared" si="24"/>
        <v>0</v>
      </c>
      <c r="S106" s="322">
        <f t="shared" si="15"/>
        <v>0</v>
      </c>
    </row>
    <row r="107" spans="1:19">
      <c r="A107" s="155"/>
      <c r="B107" s="57"/>
      <c r="C107" s="24">
        <f t="shared" si="16"/>
        <v>1</v>
      </c>
      <c r="D107" s="675"/>
      <c r="E107" s="24">
        <f t="shared" si="17"/>
        <v>1</v>
      </c>
      <c r="F107" s="675"/>
      <c r="G107" s="24">
        <f t="shared" si="18"/>
        <v>1</v>
      </c>
      <c r="H107" s="675"/>
      <c r="I107" s="24">
        <f t="shared" si="19"/>
        <v>1</v>
      </c>
      <c r="J107" s="675"/>
      <c r="K107" s="24">
        <f t="shared" si="20"/>
        <v>1</v>
      </c>
      <c r="L107" s="675"/>
      <c r="M107" s="24">
        <f t="shared" si="21"/>
        <v>1</v>
      </c>
      <c r="N107" s="675"/>
      <c r="O107" s="24">
        <f t="shared" si="22"/>
        <v>1</v>
      </c>
      <c r="P107" s="675"/>
      <c r="Q107" s="24">
        <f t="shared" si="23"/>
        <v>0</v>
      </c>
      <c r="R107" s="671">
        <f t="shared" si="24"/>
        <v>0</v>
      </c>
      <c r="S107" s="322">
        <f t="shared" si="15"/>
        <v>0</v>
      </c>
    </row>
    <row r="108" spans="1:19">
      <c r="A108" s="155"/>
      <c r="B108" s="57"/>
      <c r="C108" s="24">
        <f t="shared" si="16"/>
        <v>1</v>
      </c>
      <c r="D108" s="675"/>
      <c r="E108" s="24">
        <f t="shared" si="17"/>
        <v>1</v>
      </c>
      <c r="F108" s="675"/>
      <c r="G108" s="24">
        <f t="shared" si="18"/>
        <v>1</v>
      </c>
      <c r="H108" s="675"/>
      <c r="I108" s="24">
        <f t="shared" si="19"/>
        <v>1</v>
      </c>
      <c r="J108" s="675"/>
      <c r="K108" s="24">
        <f t="shared" si="20"/>
        <v>1</v>
      </c>
      <c r="L108" s="675"/>
      <c r="M108" s="24">
        <f t="shared" si="21"/>
        <v>1</v>
      </c>
      <c r="N108" s="675"/>
      <c r="O108" s="24">
        <f t="shared" si="22"/>
        <v>1</v>
      </c>
      <c r="P108" s="675"/>
      <c r="Q108" s="24">
        <f t="shared" si="23"/>
        <v>0</v>
      </c>
      <c r="R108" s="671">
        <f t="shared" si="24"/>
        <v>0</v>
      </c>
      <c r="S108" s="322">
        <f t="shared" si="15"/>
        <v>0</v>
      </c>
    </row>
    <row r="109" spans="1:19">
      <c r="A109" s="155"/>
      <c r="B109" s="57"/>
      <c r="C109" s="24">
        <f t="shared" si="16"/>
        <v>1</v>
      </c>
      <c r="D109" s="675"/>
      <c r="E109" s="24">
        <f t="shared" si="17"/>
        <v>1</v>
      </c>
      <c r="F109" s="675"/>
      <c r="G109" s="24">
        <f t="shared" si="18"/>
        <v>1</v>
      </c>
      <c r="H109" s="675"/>
      <c r="I109" s="24">
        <f t="shared" si="19"/>
        <v>1</v>
      </c>
      <c r="J109" s="675"/>
      <c r="K109" s="24">
        <f t="shared" si="20"/>
        <v>1</v>
      </c>
      <c r="L109" s="675"/>
      <c r="M109" s="24">
        <f t="shared" si="21"/>
        <v>1</v>
      </c>
      <c r="N109" s="675"/>
      <c r="O109" s="24">
        <f t="shared" si="22"/>
        <v>1</v>
      </c>
      <c r="P109" s="675"/>
      <c r="Q109" s="24">
        <f t="shared" si="23"/>
        <v>0</v>
      </c>
      <c r="R109" s="671">
        <f t="shared" si="24"/>
        <v>0</v>
      </c>
      <c r="S109" s="322">
        <f t="shared" si="15"/>
        <v>0</v>
      </c>
    </row>
    <row r="110" spans="1:19">
      <c r="A110" s="155"/>
      <c r="B110" s="57"/>
      <c r="C110" s="24">
        <f t="shared" si="16"/>
        <v>1</v>
      </c>
      <c r="D110" s="675"/>
      <c r="E110" s="24">
        <f t="shared" si="17"/>
        <v>1</v>
      </c>
      <c r="F110" s="675"/>
      <c r="G110" s="24">
        <f t="shared" si="18"/>
        <v>1</v>
      </c>
      <c r="H110" s="675"/>
      <c r="I110" s="24">
        <f t="shared" si="19"/>
        <v>1</v>
      </c>
      <c r="J110" s="675"/>
      <c r="K110" s="24">
        <f t="shared" si="20"/>
        <v>1</v>
      </c>
      <c r="L110" s="675"/>
      <c r="M110" s="24">
        <f t="shared" si="21"/>
        <v>1</v>
      </c>
      <c r="N110" s="675"/>
      <c r="O110" s="24">
        <f t="shared" si="22"/>
        <v>1</v>
      </c>
      <c r="P110" s="675"/>
      <c r="Q110" s="24">
        <f t="shared" si="23"/>
        <v>0</v>
      </c>
      <c r="R110" s="671">
        <f t="shared" si="24"/>
        <v>0</v>
      </c>
      <c r="S110" s="322">
        <f t="shared" si="15"/>
        <v>0</v>
      </c>
    </row>
    <row r="111" spans="1:19">
      <c r="A111" s="155"/>
      <c r="B111" s="57"/>
      <c r="C111" s="24">
        <f t="shared" si="16"/>
        <v>1</v>
      </c>
      <c r="D111" s="675"/>
      <c r="E111" s="24">
        <f t="shared" si="17"/>
        <v>1</v>
      </c>
      <c r="F111" s="675"/>
      <c r="G111" s="24">
        <f t="shared" si="18"/>
        <v>1</v>
      </c>
      <c r="H111" s="675"/>
      <c r="I111" s="24">
        <f t="shared" si="19"/>
        <v>1</v>
      </c>
      <c r="J111" s="675"/>
      <c r="K111" s="24">
        <f t="shared" si="20"/>
        <v>1</v>
      </c>
      <c r="L111" s="675"/>
      <c r="M111" s="24">
        <f t="shared" si="21"/>
        <v>1</v>
      </c>
      <c r="N111" s="675"/>
      <c r="O111" s="24">
        <f t="shared" si="22"/>
        <v>1</v>
      </c>
      <c r="P111" s="675"/>
      <c r="Q111" s="24">
        <f t="shared" si="23"/>
        <v>0</v>
      </c>
      <c r="R111" s="671">
        <f t="shared" si="24"/>
        <v>0</v>
      </c>
      <c r="S111" s="322">
        <f t="shared" si="15"/>
        <v>0</v>
      </c>
    </row>
    <row r="112" spans="1:19">
      <c r="A112" s="155"/>
      <c r="B112" s="57"/>
      <c r="C112" s="24">
        <f t="shared" si="16"/>
        <v>1</v>
      </c>
      <c r="D112" s="675"/>
      <c r="E112" s="24">
        <f t="shared" si="17"/>
        <v>1</v>
      </c>
      <c r="F112" s="675"/>
      <c r="G112" s="24">
        <f t="shared" si="18"/>
        <v>1</v>
      </c>
      <c r="H112" s="675"/>
      <c r="I112" s="24">
        <f t="shared" si="19"/>
        <v>1</v>
      </c>
      <c r="J112" s="675"/>
      <c r="K112" s="24">
        <f t="shared" si="20"/>
        <v>1</v>
      </c>
      <c r="L112" s="675"/>
      <c r="M112" s="24">
        <f t="shared" si="21"/>
        <v>1</v>
      </c>
      <c r="N112" s="675"/>
      <c r="O112" s="24">
        <f t="shared" si="22"/>
        <v>1</v>
      </c>
      <c r="P112" s="675"/>
      <c r="Q112" s="24">
        <f t="shared" si="23"/>
        <v>0</v>
      </c>
      <c r="R112" s="671">
        <f t="shared" si="24"/>
        <v>0</v>
      </c>
      <c r="S112" s="322">
        <f t="shared" si="15"/>
        <v>0</v>
      </c>
    </row>
    <row r="113" spans="1:19">
      <c r="A113" s="155"/>
      <c r="B113" s="57"/>
      <c r="C113" s="24">
        <f t="shared" si="16"/>
        <v>1</v>
      </c>
      <c r="D113" s="675"/>
      <c r="E113" s="24">
        <f t="shared" si="17"/>
        <v>1</v>
      </c>
      <c r="F113" s="675"/>
      <c r="G113" s="24">
        <f t="shared" si="18"/>
        <v>1</v>
      </c>
      <c r="H113" s="675"/>
      <c r="I113" s="24">
        <f t="shared" si="19"/>
        <v>1</v>
      </c>
      <c r="J113" s="675"/>
      <c r="K113" s="24">
        <f t="shared" si="20"/>
        <v>1</v>
      </c>
      <c r="L113" s="675"/>
      <c r="M113" s="24">
        <f t="shared" si="21"/>
        <v>1</v>
      </c>
      <c r="N113" s="675"/>
      <c r="O113" s="24">
        <f t="shared" si="22"/>
        <v>1</v>
      </c>
      <c r="P113" s="675"/>
      <c r="Q113" s="24">
        <f t="shared" si="23"/>
        <v>0</v>
      </c>
      <c r="R113" s="671">
        <f t="shared" si="24"/>
        <v>0</v>
      </c>
      <c r="S113" s="322">
        <f t="shared" si="15"/>
        <v>0</v>
      </c>
    </row>
    <row r="114" spans="1:19">
      <c r="A114" s="155"/>
      <c r="B114" s="57"/>
      <c r="C114" s="24">
        <f t="shared" si="16"/>
        <v>1</v>
      </c>
      <c r="D114" s="675"/>
      <c r="E114" s="24">
        <f t="shared" si="17"/>
        <v>1</v>
      </c>
      <c r="F114" s="675"/>
      <c r="G114" s="24">
        <f t="shared" si="18"/>
        <v>1</v>
      </c>
      <c r="H114" s="675"/>
      <c r="I114" s="24">
        <f t="shared" si="19"/>
        <v>1</v>
      </c>
      <c r="J114" s="675"/>
      <c r="K114" s="24">
        <f t="shared" si="20"/>
        <v>1</v>
      </c>
      <c r="L114" s="675"/>
      <c r="M114" s="24">
        <f t="shared" si="21"/>
        <v>1</v>
      </c>
      <c r="N114" s="675"/>
      <c r="O114" s="24">
        <f t="shared" si="22"/>
        <v>1</v>
      </c>
      <c r="P114" s="675"/>
      <c r="Q114" s="24">
        <f t="shared" si="23"/>
        <v>0</v>
      </c>
      <c r="R114" s="671">
        <f t="shared" si="24"/>
        <v>0</v>
      </c>
      <c r="S114" s="322">
        <f t="shared" si="15"/>
        <v>0</v>
      </c>
    </row>
    <row r="115" spans="1:19">
      <c r="A115" s="155"/>
      <c r="B115" s="57"/>
      <c r="C115" s="24">
        <f t="shared" si="16"/>
        <v>1</v>
      </c>
      <c r="D115" s="675"/>
      <c r="E115" s="24">
        <f t="shared" si="17"/>
        <v>1</v>
      </c>
      <c r="F115" s="675"/>
      <c r="G115" s="24">
        <f t="shared" si="18"/>
        <v>1</v>
      </c>
      <c r="H115" s="675"/>
      <c r="I115" s="24">
        <f t="shared" si="19"/>
        <v>1</v>
      </c>
      <c r="J115" s="675"/>
      <c r="K115" s="24">
        <f t="shared" si="20"/>
        <v>1</v>
      </c>
      <c r="L115" s="675"/>
      <c r="M115" s="24">
        <f t="shared" si="21"/>
        <v>1</v>
      </c>
      <c r="N115" s="675"/>
      <c r="O115" s="24">
        <f t="shared" si="22"/>
        <v>1</v>
      </c>
      <c r="P115" s="675"/>
      <c r="Q115" s="24">
        <f t="shared" si="23"/>
        <v>0</v>
      </c>
      <c r="R115" s="671">
        <f t="shared" si="24"/>
        <v>0</v>
      </c>
      <c r="S115" s="322">
        <f t="shared" si="15"/>
        <v>0</v>
      </c>
    </row>
    <row r="116" spans="1:19">
      <c r="A116" s="155"/>
      <c r="B116" s="57"/>
      <c r="C116" s="24">
        <f t="shared" si="16"/>
        <v>1</v>
      </c>
      <c r="D116" s="675"/>
      <c r="E116" s="24">
        <f t="shared" si="17"/>
        <v>1</v>
      </c>
      <c r="F116" s="675"/>
      <c r="G116" s="24">
        <f t="shared" si="18"/>
        <v>1</v>
      </c>
      <c r="H116" s="675"/>
      <c r="I116" s="24">
        <f t="shared" si="19"/>
        <v>1</v>
      </c>
      <c r="J116" s="675"/>
      <c r="K116" s="24">
        <f t="shared" si="20"/>
        <v>1</v>
      </c>
      <c r="L116" s="675"/>
      <c r="M116" s="24">
        <f t="shared" si="21"/>
        <v>1</v>
      </c>
      <c r="N116" s="675"/>
      <c r="O116" s="24">
        <f t="shared" si="22"/>
        <v>1</v>
      </c>
      <c r="P116" s="675"/>
      <c r="Q116" s="24">
        <f t="shared" si="23"/>
        <v>0</v>
      </c>
      <c r="R116" s="671">
        <f t="shared" si="24"/>
        <v>0</v>
      </c>
      <c r="S116" s="322">
        <f t="shared" si="15"/>
        <v>0</v>
      </c>
    </row>
    <row r="117" spans="1:19">
      <c r="A117" s="155"/>
      <c r="B117" s="57"/>
      <c r="C117" s="24">
        <f t="shared" si="16"/>
        <v>1</v>
      </c>
      <c r="D117" s="675"/>
      <c r="E117" s="24">
        <f t="shared" si="17"/>
        <v>1</v>
      </c>
      <c r="F117" s="675"/>
      <c r="G117" s="24">
        <f t="shared" si="18"/>
        <v>1</v>
      </c>
      <c r="H117" s="675"/>
      <c r="I117" s="24">
        <f t="shared" si="19"/>
        <v>1</v>
      </c>
      <c r="J117" s="675"/>
      <c r="K117" s="24">
        <f t="shared" si="20"/>
        <v>1</v>
      </c>
      <c r="L117" s="675"/>
      <c r="M117" s="24">
        <f t="shared" si="21"/>
        <v>1</v>
      </c>
      <c r="N117" s="675"/>
      <c r="O117" s="24">
        <f t="shared" si="22"/>
        <v>1</v>
      </c>
      <c r="P117" s="675"/>
      <c r="Q117" s="24">
        <f t="shared" si="23"/>
        <v>0</v>
      </c>
      <c r="R117" s="671">
        <f t="shared" si="24"/>
        <v>0</v>
      </c>
      <c r="S117" s="322">
        <f t="shared" si="15"/>
        <v>0</v>
      </c>
    </row>
    <row r="118" spans="1:19">
      <c r="A118" s="155"/>
      <c r="B118" s="57"/>
      <c r="C118" s="24">
        <f t="shared" si="16"/>
        <v>1</v>
      </c>
      <c r="D118" s="675"/>
      <c r="E118" s="24">
        <f t="shared" si="17"/>
        <v>1</v>
      </c>
      <c r="F118" s="675"/>
      <c r="G118" s="24">
        <f t="shared" si="18"/>
        <v>1</v>
      </c>
      <c r="H118" s="675"/>
      <c r="I118" s="24">
        <f t="shared" si="19"/>
        <v>1</v>
      </c>
      <c r="J118" s="675"/>
      <c r="K118" s="24">
        <f t="shared" si="20"/>
        <v>1</v>
      </c>
      <c r="L118" s="675"/>
      <c r="M118" s="24">
        <f t="shared" si="21"/>
        <v>1</v>
      </c>
      <c r="N118" s="675"/>
      <c r="O118" s="24">
        <f t="shared" si="22"/>
        <v>1</v>
      </c>
      <c r="P118" s="675"/>
      <c r="Q118" s="24">
        <f t="shared" si="23"/>
        <v>0</v>
      </c>
      <c r="R118" s="671">
        <f t="shared" si="24"/>
        <v>0</v>
      </c>
      <c r="S118" s="322">
        <f t="shared" si="15"/>
        <v>0</v>
      </c>
    </row>
    <row r="119" spans="1:19">
      <c r="A119" s="155"/>
      <c r="B119" s="57"/>
      <c r="C119" s="24">
        <f t="shared" si="16"/>
        <v>1</v>
      </c>
      <c r="D119" s="675"/>
      <c r="E119" s="24">
        <f t="shared" si="17"/>
        <v>1</v>
      </c>
      <c r="F119" s="675"/>
      <c r="G119" s="24">
        <f t="shared" si="18"/>
        <v>1</v>
      </c>
      <c r="H119" s="675"/>
      <c r="I119" s="24">
        <f t="shared" si="19"/>
        <v>1</v>
      </c>
      <c r="J119" s="675"/>
      <c r="K119" s="24">
        <f t="shared" si="20"/>
        <v>1</v>
      </c>
      <c r="L119" s="675"/>
      <c r="M119" s="24">
        <f t="shared" si="21"/>
        <v>1</v>
      </c>
      <c r="N119" s="675"/>
      <c r="O119" s="24">
        <f t="shared" si="22"/>
        <v>1</v>
      </c>
      <c r="P119" s="675"/>
      <c r="Q119" s="24">
        <f t="shared" si="23"/>
        <v>0</v>
      </c>
      <c r="R119" s="671">
        <f t="shared" si="24"/>
        <v>0</v>
      </c>
      <c r="S119" s="322">
        <f t="shared" si="15"/>
        <v>0</v>
      </c>
    </row>
    <row r="120" spans="1:19">
      <c r="A120" s="155"/>
      <c r="B120" s="57"/>
      <c r="C120" s="24">
        <f t="shared" si="16"/>
        <v>1</v>
      </c>
      <c r="D120" s="675"/>
      <c r="E120" s="24">
        <f t="shared" si="17"/>
        <v>1</v>
      </c>
      <c r="F120" s="675"/>
      <c r="G120" s="24">
        <f t="shared" si="18"/>
        <v>1</v>
      </c>
      <c r="H120" s="675"/>
      <c r="I120" s="24">
        <f t="shared" si="19"/>
        <v>1</v>
      </c>
      <c r="J120" s="675"/>
      <c r="K120" s="24">
        <f t="shared" si="20"/>
        <v>1</v>
      </c>
      <c r="L120" s="675"/>
      <c r="M120" s="24">
        <f t="shared" si="21"/>
        <v>1</v>
      </c>
      <c r="N120" s="675"/>
      <c r="O120" s="24">
        <f t="shared" si="22"/>
        <v>1</v>
      </c>
      <c r="P120" s="675"/>
      <c r="Q120" s="24">
        <f t="shared" si="23"/>
        <v>0</v>
      </c>
      <c r="R120" s="671">
        <f t="shared" si="24"/>
        <v>0</v>
      </c>
      <c r="S120" s="322">
        <f t="shared" si="15"/>
        <v>0</v>
      </c>
    </row>
    <row r="121" spans="1:19">
      <c r="A121" s="155"/>
      <c r="B121" s="57"/>
      <c r="C121" s="24">
        <f t="shared" si="16"/>
        <v>1</v>
      </c>
      <c r="D121" s="675"/>
      <c r="E121" s="24">
        <f t="shared" si="17"/>
        <v>1</v>
      </c>
      <c r="F121" s="675"/>
      <c r="G121" s="24">
        <f t="shared" si="18"/>
        <v>1</v>
      </c>
      <c r="H121" s="675"/>
      <c r="I121" s="24">
        <f t="shared" si="19"/>
        <v>1</v>
      </c>
      <c r="J121" s="675"/>
      <c r="K121" s="24">
        <f t="shared" si="20"/>
        <v>1</v>
      </c>
      <c r="L121" s="675"/>
      <c r="M121" s="24">
        <f t="shared" si="21"/>
        <v>1</v>
      </c>
      <c r="N121" s="675"/>
      <c r="O121" s="24">
        <f t="shared" si="22"/>
        <v>1</v>
      </c>
      <c r="P121" s="675"/>
      <c r="Q121" s="24">
        <f t="shared" si="23"/>
        <v>0</v>
      </c>
      <c r="R121" s="671">
        <f t="shared" si="24"/>
        <v>0</v>
      </c>
      <c r="S121" s="322">
        <f t="shared" si="15"/>
        <v>0</v>
      </c>
    </row>
    <row r="122" spans="1:19">
      <c r="A122" s="155"/>
      <c r="B122" s="57"/>
      <c r="C122" s="24">
        <f t="shared" si="16"/>
        <v>1</v>
      </c>
      <c r="D122" s="675"/>
      <c r="E122" s="24">
        <f t="shared" si="17"/>
        <v>1</v>
      </c>
      <c r="F122" s="675"/>
      <c r="G122" s="24">
        <f t="shared" si="18"/>
        <v>1</v>
      </c>
      <c r="H122" s="675"/>
      <c r="I122" s="24">
        <f t="shared" si="19"/>
        <v>1</v>
      </c>
      <c r="J122" s="675"/>
      <c r="K122" s="24">
        <f t="shared" si="20"/>
        <v>1</v>
      </c>
      <c r="L122" s="675"/>
      <c r="M122" s="24">
        <f t="shared" si="21"/>
        <v>1</v>
      </c>
      <c r="N122" s="675"/>
      <c r="O122" s="24">
        <f t="shared" si="22"/>
        <v>1</v>
      </c>
      <c r="P122" s="675"/>
      <c r="Q122" s="24">
        <f t="shared" si="23"/>
        <v>0</v>
      </c>
      <c r="R122" s="671">
        <f t="shared" si="24"/>
        <v>0</v>
      </c>
      <c r="S122" s="322">
        <f t="shared" si="15"/>
        <v>0</v>
      </c>
    </row>
    <row r="123" spans="1:19">
      <c r="A123" s="155"/>
      <c r="B123" s="57"/>
      <c r="C123" s="24">
        <f t="shared" si="16"/>
        <v>1</v>
      </c>
      <c r="D123" s="675"/>
      <c r="E123" s="24">
        <f t="shared" si="17"/>
        <v>1</v>
      </c>
      <c r="F123" s="675"/>
      <c r="G123" s="24">
        <f t="shared" si="18"/>
        <v>1</v>
      </c>
      <c r="H123" s="675"/>
      <c r="I123" s="24">
        <f t="shared" si="19"/>
        <v>1</v>
      </c>
      <c r="J123" s="675"/>
      <c r="K123" s="24">
        <f t="shared" si="20"/>
        <v>1</v>
      </c>
      <c r="L123" s="675"/>
      <c r="M123" s="24">
        <f t="shared" si="21"/>
        <v>1</v>
      </c>
      <c r="N123" s="675"/>
      <c r="O123" s="24">
        <f t="shared" si="22"/>
        <v>1</v>
      </c>
      <c r="P123" s="675"/>
      <c r="Q123" s="24">
        <f t="shared" si="23"/>
        <v>0</v>
      </c>
      <c r="R123" s="671">
        <f t="shared" si="24"/>
        <v>0</v>
      </c>
      <c r="S123" s="322">
        <f t="shared" si="15"/>
        <v>0</v>
      </c>
    </row>
    <row r="124" spans="1:19">
      <c r="A124" s="155"/>
      <c r="B124" s="57"/>
      <c r="C124" s="24">
        <f t="shared" si="16"/>
        <v>1</v>
      </c>
      <c r="D124" s="675"/>
      <c r="E124" s="24">
        <f t="shared" si="17"/>
        <v>1</v>
      </c>
      <c r="F124" s="675"/>
      <c r="G124" s="24">
        <f t="shared" si="18"/>
        <v>1</v>
      </c>
      <c r="H124" s="675"/>
      <c r="I124" s="24">
        <f t="shared" si="19"/>
        <v>1</v>
      </c>
      <c r="J124" s="675"/>
      <c r="K124" s="24">
        <f t="shared" si="20"/>
        <v>1</v>
      </c>
      <c r="L124" s="675"/>
      <c r="M124" s="24">
        <f t="shared" si="21"/>
        <v>1</v>
      </c>
      <c r="N124" s="675"/>
      <c r="O124" s="24">
        <f t="shared" si="22"/>
        <v>1</v>
      </c>
      <c r="P124" s="675"/>
      <c r="Q124" s="24">
        <f t="shared" si="23"/>
        <v>0</v>
      </c>
      <c r="R124" s="671">
        <f t="shared" si="24"/>
        <v>0</v>
      </c>
      <c r="S124" s="322">
        <f t="shared" si="15"/>
        <v>0</v>
      </c>
    </row>
    <row r="125" spans="1:19">
      <c r="A125" s="155"/>
      <c r="B125" s="57"/>
      <c r="C125" s="24">
        <f t="shared" si="16"/>
        <v>1</v>
      </c>
      <c r="D125" s="675"/>
      <c r="E125" s="24">
        <f t="shared" si="17"/>
        <v>1</v>
      </c>
      <c r="F125" s="675"/>
      <c r="G125" s="24">
        <f t="shared" si="18"/>
        <v>1</v>
      </c>
      <c r="H125" s="675"/>
      <c r="I125" s="24">
        <f t="shared" si="19"/>
        <v>1</v>
      </c>
      <c r="J125" s="675"/>
      <c r="K125" s="24">
        <f t="shared" si="20"/>
        <v>1</v>
      </c>
      <c r="L125" s="675"/>
      <c r="M125" s="24">
        <f t="shared" si="21"/>
        <v>1</v>
      </c>
      <c r="N125" s="675"/>
      <c r="O125" s="24">
        <f t="shared" si="22"/>
        <v>1</v>
      </c>
      <c r="P125" s="675"/>
      <c r="Q125" s="24">
        <f t="shared" si="23"/>
        <v>0</v>
      </c>
      <c r="R125" s="671">
        <f t="shared" si="24"/>
        <v>0</v>
      </c>
      <c r="S125" s="322">
        <f t="shared" si="15"/>
        <v>0</v>
      </c>
    </row>
    <row r="126" spans="1:19">
      <c r="A126" s="155"/>
      <c r="B126" s="57"/>
      <c r="C126" s="24">
        <f t="shared" si="16"/>
        <v>1</v>
      </c>
      <c r="D126" s="675"/>
      <c r="E126" s="24">
        <f t="shared" si="17"/>
        <v>1</v>
      </c>
      <c r="F126" s="675"/>
      <c r="G126" s="24">
        <f t="shared" si="18"/>
        <v>1</v>
      </c>
      <c r="H126" s="675"/>
      <c r="I126" s="24">
        <f t="shared" si="19"/>
        <v>1</v>
      </c>
      <c r="J126" s="675"/>
      <c r="K126" s="24">
        <f t="shared" si="20"/>
        <v>1</v>
      </c>
      <c r="L126" s="675"/>
      <c r="M126" s="24">
        <f t="shared" si="21"/>
        <v>1</v>
      </c>
      <c r="N126" s="675"/>
      <c r="O126" s="24">
        <f t="shared" si="22"/>
        <v>1</v>
      </c>
      <c r="P126" s="675"/>
      <c r="Q126" s="24">
        <f t="shared" si="23"/>
        <v>0</v>
      </c>
      <c r="R126" s="671">
        <f t="shared" si="24"/>
        <v>0</v>
      </c>
      <c r="S126" s="322">
        <f t="shared" si="15"/>
        <v>0</v>
      </c>
    </row>
    <row r="127" spans="1:19">
      <c r="A127" s="155"/>
      <c r="B127" s="57"/>
      <c r="C127" s="24">
        <f t="shared" si="16"/>
        <v>1</v>
      </c>
      <c r="D127" s="675"/>
      <c r="E127" s="24">
        <f t="shared" si="17"/>
        <v>1</v>
      </c>
      <c r="F127" s="675"/>
      <c r="G127" s="24">
        <f t="shared" si="18"/>
        <v>1</v>
      </c>
      <c r="H127" s="675"/>
      <c r="I127" s="24">
        <f t="shared" si="19"/>
        <v>1</v>
      </c>
      <c r="J127" s="675"/>
      <c r="K127" s="24">
        <f t="shared" si="20"/>
        <v>1</v>
      </c>
      <c r="L127" s="675"/>
      <c r="M127" s="24">
        <f t="shared" si="21"/>
        <v>1</v>
      </c>
      <c r="N127" s="675"/>
      <c r="O127" s="24">
        <f t="shared" si="22"/>
        <v>1</v>
      </c>
      <c r="P127" s="675"/>
      <c r="Q127" s="24">
        <f t="shared" si="23"/>
        <v>0</v>
      </c>
      <c r="R127" s="671">
        <f t="shared" si="24"/>
        <v>0</v>
      </c>
      <c r="S127" s="322">
        <f t="shared" si="15"/>
        <v>0</v>
      </c>
    </row>
    <row r="128" spans="1:19">
      <c r="A128" s="155"/>
      <c r="B128" s="57"/>
      <c r="C128" s="24">
        <f t="shared" si="16"/>
        <v>1</v>
      </c>
      <c r="D128" s="675"/>
      <c r="E128" s="24">
        <f t="shared" si="17"/>
        <v>1</v>
      </c>
      <c r="F128" s="675"/>
      <c r="G128" s="24">
        <f t="shared" si="18"/>
        <v>1</v>
      </c>
      <c r="H128" s="675"/>
      <c r="I128" s="24">
        <f t="shared" si="19"/>
        <v>1</v>
      </c>
      <c r="J128" s="675"/>
      <c r="K128" s="24">
        <f t="shared" si="20"/>
        <v>1</v>
      </c>
      <c r="L128" s="675"/>
      <c r="M128" s="24">
        <f t="shared" si="21"/>
        <v>1</v>
      </c>
      <c r="N128" s="675"/>
      <c r="O128" s="24">
        <f t="shared" si="22"/>
        <v>1</v>
      </c>
      <c r="P128" s="675"/>
      <c r="Q128" s="24">
        <f t="shared" si="23"/>
        <v>0</v>
      </c>
      <c r="R128" s="671">
        <f t="shared" si="24"/>
        <v>0</v>
      </c>
      <c r="S128" s="322">
        <f t="shared" si="15"/>
        <v>0</v>
      </c>
    </row>
    <row r="129" spans="1:19">
      <c r="A129" s="155"/>
      <c r="B129" s="57"/>
      <c r="C129" s="24">
        <f t="shared" si="16"/>
        <v>1</v>
      </c>
      <c r="D129" s="675"/>
      <c r="E129" s="24">
        <f t="shared" si="17"/>
        <v>1</v>
      </c>
      <c r="F129" s="675"/>
      <c r="G129" s="24">
        <f t="shared" si="18"/>
        <v>1</v>
      </c>
      <c r="H129" s="675"/>
      <c r="I129" s="24">
        <f t="shared" si="19"/>
        <v>1</v>
      </c>
      <c r="J129" s="675"/>
      <c r="K129" s="24">
        <f t="shared" si="20"/>
        <v>1</v>
      </c>
      <c r="L129" s="675"/>
      <c r="M129" s="24">
        <f t="shared" si="21"/>
        <v>1</v>
      </c>
      <c r="N129" s="675"/>
      <c r="O129" s="24">
        <f t="shared" si="22"/>
        <v>1</v>
      </c>
      <c r="P129" s="675"/>
      <c r="Q129" s="24">
        <f t="shared" si="23"/>
        <v>0</v>
      </c>
      <c r="R129" s="671">
        <f t="shared" si="24"/>
        <v>0</v>
      </c>
      <c r="S129" s="322">
        <f t="shared" si="15"/>
        <v>0</v>
      </c>
    </row>
    <row r="130" spans="1:19">
      <c r="A130" s="155"/>
      <c r="B130" s="57"/>
      <c r="C130" s="24">
        <f t="shared" si="16"/>
        <v>1</v>
      </c>
      <c r="D130" s="675"/>
      <c r="E130" s="24">
        <f t="shared" si="17"/>
        <v>1</v>
      </c>
      <c r="F130" s="675"/>
      <c r="G130" s="24">
        <f t="shared" si="18"/>
        <v>1</v>
      </c>
      <c r="H130" s="675"/>
      <c r="I130" s="24">
        <f t="shared" si="19"/>
        <v>1</v>
      </c>
      <c r="J130" s="675"/>
      <c r="K130" s="24">
        <f t="shared" si="20"/>
        <v>1</v>
      </c>
      <c r="L130" s="675"/>
      <c r="M130" s="24">
        <f t="shared" si="21"/>
        <v>1</v>
      </c>
      <c r="N130" s="675"/>
      <c r="O130" s="24">
        <f t="shared" si="22"/>
        <v>1</v>
      </c>
      <c r="P130" s="675"/>
      <c r="Q130" s="24">
        <f t="shared" si="23"/>
        <v>0</v>
      </c>
      <c r="R130" s="671">
        <f t="shared" si="24"/>
        <v>0</v>
      </c>
      <c r="S130" s="322">
        <f t="shared" si="15"/>
        <v>0</v>
      </c>
    </row>
    <row r="131" spans="1:19">
      <c r="A131" s="155"/>
      <c r="B131" s="57"/>
      <c r="C131" s="24">
        <f t="shared" si="16"/>
        <v>1</v>
      </c>
      <c r="D131" s="675"/>
      <c r="E131" s="24">
        <f t="shared" si="17"/>
        <v>1</v>
      </c>
      <c r="F131" s="675"/>
      <c r="G131" s="24">
        <f t="shared" si="18"/>
        <v>1</v>
      </c>
      <c r="H131" s="675"/>
      <c r="I131" s="24">
        <f t="shared" si="19"/>
        <v>1</v>
      </c>
      <c r="J131" s="675"/>
      <c r="K131" s="24">
        <f t="shared" si="20"/>
        <v>1</v>
      </c>
      <c r="L131" s="675"/>
      <c r="M131" s="24">
        <f t="shared" si="21"/>
        <v>1</v>
      </c>
      <c r="N131" s="675"/>
      <c r="O131" s="24">
        <f t="shared" si="22"/>
        <v>1</v>
      </c>
      <c r="P131" s="675"/>
      <c r="Q131" s="24">
        <f t="shared" si="23"/>
        <v>0</v>
      </c>
      <c r="R131" s="671">
        <f t="shared" si="24"/>
        <v>0</v>
      </c>
      <c r="S131" s="322">
        <f t="shared" si="15"/>
        <v>0</v>
      </c>
    </row>
    <row r="132" spans="1:19">
      <c r="A132" s="155"/>
      <c r="B132" s="57"/>
      <c r="C132" s="24">
        <f t="shared" si="16"/>
        <v>1</v>
      </c>
      <c r="D132" s="675"/>
      <c r="E132" s="24">
        <f t="shared" si="17"/>
        <v>1</v>
      </c>
      <c r="F132" s="675"/>
      <c r="G132" s="24">
        <f t="shared" si="18"/>
        <v>1</v>
      </c>
      <c r="H132" s="675"/>
      <c r="I132" s="24">
        <f t="shared" si="19"/>
        <v>1</v>
      </c>
      <c r="J132" s="675"/>
      <c r="K132" s="24">
        <f t="shared" si="20"/>
        <v>1</v>
      </c>
      <c r="L132" s="675"/>
      <c r="M132" s="24">
        <f t="shared" si="21"/>
        <v>1</v>
      </c>
      <c r="N132" s="675"/>
      <c r="O132" s="24">
        <f t="shared" si="22"/>
        <v>1</v>
      </c>
      <c r="P132" s="675"/>
      <c r="Q132" s="24">
        <f t="shared" si="23"/>
        <v>0</v>
      </c>
      <c r="R132" s="671">
        <f t="shared" si="24"/>
        <v>0</v>
      </c>
      <c r="S132" s="322">
        <f t="shared" si="15"/>
        <v>0</v>
      </c>
    </row>
    <row r="133" spans="1:19">
      <c r="A133" s="155"/>
      <c r="B133" s="57"/>
      <c r="C133" s="24">
        <f t="shared" si="16"/>
        <v>1</v>
      </c>
      <c r="D133" s="675"/>
      <c r="E133" s="24">
        <f t="shared" si="17"/>
        <v>1</v>
      </c>
      <c r="F133" s="675"/>
      <c r="G133" s="24">
        <f t="shared" si="18"/>
        <v>1</v>
      </c>
      <c r="H133" s="675"/>
      <c r="I133" s="24">
        <f t="shared" si="19"/>
        <v>1</v>
      </c>
      <c r="J133" s="675"/>
      <c r="K133" s="24">
        <f t="shared" si="20"/>
        <v>1</v>
      </c>
      <c r="L133" s="675"/>
      <c r="M133" s="24">
        <f t="shared" si="21"/>
        <v>1</v>
      </c>
      <c r="N133" s="675"/>
      <c r="O133" s="24">
        <f t="shared" si="22"/>
        <v>1</v>
      </c>
      <c r="P133" s="675"/>
      <c r="Q133" s="24">
        <f t="shared" si="23"/>
        <v>0</v>
      </c>
      <c r="R133" s="671">
        <f t="shared" si="24"/>
        <v>0</v>
      </c>
      <c r="S133" s="322">
        <f t="shared" si="15"/>
        <v>0</v>
      </c>
    </row>
    <row r="134" spans="1:19">
      <c r="A134" s="155"/>
      <c r="B134" s="57"/>
      <c r="C134" s="24">
        <f t="shared" si="16"/>
        <v>1</v>
      </c>
      <c r="D134" s="675"/>
      <c r="E134" s="24">
        <f t="shared" si="17"/>
        <v>1</v>
      </c>
      <c r="F134" s="675"/>
      <c r="G134" s="24">
        <f t="shared" si="18"/>
        <v>1</v>
      </c>
      <c r="H134" s="675"/>
      <c r="I134" s="24">
        <f t="shared" si="19"/>
        <v>1</v>
      </c>
      <c r="J134" s="675"/>
      <c r="K134" s="24">
        <f t="shared" si="20"/>
        <v>1</v>
      </c>
      <c r="L134" s="675"/>
      <c r="M134" s="24">
        <f t="shared" si="21"/>
        <v>1</v>
      </c>
      <c r="N134" s="675"/>
      <c r="O134" s="24">
        <f t="shared" si="22"/>
        <v>1</v>
      </c>
      <c r="P134" s="675"/>
      <c r="Q134" s="24">
        <f t="shared" si="23"/>
        <v>0</v>
      </c>
      <c r="R134" s="671">
        <f t="shared" si="24"/>
        <v>0</v>
      </c>
      <c r="S134" s="322">
        <f t="shared" si="15"/>
        <v>0</v>
      </c>
    </row>
    <row r="135" spans="1:19">
      <c r="A135" s="155"/>
      <c r="B135" s="57"/>
      <c r="C135" s="24">
        <f t="shared" si="16"/>
        <v>1</v>
      </c>
      <c r="D135" s="675"/>
      <c r="E135" s="24">
        <f t="shared" si="17"/>
        <v>1</v>
      </c>
      <c r="F135" s="675"/>
      <c r="G135" s="24">
        <f t="shared" si="18"/>
        <v>1</v>
      </c>
      <c r="H135" s="675"/>
      <c r="I135" s="24">
        <f t="shared" si="19"/>
        <v>1</v>
      </c>
      <c r="J135" s="675"/>
      <c r="K135" s="24">
        <f t="shared" si="20"/>
        <v>1</v>
      </c>
      <c r="L135" s="675"/>
      <c r="M135" s="24">
        <f t="shared" si="21"/>
        <v>1</v>
      </c>
      <c r="N135" s="675"/>
      <c r="O135" s="24">
        <f t="shared" si="22"/>
        <v>1</v>
      </c>
      <c r="P135" s="675"/>
      <c r="Q135" s="24">
        <f t="shared" si="23"/>
        <v>0</v>
      </c>
      <c r="R135" s="671">
        <f t="shared" si="24"/>
        <v>0</v>
      </c>
      <c r="S135" s="322">
        <f t="shared" si="15"/>
        <v>0</v>
      </c>
    </row>
    <row r="136" spans="1:19">
      <c r="A136" s="155"/>
      <c r="B136" s="57"/>
      <c r="C136" s="24">
        <f t="shared" si="16"/>
        <v>1</v>
      </c>
      <c r="D136" s="675"/>
      <c r="E136" s="24">
        <f t="shared" si="17"/>
        <v>1</v>
      </c>
      <c r="F136" s="675"/>
      <c r="G136" s="24">
        <f t="shared" si="18"/>
        <v>1</v>
      </c>
      <c r="H136" s="675"/>
      <c r="I136" s="24">
        <f t="shared" si="19"/>
        <v>1</v>
      </c>
      <c r="J136" s="675"/>
      <c r="K136" s="24">
        <f t="shared" si="20"/>
        <v>1</v>
      </c>
      <c r="L136" s="675"/>
      <c r="M136" s="24">
        <f t="shared" si="21"/>
        <v>1</v>
      </c>
      <c r="N136" s="675"/>
      <c r="O136" s="24">
        <f t="shared" si="22"/>
        <v>1</v>
      </c>
      <c r="P136" s="675"/>
      <c r="Q136" s="24">
        <f t="shared" si="23"/>
        <v>0</v>
      </c>
      <c r="R136" s="671">
        <f t="shared" si="24"/>
        <v>0</v>
      </c>
      <c r="S136" s="322">
        <f t="shared" si="15"/>
        <v>0</v>
      </c>
    </row>
    <row r="137" spans="1:19">
      <c r="A137" s="155"/>
      <c r="B137" s="57"/>
      <c r="C137" s="24">
        <f t="shared" si="16"/>
        <v>1</v>
      </c>
      <c r="D137" s="675"/>
      <c r="E137" s="24">
        <f t="shared" si="17"/>
        <v>1</v>
      </c>
      <c r="F137" s="675"/>
      <c r="G137" s="24">
        <f t="shared" si="18"/>
        <v>1</v>
      </c>
      <c r="H137" s="675"/>
      <c r="I137" s="24">
        <f t="shared" si="19"/>
        <v>1</v>
      </c>
      <c r="J137" s="675"/>
      <c r="K137" s="24">
        <f t="shared" si="20"/>
        <v>1</v>
      </c>
      <c r="L137" s="675"/>
      <c r="M137" s="24">
        <f t="shared" si="21"/>
        <v>1</v>
      </c>
      <c r="N137" s="675"/>
      <c r="O137" s="24">
        <f t="shared" si="22"/>
        <v>1</v>
      </c>
      <c r="P137" s="675"/>
      <c r="Q137" s="24">
        <f t="shared" si="23"/>
        <v>0</v>
      </c>
      <c r="R137" s="671">
        <f t="shared" si="24"/>
        <v>0</v>
      </c>
      <c r="S137" s="322">
        <f t="shared" si="15"/>
        <v>0</v>
      </c>
    </row>
    <row r="138" spans="1:19">
      <c r="A138" s="155"/>
      <c r="B138" s="57"/>
      <c r="C138" s="24">
        <f t="shared" si="16"/>
        <v>1</v>
      </c>
      <c r="D138" s="675"/>
      <c r="E138" s="24">
        <f t="shared" si="17"/>
        <v>1</v>
      </c>
      <c r="F138" s="675"/>
      <c r="G138" s="24">
        <f t="shared" si="18"/>
        <v>1</v>
      </c>
      <c r="H138" s="675"/>
      <c r="I138" s="24">
        <f t="shared" si="19"/>
        <v>1</v>
      </c>
      <c r="J138" s="675"/>
      <c r="K138" s="24">
        <f t="shared" si="20"/>
        <v>1</v>
      </c>
      <c r="L138" s="675"/>
      <c r="M138" s="24">
        <f t="shared" si="21"/>
        <v>1</v>
      </c>
      <c r="N138" s="675"/>
      <c r="O138" s="24">
        <f t="shared" si="22"/>
        <v>1</v>
      </c>
      <c r="P138" s="675"/>
      <c r="Q138" s="24">
        <f t="shared" si="23"/>
        <v>0</v>
      </c>
      <c r="R138" s="671">
        <f t="shared" si="24"/>
        <v>0</v>
      </c>
      <c r="S138" s="322">
        <f t="shared" si="15"/>
        <v>0</v>
      </c>
    </row>
    <row r="139" spans="1:19">
      <c r="A139" s="155"/>
      <c r="B139" s="57"/>
      <c r="C139" s="24">
        <f t="shared" si="16"/>
        <v>1</v>
      </c>
      <c r="D139" s="675"/>
      <c r="E139" s="24">
        <f t="shared" si="17"/>
        <v>1</v>
      </c>
      <c r="F139" s="675"/>
      <c r="G139" s="24">
        <f t="shared" si="18"/>
        <v>1</v>
      </c>
      <c r="H139" s="675"/>
      <c r="I139" s="24">
        <f t="shared" si="19"/>
        <v>1</v>
      </c>
      <c r="J139" s="675"/>
      <c r="K139" s="24">
        <f t="shared" si="20"/>
        <v>1</v>
      </c>
      <c r="L139" s="675"/>
      <c r="M139" s="24">
        <f t="shared" si="21"/>
        <v>1</v>
      </c>
      <c r="N139" s="675"/>
      <c r="O139" s="24">
        <f t="shared" si="22"/>
        <v>1</v>
      </c>
      <c r="P139" s="675"/>
      <c r="Q139" s="24">
        <f t="shared" si="23"/>
        <v>0</v>
      </c>
      <c r="R139" s="671">
        <f t="shared" si="24"/>
        <v>0</v>
      </c>
      <c r="S139" s="322">
        <f t="shared" si="15"/>
        <v>0</v>
      </c>
    </row>
    <row r="140" spans="1:19">
      <c r="A140" s="155"/>
      <c r="B140" s="57"/>
      <c r="C140" s="24">
        <f t="shared" si="16"/>
        <v>1</v>
      </c>
      <c r="D140" s="675"/>
      <c r="E140" s="24">
        <f t="shared" si="17"/>
        <v>1</v>
      </c>
      <c r="F140" s="675"/>
      <c r="G140" s="24">
        <f t="shared" si="18"/>
        <v>1</v>
      </c>
      <c r="H140" s="675"/>
      <c r="I140" s="24">
        <f t="shared" si="19"/>
        <v>1</v>
      </c>
      <c r="J140" s="675"/>
      <c r="K140" s="24">
        <f t="shared" si="20"/>
        <v>1</v>
      </c>
      <c r="L140" s="675"/>
      <c r="M140" s="24">
        <f t="shared" si="21"/>
        <v>1</v>
      </c>
      <c r="N140" s="675"/>
      <c r="O140" s="24">
        <f t="shared" si="22"/>
        <v>1</v>
      </c>
      <c r="P140" s="675"/>
      <c r="Q140" s="24">
        <f t="shared" si="23"/>
        <v>0</v>
      </c>
      <c r="R140" s="671">
        <f t="shared" si="24"/>
        <v>0</v>
      </c>
      <c r="S140" s="322">
        <f t="shared" si="15"/>
        <v>0</v>
      </c>
    </row>
    <row r="141" spans="1:19">
      <c r="A141" s="155"/>
      <c r="B141" s="57"/>
      <c r="C141" s="24">
        <f t="shared" si="16"/>
        <v>1</v>
      </c>
      <c r="D141" s="675"/>
      <c r="E141" s="24">
        <f t="shared" si="17"/>
        <v>1</v>
      </c>
      <c r="F141" s="675"/>
      <c r="G141" s="24">
        <f t="shared" si="18"/>
        <v>1</v>
      </c>
      <c r="H141" s="675"/>
      <c r="I141" s="24">
        <f t="shared" si="19"/>
        <v>1</v>
      </c>
      <c r="J141" s="675"/>
      <c r="K141" s="24">
        <f t="shared" si="20"/>
        <v>1</v>
      </c>
      <c r="L141" s="675"/>
      <c r="M141" s="24">
        <f t="shared" si="21"/>
        <v>1</v>
      </c>
      <c r="N141" s="675"/>
      <c r="O141" s="24">
        <f t="shared" si="22"/>
        <v>1</v>
      </c>
      <c r="P141" s="675"/>
      <c r="Q141" s="24">
        <f t="shared" si="23"/>
        <v>0</v>
      </c>
      <c r="R141" s="671">
        <f t="shared" si="24"/>
        <v>0</v>
      </c>
      <c r="S141" s="322">
        <f t="shared" si="15"/>
        <v>0</v>
      </c>
    </row>
    <row r="142" spans="1:19">
      <c r="A142" s="155"/>
      <c r="B142" s="57"/>
      <c r="C142" s="24">
        <f t="shared" si="16"/>
        <v>1</v>
      </c>
      <c r="D142" s="675"/>
      <c r="E142" s="24">
        <f t="shared" si="17"/>
        <v>1</v>
      </c>
      <c r="F142" s="675"/>
      <c r="G142" s="24">
        <f t="shared" si="18"/>
        <v>1</v>
      </c>
      <c r="H142" s="675"/>
      <c r="I142" s="24">
        <f t="shared" si="19"/>
        <v>1</v>
      </c>
      <c r="J142" s="675"/>
      <c r="K142" s="24">
        <f t="shared" si="20"/>
        <v>1</v>
      </c>
      <c r="L142" s="675"/>
      <c r="M142" s="24">
        <f t="shared" si="21"/>
        <v>1</v>
      </c>
      <c r="N142" s="675"/>
      <c r="O142" s="24">
        <f t="shared" si="22"/>
        <v>1</v>
      </c>
      <c r="P142" s="675"/>
      <c r="Q142" s="24">
        <f t="shared" si="23"/>
        <v>0</v>
      </c>
      <c r="R142" s="671">
        <f t="shared" si="24"/>
        <v>0</v>
      </c>
      <c r="S142" s="322">
        <f t="shared" si="15"/>
        <v>0</v>
      </c>
    </row>
    <row r="143" spans="1:19">
      <c r="A143" s="155"/>
      <c r="B143" s="57"/>
      <c r="C143" s="24">
        <f t="shared" si="16"/>
        <v>1</v>
      </c>
      <c r="D143" s="675"/>
      <c r="E143" s="24">
        <f t="shared" si="17"/>
        <v>1</v>
      </c>
      <c r="F143" s="675"/>
      <c r="G143" s="24">
        <f t="shared" si="18"/>
        <v>1</v>
      </c>
      <c r="H143" s="675"/>
      <c r="I143" s="24">
        <f t="shared" si="19"/>
        <v>1</v>
      </c>
      <c r="J143" s="675"/>
      <c r="K143" s="24">
        <f t="shared" si="20"/>
        <v>1</v>
      </c>
      <c r="L143" s="675"/>
      <c r="M143" s="24">
        <f t="shared" si="21"/>
        <v>1</v>
      </c>
      <c r="N143" s="675"/>
      <c r="O143" s="24">
        <f t="shared" si="22"/>
        <v>1</v>
      </c>
      <c r="P143" s="675"/>
      <c r="Q143" s="24">
        <f t="shared" si="23"/>
        <v>0</v>
      </c>
      <c r="R143" s="671">
        <f t="shared" si="24"/>
        <v>0</v>
      </c>
      <c r="S143" s="322">
        <f t="shared" si="15"/>
        <v>0</v>
      </c>
    </row>
    <row r="144" spans="1:19">
      <c r="A144" s="155"/>
      <c r="B144" s="57"/>
      <c r="C144" s="24">
        <f t="shared" si="16"/>
        <v>1</v>
      </c>
      <c r="D144" s="675"/>
      <c r="E144" s="24">
        <f t="shared" si="17"/>
        <v>1</v>
      </c>
      <c r="F144" s="675"/>
      <c r="G144" s="24">
        <f t="shared" si="18"/>
        <v>1</v>
      </c>
      <c r="H144" s="675"/>
      <c r="I144" s="24">
        <f t="shared" si="19"/>
        <v>1</v>
      </c>
      <c r="J144" s="675"/>
      <c r="K144" s="24">
        <f t="shared" si="20"/>
        <v>1</v>
      </c>
      <c r="L144" s="675"/>
      <c r="M144" s="24">
        <f t="shared" si="21"/>
        <v>1</v>
      </c>
      <c r="N144" s="675"/>
      <c r="O144" s="24">
        <f t="shared" si="22"/>
        <v>1</v>
      </c>
      <c r="P144" s="675"/>
      <c r="Q144" s="24">
        <f t="shared" si="23"/>
        <v>0</v>
      </c>
      <c r="R144" s="671">
        <f t="shared" si="24"/>
        <v>0</v>
      </c>
      <c r="S144" s="322">
        <f t="shared" si="15"/>
        <v>0</v>
      </c>
    </row>
    <row r="145" spans="1:19">
      <c r="A145" s="155"/>
      <c r="B145" s="57"/>
      <c r="C145" s="24">
        <f t="shared" si="16"/>
        <v>1</v>
      </c>
      <c r="D145" s="675"/>
      <c r="E145" s="24">
        <f t="shared" si="17"/>
        <v>1</v>
      </c>
      <c r="F145" s="675"/>
      <c r="G145" s="24">
        <f t="shared" si="18"/>
        <v>1</v>
      </c>
      <c r="H145" s="675"/>
      <c r="I145" s="24">
        <f t="shared" si="19"/>
        <v>1</v>
      </c>
      <c r="J145" s="675"/>
      <c r="K145" s="24">
        <f t="shared" si="20"/>
        <v>1</v>
      </c>
      <c r="L145" s="675"/>
      <c r="M145" s="24">
        <f t="shared" si="21"/>
        <v>1</v>
      </c>
      <c r="N145" s="675"/>
      <c r="O145" s="24">
        <f t="shared" si="22"/>
        <v>1</v>
      </c>
      <c r="P145" s="675"/>
      <c r="Q145" s="24">
        <f t="shared" si="23"/>
        <v>0</v>
      </c>
      <c r="R145" s="671">
        <f t="shared" si="24"/>
        <v>0</v>
      </c>
      <c r="S145" s="322">
        <f t="shared" si="15"/>
        <v>0</v>
      </c>
    </row>
    <row r="146" spans="1:19">
      <c r="A146" s="155"/>
      <c r="B146" s="57"/>
      <c r="C146" s="24">
        <f t="shared" si="16"/>
        <v>1</v>
      </c>
      <c r="D146" s="675"/>
      <c r="E146" s="24">
        <f t="shared" si="17"/>
        <v>1</v>
      </c>
      <c r="F146" s="675"/>
      <c r="G146" s="24">
        <f t="shared" si="18"/>
        <v>1</v>
      </c>
      <c r="H146" s="675"/>
      <c r="I146" s="24">
        <f t="shared" si="19"/>
        <v>1</v>
      </c>
      <c r="J146" s="675"/>
      <c r="K146" s="24">
        <f t="shared" si="20"/>
        <v>1</v>
      </c>
      <c r="L146" s="675"/>
      <c r="M146" s="24">
        <f t="shared" si="21"/>
        <v>1</v>
      </c>
      <c r="N146" s="675"/>
      <c r="O146" s="24">
        <f t="shared" si="22"/>
        <v>1</v>
      </c>
      <c r="P146" s="675"/>
      <c r="Q146" s="24">
        <f t="shared" si="23"/>
        <v>0</v>
      </c>
      <c r="R146" s="671">
        <f t="shared" si="24"/>
        <v>0</v>
      </c>
      <c r="S146" s="322">
        <f t="shared" si="15"/>
        <v>0</v>
      </c>
    </row>
    <row r="147" spans="1:19">
      <c r="A147" s="155"/>
      <c r="B147" s="57"/>
      <c r="C147" s="24">
        <f t="shared" si="16"/>
        <v>1</v>
      </c>
      <c r="D147" s="675"/>
      <c r="E147" s="24">
        <f t="shared" si="17"/>
        <v>1</v>
      </c>
      <c r="F147" s="675"/>
      <c r="G147" s="24">
        <f t="shared" si="18"/>
        <v>1</v>
      </c>
      <c r="H147" s="675"/>
      <c r="I147" s="24">
        <f t="shared" si="19"/>
        <v>1</v>
      </c>
      <c r="J147" s="675"/>
      <c r="K147" s="24">
        <f t="shared" si="20"/>
        <v>1</v>
      </c>
      <c r="L147" s="675"/>
      <c r="M147" s="24">
        <f t="shared" si="21"/>
        <v>1</v>
      </c>
      <c r="N147" s="675"/>
      <c r="O147" s="24">
        <f t="shared" si="22"/>
        <v>1</v>
      </c>
      <c r="P147" s="675"/>
      <c r="Q147" s="24">
        <f t="shared" si="23"/>
        <v>0</v>
      </c>
      <c r="R147" s="671">
        <f t="shared" si="24"/>
        <v>0</v>
      </c>
      <c r="S147" s="322">
        <f t="shared" si="15"/>
        <v>0</v>
      </c>
    </row>
    <row r="148" spans="1:19">
      <c r="A148" s="155"/>
      <c r="B148" s="57"/>
      <c r="C148" s="24">
        <f t="shared" si="16"/>
        <v>1</v>
      </c>
      <c r="D148" s="675"/>
      <c r="E148" s="24">
        <f t="shared" si="17"/>
        <v>1</v>
      </c>
      <c r="F148" s="675"/>
      <c r="G148" s="24">
        <f t="shared" si="18"/>
        <v>1</v>
      </c>
      <c r="H148" s="675"/>
      <c r="I148" s="24">
        <f t="shared" si="19"/>
        <v>1</v>
      </c>
      <c r="J148" s="675"/>
      <c r="K148" s="24">
        <f t="shared" si="20"/>
        <v>1</v>
      </c>
      <c r="L148" s="675"/>
      <c r="M148" s="24">
        <f t="shared" si="21"/>
        <v>1</v>
      </c>
      <c r="N148" s="675"/>
      <c r="O148" s="24">
        <f t="shared" si="22"/>
        <v>1</v>
      </c>
      <c r="P148" s="675"/>
      <c r="Q148" s="24">
        <f t="shared" si="23"/>
        <v>0</v>
      </c>
      <c r="R148" s="671">
        <f t="shared" si="24"/>
        <v>0</v>
      </c>
      <c r="S148" s="322">
        <f t="shared" si="15"/>
        <v>0</v>
      </c>
    </row>
    <row r="149" spans="1:19">
      <c r="A149" s="155"/>
      <c r="B149" s="57"/>
      <c r="C149" s="24">
        <f t="shared" si="16"/>
        <v>1</v>
      </c>
      <c r="D149" s="675"/>
      <c r="E149" s="24">
        <f t="shared" si="17"/>
        <v>1</v>
      </c>
      <c r="F149" s="675"/>
      <c r="G149" s="24">
        <f t="shared" si="18"/>
        <v>1</v>
      </c>
      <c r="H149" s="675"/>
      <c r="I149" s="24">
        <f t="shared" si="19"/>
        <v>1</v>
      </c>
      <c r="J149" s="675"/>
      <c r="K149" s="24">
        <f t="shared" si="20"/>
        <v>1</v>
      </c>
      <c r="L149" s="675"/>
      <c r="M149" s="24">
        <f t="shared" si="21"/>
        <v>1</v>
      </c>
      <c r="N149" s="675"/>
      <c r="O149" s="24">
        <f t="shared" si="22"/>
        <v>1</v>
      </c>
      <c r="P149" s="675"/>
      <c r="Q149" s="24">
        <f t="shared" si="23"/>
        <v>0</v>
      </c>
      <c r="R149" s="671">
        <f t="shared" si="24"/>
        <v>0</v>
      </c>
      <c r="S149" s="322">
        <f t="shared" si="15"/>
        <v>0</v>
      </c>
    </row>
    <row r="150" spans="1:19">
      <c r="A150" s="155"/>
      <c r="B150" s="57"/>
      <c r="C150" s="24">
        <f t="shared" si="16"/>
        <v>1</v>
      </c>
      <c r="D150" s="675"/>
      <c r="E150" s="24">
        <f t="shared" si="17"/>
        <v>1</v>
      </c>
      <c r="F150" s="675"/>
      <c r="G150" s="24">
        <f t="shared" si="18"/>
        <v>1</v>
      </c>
      <c r="H150" s="675"/>
      <c r="I150" s="24">
        <f t="shared" si="19"/>
        <v>1</v>
      </c>
      <c r="J150" s="675"/>
      <c r="K150" s="24">
        <f t="shared" si="20"/>
        <v>1</v>
      </c>
      <c r="L150" s="675"/>
      <c r="M150" s="24">
        <f t="shared" si="21"/>
        <v>1</v>
      </c>
      <c r="N150" s="675"/>
      <c r="O150" s="24">
        <f t="shared" si="22"/>
        <v>1</v>
      </c>
      <c r="P150" s="675"/>
      <c r="Q150" s="24">
        <f t="shared" si="23"/>
        <v>0</v>
      </c>
      <c r="R150" s="671">
        <f t="shared" si="24"/>
        <v>0</v>
      </c>
      <c r="S150" s="322">
        <f t="shared" si="15"/>
        <v>0</v>
      </c>
    </row>
    <row r="151" spans="1:19">
      <c r="A151" s="155"/>
      <c r="B151" s="57"/>
      <c r="C151" s="24">
        <f t="shared" si="16"/>
        <v>1</v>
      </c>
      <c r="D151" s="675"/>
      <c r="E151" s="24">
        <f t="shared" si="17"/>
        <v>1</v>
      </c>
      <c r="F151" s="675"/>
      <c r="G151" s="24">
        <f t="shared" si="18"/>
        <v>1</v>
      </c>
      <c r="H151" s="675"/>
      <c r="I151" s="24">
        <f t="shared" si="19"/>
        <v>1</v>
      </c>
      <c r="J151" s="675"/>
      <c r="K151" s="24">
        <f t="shared" si="20"/>
        <v>1</v>
      </c>
      <c r="L151" s="675"/>
      <c r="M151" s="24">
        <f t="shared" si="21"/>
        <v>1</v>
      </c>
      <c r="N151" s="675"/>
      <c r="O151" s="24">
        <f t="shared" si="22"/>
        <v>1</v>
      </c>
      <c r="P151" s="675"/>
      <c r="Q151" s="24">
        <f t="shared" si="23"/>
        <v>0</v>
      </c>
      <c r="R151" s="671">
        <f t="shared" si="24"/>
        <v>0</v>
      </c>
      <c r="S151" s="322">
        <f t="shared" si="15"/>
        <v>0</v>
      </c>
    </row>
    <row r="152" spans="1:19">
      <c r="A152" s="155"/>
      <c r="B152" s="57"/>
      <c r="C152" s="24">
        <f t="shared" si="16"/>
        <v>1</v>
      </c>
      <c r="D152" s="675"/>
      <c r="E152" s="24">
        <f t="shared" si="17"/>
        <v>1</v>
      </c>
      <c r="F152" s="675"/>
      <c r="G152" s="24">
        <f t="shared" si="18"/>
        <v>1</v>
      </c>
      <c r="H152" s="675"/>
      <c r="I152" s="24">
        <f t="shared" si="19"/>
        <v>1</v>
      </c>
      <c r="J152" s="675"/>
      <c r="K152" s="24">
        <f t="shared" si="20"/>
        <v>1</v>
      </c>
      <c r="L152" s="675"/>
      <c r="M152" s="24">
        <f t="shared" si="21"/>
        <v>1</v>
      </c>
      <c r="N152" s="675"/>
      <c r="O152" s="24">
        <f t="shared" si="22"/>
        <v>1</v>
      </c>
      <c r="P152" s="675"/>
      <c r="Q152" s="24">
        <f t="shared" si="23"/>
        <v>0</v>
      </c>
      <c r="R152" s="671">
        <f t="shared" si="24"/>
        <v>0</v>
      </c>
      <c r="S152" s="322">
        <f t="shared" ref="S152:S215" si="25">ROUND(R152*B152/10000,0)</f>
        <v>0</v>
      </c>
    </row>
    <row r="153" spans="1:19">
      <c r="A153" s="155"/>
      <c r="B153" s="57"/>
      <c r="C153" s="24">
        <f t="shared" si="16"/>
        <v>1</v>
      </c>
      <c r="D153" s="675"/>
      <c r="E153" s="24">
        <f t="shared" si="17"/>
        <v>1</v>
      </c>
      <c r="F153" s="675"/>
      <c r="G153" s="24">
        <f t="shared" si="18"/>
        <v>1</v>
      </c>
      <c r="H153" s="675"/>
      <c r="I153" s="24">
        <f t="shared" si="19"/>
        <v>1</v>
      </c>
      <c r="J153" s="675"/>
      <c r="K153" s="24">
        <f t="shared" si="20"/>
        <v>1</v>
      </c>
      <c r="L153" s="675"/>
      <c r="M153" s="24">
        <f t="shared" si="21"/>
        <v>1</v>
      </c>
      <c r="N153" s="675"/>
      <c r="O153" s="24">
        <f t="shared" si="22"/>
        <v>1</v>
      </c>
      <c r="P153" s="675"/>
      <c r="Q153" s="24">
        <f t="shared" si="23"/>
        <v>0</v>
      </c>
      <c r="R153" s="671">
        <f t="shared" si="24"/>
        <v>0</v>
      </c>
      <c r="S153" s="322">
        <f t="shared" si="25"/>
        <v>0</v>
      </c>
    </row>
    <row r="154" spans="1:19">
      <c r="A154" s="155"/>
      <c r="B154" s="57"/>
      <c r="C154" s="24">
        <f t="shared" ref="C154:C217" si="26">IF(B154="",1,(LOOKUP(B154,$3:$3,$4:$4)-LOOKUP($B$24,$3:$3,$4:$4)+100)/100)</f>
        <v>1</v>
      </c>
      <c r="D154" s="675"/>
      <c r="E154" s="24">
        <f t="shared" ref="E154:E217" si="27">(SUMIF($5:$5,D154,$6:$6)-SUMIF($5:$5,$D$24,$6:$6)+100)/100</f>
        <v>1</v>
      </c>
      <c r="F154" s="675"/>
      <c r="G154" s="24">
        <f t="shared" ref="G154:G217" si="28">(SUMIF($7:$7,F154,$8:$8)-SUMIF($7:$7,$F$24,$8:$8)+100)/100</f>
        <v>1</v>
      </c>
      <c r="H154" s="675"/>
      <c r="I154" s="24">
        <f t="shared" ref="I154:I217" si="29">(SUMIF($9:$9,H154,$10:$10)-SUMIF($9:$9,$H$24,$10:$10)+100)/100</f>
        <v>1</v>
      </c>
      <c r="J154" s="675"/>
      <c r="K154" s="24">
        <f t="shared" ref="K154:K217" si="30">(SUMIF($11:$11,J154,$12:$12)-SUMIF($11:$11,$J$24,$12:$12)+100)/100</f>
        <v>1</v>
      </c>
      <c r="L154" s="675"/>
      <c r="M154" s="24">
        <f t="shared" ref="M154:M217" si="31">(SUMIF($13:$13,L154,$14:$14)-SUMIF($13:$13,$L$24,$14:$14)+100)/100</f>
        <v>1</v>
      </c>
      <c r="N154" s="675"/>
      <c r="O154" s="24">
        <f t="shared" ref="O154:O217" si="32">(SUMIF($15:$15,N154,$16:$16)-SUMIF($15:$15,$N$24,$16:$16)+100)/100</f>
        <v>1</v>
      </c>
      <c r="P154" s="675"/>
      <c r="Q154" s="24">
        <f t="shared" ref="Q154:Q217" si="33">(SUMIF($17:$17,P154,$18:$18)-SUMIF($17:$17,$P$24,$18:$18)+100)/100</f>
        <v>0</v>
      </c>
      <c r="R154" s="671">
        <f t="shared" ref="R154:R217" si="34">IF(B154="",0,ROUND($R$24*C154*E154*G154*I154*K154*M154*O154*Q154,0))</f>
        <v>0</v>
      </c>
      <c r="S154" s="322">
        <f t="shared" si="25"/>
        <v>0</v>
      </c>
    </row>
    <row r="155" spans="1:19">
      <c r="A155" s="155"/>
      <c r="B155" s="57"/>
      <c r="C155" s="24">
        <f t="shared" si="26"/>
        <v>1</v>
      </c>
      <c r="D155" s="675"/>
      <c r="E155" s="24">
        <f t="shared" si="27"/>
        <v>1</v>
      </c>
      <c r="F155" s="675"/>
      <c r="G155" s="24">
        <f t="shared" si="28"/>
        <v>1</v>
      </c>
      <c r="H155" s="675"/>
      <c r="I155" s="24">
        <f t="shared" si="29"/>
        <v>1</v>
      </c>
      <c r="J155" s="675"/>
      <c r="K155" s="24">
        <f t="shared" si="30"/>
        <v>1</v>
      </c>
      <c r="L155" s="675"/>
      <c r="M155" s="24">
        <f t="shared" si="31"/>
        <v>1</v>
      </c>
      <c r="N155" s="675"/>
      <c r="O155" s="24">
        <f t="shared" si="32"/>
        <v>1</v>
      </c>
      <c r="P155" s="675"/>
      <c r="Q155" s="24">
        <f t="shared" si="33"/>
        <v>0</v>
      </c>
      <c r="R155" s="671">
        <f t="shared" si="34"/>
        <v>0</v>
      </c>
      <c r="S155" s="322">
        <f t="shared" si="25"/>
        <v>0</v>
      </c>
    </row>
    <row r="156" spans="1:19">
      <c r="A156" s="155"/>
      <c r="B156" s="57"/>
      <c r="C156" s="24">
        <f t="shared" si="26"/>
        <v>1</v>
      </c>
      <c r="D156" s="675"/>
      <c r="E156" s="24">
        <f t="shared" si="27"/>
        <v>1</v>
      </c>
      <c r="F156" s="675"/>
      <c r="G156" s="24">
        <f t="shared" si="28"/>
        <v>1</v>
      </c>
      <c r="H156" s="675"/>
      <c r="I156" s="24">
        <f t="shared" si="29"/>
        <v>1</v>
      </c>
      <c r="J156" s="675"/>
      <c r="K156" s="24">
        <f t="shared" si="30"/>
        <v>1</v>
      </c>
      <c r="L156" s="675"/>
      <c r="M156" s="24">
        <f t="shared" si="31"/>
        <v>1</v>
      </c>
      <c r="N156" s="675"/>
      <c r="O156" s="24">
        <f t="shared" si="32"/>
        <v>1</v>
      </c>
      <c r="P156" s="675"/>
      <c r="Q156" s="24">
        <f t="shared" si="33"/>
        <v>0</v>
      </c>
      <c r="R156" s="671">
        <f t="shared" si="34"/>
        <v>0</v>
      </c>
      <c r="S156" s="322">
        <f t="shared" si="25"/>
        <v>0</v>
      </c>
    </row>
    <row r="157" spans="1:19">
      <c r="A157" s="155"/>
      <c r="B157" s="57"/>
      <c r="C157" s="24">
        <f t="shared" si="26"/>
        <v>1</v>
      </c>
      <c r="D157" s="675"/>
      <c r="E157" s="24">
        <f t="shared" si="27"/>
        <v>1</v>
      </c>
      <c r="F157" s="675"/>
      <c r="G157" s="24">
        <f t="shared" si="28"/>
        <v>1</v>
      </c>
      <c r="H157" s="675"/>
      <c r="I157" s="24">
        <f t="shared" si="29"/>
        <v>1</v>
      </c>
      <c r="J157" s="675"/>
      <c r="K157" s="24">
        <f t="shared" si="30"/>
        <v>1</v>
      </c>
      <c r="L157" s="675"/>
      <c r="M157" s="24">
        <f t="shared" si="31"/>
        <v>1</v>
      </c>
      <c r="N157" s="675"/>
      <c r="O157" s="24">
        <f t="shared" si="32"/>
        <v>1</v>
      </c>
      <c r="P157" s="675"/>
      <c r="Q157" s="24">
        <f t="shared" si="33"/>
        <v>0</v>
      </c>
      <c r="R157" s="671">
        <f t="shared" si="34"/>
        <v>0</v>
      </c>
      <c r="S157" s="322">
        <f t="shared" si="25"/>
        <v>0</v>
      </c>
    </row>
    <row r="158" spans="1:19">
      <c r="A158" s="155"/>
      <c r="B158" s="57"/>
      <c r="C158" s="24">
        <f t="shared" si="26"/>
        <v>1</v>
      </c>
      <c r="D158" s="675"/>
      <c r="E158" s="24">
        <f t="shared" si="27"/>
        <v>1</v>
      </c>
      <c r="F158" s="675"/>
      <c r="G158" s="24">
        <f t="shared" si="28"/>
        <v>1</v>
      </c>
      <c r="H158" s="675"/>
      <c r="I158" s="24">
        <f t="shared" si="29"/>
        <v>1</v>
      </c>
      <c r="J158" s="675"/>
      <c r="K158" s="24">
        <f t="shared" si="30"/>
        <v>1</v>
      </c>
      <c r="L158" s="675"/>
      <c r="M158" s="24">
        <f t="shared" si="31"/>
        <v>1</v>
      </c>
      <c r="N158" s="675"/>
      <c r="O158" s="24">
        <f t="shared" si="32"/>
        <v>1</v>
      </c>
      <c r="P158" s="675"/>
      <c r="Q158" s="24">
        <f t="shared" si="33"/>
        <v>0</v>
      </c>
      <c r="R158" s="671">
        <f t="shared" si="34"/>
        <v>0</v>
      </c>
      <c r="S158" s="322">
        <f t="shared" si="25"/>
        <v>0</v>
      </c>
    </row>
    <row r="159" spans="1:19">
      <c r="A159" s="155"/>
      <c r="B159" s="57"/>
      <c r="C159" s="24">
        <f t="shared" si="26"/>
        <v>1</v>
      </c>
      <c r="D159" s="675"/>
      <c r="E159" s="24">
        <f t="shared" si="27"/>
        <v>1</v>
      </c>
      <c r="F159" s="675"/>
      <c r="G159" s="24">
        <f t="shared" si="28"/>
        <v>1</v>
      </c>
      <c r="H159" s="675"/>
      <c r="I159" s="24">
        <f t="shared" si="29"/>
        <v>1</v>
      </c>
      <c r="J159" s="675"/>
      <c r="K159" s="24">
        <f t="shared" si="30"/>
        <v>1</v>
      </c>
      <c r="L159" s="675"/>
      <c r="M159" s="24">
        <f t="shared" si="31"/>
        <v>1</v>
      </c>
      <c r="N159" s="675"/>
      <c r="O159" s="24">
        <f t="shared" si="32"/>
        <v>1</v>
      </c>
      <c r="P159" s="675"/>
      <c r="Q159" s="24">
        <f t="shared" si="33"/>
        <v>0</v>
      </c>
      <c r="R159" s="671">
        <f t="shared" si="34"/>
        <v>0</v>
      </c>
      <c r="S159" s="322">
        <f t="shared" si="25"/>
        <v>0</v>
      </c>
    </row>
    <row r="160" spans="1:19">
      <c r="A160" s="155"/>
      <c r="B160" s="57"/>
      <c r="C160" s="24">
        <f t="shared" si="26"/>
        <v>1</v>
      </c>
      <c r="D160" s="675"/>
      <c r="E160" s="24">
        <f t="shared" si="27"/>
        <v>1</v>
      </c>
      <c r="F160" s="675"/>
      <c r="G160" s="24">
        <f t="shared" si="28"/>
        <v>1</v>
      </c>
      <c r="H160" s="675"/>
      <c r="I160" s="24">
        <f t="shared" si="29"/>
        <v>1</v>
      </c>
      <c r="J160" s="675"/>
      <c r="K160" s="24">
        <f t="shared" si="30"/>
        <v>1</v>
      </c>
      <c r="L160" s="675"/>
      <c r="M160" s="24">
        <f t="shared" si="31"/>
        <v>1</v>
      </c>
      <c r="N160" s="675"/>
      <c r="O160" s="24">
        <f t="shared" si="32"/>
        <v>1</v>
      </c>
      <c r="P160" s="675"/>
      <c r="Q160" s="24">
        <f t="shared" si="33"/>
        <v>0</v>
      </c>
      <c r="R160" s="671">
        <f t="shared" si="34"/>
        <v>0</v>
      </c>
      <c r="S160" s="322">
        <f t="shared" si="25"/>
        <v>0</v>
      </c>
    </row>
    <row r="161" spans="1:19">
      <c r="A161" s="155"/>
      <c r="B161" s="57"/>
      <c r="C161" s="24">
        <f t="shared" si="26"/>
        <v>1</v>
      </c>
      <c r="D161" s="675"/>
      <c r="E161" s="24">
        <f t="shared" si="27"/>
        <v>1</v>
      </c>
      <c r="F161" s="675"/>
      <c r="G161" s="24">
        <f t="shared" si="28"/>
        <v>1</v>
      </c>
      <c r="H161" s="675"/>
      <c r="I161" s="24">
        <f t="shared" si="29"/>
        <v>1</v>
      </c>
      <c r="J161" s="675"/>
      <c r="K161" s="24">
        <f t="shared" si="30"/>
        <v>1</v>
      </c>
      <c r="L161" s="675"/>
      <c r="M161" s="24">
        <f t="shared" si="31"/>
        <v>1</v>
      </c>
      <c r="N161" s="675"/>
      <c r="O161" s="24">
        <f t="shared" si="32"/>
        <v>1</v>
      </c>
      <c r="P161" s="675"/>
      <c r="Q161" s="24">
        <f t="shared" si="33"/>
        <v>0</v>
      </c>
      <c r="R161" s="671">
        <f t="shared" si="34"/>
        <v>0</v>
      </c>
      <c r="S161" s="322">
        <f t="shared" si="25"/>
        <v>0</v>
      </c>
    </row>
    <row r="162" spans="1:19">
      <c r="A162" s="155"/>
      <c r="B162" s="57"/>
      <c r="C162" s="24">
        <f t="shared" si="26"/>
        <v>1</v>
      </c>
      <c r="D162" s="675"/>
      <c r="E162" s="24">
        <f t="shared" si="27"/>
        <v>1</v>
      </c>
      <c r="F162" s="675"/>
      <c r="G162" s="24">
        <f t="shared" si="28"/>
        <v>1</v>
      </c>
      <c r="H162" s="675"/>
      <c r="I162" s="24">
        <f t="shared" si="29"/>
        <v>1</v>
      </c>
      <c r="J162" s="675"/>
      <c r="K162" s="24">
        <f t="shared" si="30"/>
        <v>1</v>
      </c>
      <c r="L162" s="675"/>
      <c r="M162" s="24">
        <f t="shared" si="31"/>
        <v>1</v>
      </c>
      <c r="N162" s="675"/>
      <c r="O162" s="24">
        <f t="shared" si="32"/>
        <v>1</v>
      </c>
      <c r="P162" s="675"/>
      <c r="Q162" s="24">
        <f t="shared" si="33"/>
        <v>0</v>
      </c>
      <c r="R162" s="671">
        <f t="shared" si="34"/>
        <v>0</v>
      </c>
      <c r="S162" s="322">
        <f t="shared" si="25"/>
        <v>0</v>
      </c>
    </row>
    <row r="163" spans="1:19">
      <c r="A163" s="155"/>
      <c r="B163" s="57"/>
      <c r="C163" s="24">
        <f t="shared" si="26"/>
        <v>1</v>
      </c>
      <c r="D163" s="675"/>
      <c r="E163" s="24">
        <f t="shared" si="27"/>
        <v>1</v>
      </c>
      <c r="F163" s="675"/>
      <c r="G163" s="24">
        <f t="shared" si="28"/>
        <v>1</v>
      </c>
      <c r="H163" s="675"/>
      <c r="I163" s="24">
        <f t="shared" si="29"/>
        <v>1</v>
      </c>
      <c r="J163" s="675"/>
      <c r="K163" s="24">
        <f t="shared" si="30"/>
        <v>1</v>
      </c>
      <c r="L163" s="675"/>
      <c r="M163" s="24">
        <f t="shared" si="31"/>
        <v>1</v>
      </c>
      <c r="N163" s="675"/>
      <c r="O163" s="24">
        <f t="shared" si="32"/>
        <v>1</v>
      </c>
      <c r="P163" s="675"/>
      <c r="Q163" s="24">
        <f t="shared" si="33"/>
        <v>0</v>
      </c>
      <c r="R163" s="671">
        <f t="shared" si="34"/>
        <v>0</v>
      </c>
      <c r="S163" s="322">
        <f t="shared" si="25"/>
        <v>0</v>
      </c>
    </row>
    <row r="164" spans="1:19">
      <c r="A164" s="155"/>
      <c r="B164" s="57"/>
      <c r="C164" s="24">
        <f t="shared" si="26"/>
        <v>1</v>
      </c>
      <c r="D164" s="675"/>
      <c r="E164" s="24">
        <f t="shared" si="27"/>
        <v>1</v>
      </c>
      <c r="F164" s="675"/>
      <c r="G164" s="24">
        <f t="shared" si="28"/>
        <v>1</v>
      </c>
      <c r="H164" s="675"/>
      <c r="I164" s="24">
        <f t="shared" si="29"/>
        <v>1</v>
      </c>
      <c r="J164" s="675"/>
      <c r="K164" s="24">
        <f t="shared" si="30"/>
        <v>1</v>
      </c>
      <c r="L164" s="675"/>
      <c r="M164" s="24">
        <f t="shared" si="31"/>
        <v>1</v>
      </c>
      <c r="N164" s="675"/>
      <c r="O164" s="24">
        <f t="shared" si="32"/>
        <v>1</v>
      </c>
      <c r="P164" s="675"/>
      <c r="Q164" s="24">
        <f t="shared" si="33"/>
        <v>0</v>
      </c>
      <c r="R164" s="671">
        <f t="shared" si="34"/>
        <v>0</v>
      </c>
      <c r="S164" s="322">
        <f t="shared" si="25"/>
        <v>0</v>
      </c>
    </row>
    <row r="165" spans="1:19">
      <c r="A165" s="155"/>
      <c r="B165" s="57"/>
      <c r="C165" s="24">
        <f t="shared" si="26"/>
        <v>1</v>
      </c>
      <c r="D165" s="675"/>
      <c r="E165" s="24">
        <f t="shared" si="27"/>
        <v>1</v>
      </c>
      <c r="F165" s="675"/>
      <c r="G165" s="24">
        <f t="shared" si="28"/>
        <v>1</v>
      </c>
      <c r="H165" s="675"/>
      <c r="I165" s="24">
        <f t="shared" si="29"/>
        <v>1</v>
      </c>
      <c r="J165" s="675"/>
      <c r="K165" s="24">
        <f t="shared" si="30"/>
        <v>1</v>
      </c>
      <c r="L165" s="675"/>
      <c r="M165" s="24">
        <f t="shared" si="31"/>
        <v>1</v>
      </c>
      <c r="N165" s="675"/>
      <c r="O165" s="24">
        <f t="shared" si="32"/>
        <v>1</v>
      </c>
      <c r="P165" s="675"/>
      <c r="Q165" s="24">
        <f t="shared" si="33"/>
        <v>0</v>
      </c>
      <c r="R165" s="671">
        <f t="shared" si="34"/>
        <v>0</v>
      </c>
      <c r="S165" s="322">
        <f t="shared" si="25"/>
        <v>0</v>
      </c>
    </row>
    <row r="166" spans="1:19">
      <c r="A166" s="155"/>
      <c r="B166" s="57"/>
      <c r="C166" s="24">
        <f t="shared" si="26"/>
        <v>1</v>
      </c>
      <c r="D166" s="675"/>
      <c r="E166" s="24">
        <f t="shared" si="27"/>
        <v>1</v>
      </c>
      <c r="F166" s="675"/>
      <c r="G166" s="24">
        <f t="shared" si="28"/>
        <v>1</v>
      </c>
      <c r="H166" s="675"/>
      <c r="I166" s="24">
        <f t="shared" si="29"/>
        <v>1</v>
      </c>
      <c r="J166" s="675"/>
      <c r="K166" s="24">
        <f t="shared" si="30"/>
        <v>1</v>
      </c>
      <c r="L166" s="675"/>
      <c r="M166" s="24">
        <f t="shared" si="31"/>
        <v>1</v>
      </c>
      <c r="N166" s="675"/>
      <c r="O166" s="24">
        <f t="shared" si="32"/>
        <v>1</v>
      </c>
      <c r="P166" s="675"/>
      <c r="Q166" s="24">
        <f t="shared" si="33"/>
        <v>0</v>
      </c>
      <c r="R166" s="671">
        <f t="shared" si="34"/>
        <v>0</v>
      </c>
      <c r="S166" s="322">
        <f t="shared" si="25"/>
        <v>0</v>
      </c>
    </row>
    <row r="167" spans="1:19">
      <c r="A167" s="155"/>
      <c r="B167" s="57"/>
      <c r="C167" s="24">
        <f t="shared" si="26"/>
        <v>1</v>
      </c>
      <c r="D167" s="675"/>
      <c r="E167" s="24">
        <f t="shared" si="27"/>
        <v>1</v>
      </c>
      <c r="F167" s="675"/>
      <c r="G167" s="24">
        <f t="shared" si="28"/>
        <v>1</v>
      </c>
      <c r="H167" s="675"/>
      <c r="I167" s="24">
        <f t="shared" si="29"/>
        <v>1</v>
      </c>
      <c r="J167" s="675"/>
      <c r="K167" s="24">
        <f t="shared" si="30"/>
        <v>1</v>
      </c>
      <c r="L167" s="675"/>
      <c r="M167" s="24">
        <f t="shared" si="31"/>
        <v>1</v>
      </c>
      <c r="N167" s="675"/>
      <c r="O167" s="24">
        <f t="shared" si="32"/>
        <v>1</v>
      </c>
      <c r="P167" s="675"/>
      <c r="Q167" s="24">
        <f t="shared" si="33"/>
        <v>0</v>
      </c>
      <c r="R167" s="671">
        <f t="shared" si="34"/>
        <v>0</v>
      </c>
      <c r="S167" s="322">
        <f t="shared" si="25"/>
        <v>0</v>
      </c>
    </row>
    <row r="168" spans="1:19">
      <c r="A168" s="155"/>
      <c r="B168" s="57"/>
      <c r="C168" s="24">
        <f t="shared" si="26"/>
        <v>1</v>
      </c>
      <c r="D168" s="675"/>
      <c r="E168" s="24">
        <f t="shared" si="27"/>
        <v>1</v>
      </c>
      <c r="F168" s="675"/>
      <c r="G168" s="24">
        <f t="shared" si="28"/>
        <v>1</v>
      </c>
      <c r="H168" s="675"/>
      <c r="I168" s="24">
        <f t="shared" si="29"/>
        <v>1</v>
      </c>
      <c r="J168" s="675"/>
      <c r="K168" s="24">
        <f t="shared" si="30"/>
        <v>1</v>
      </c>
      <c r="L168" s="675"/>
      <c r="M168" s="24">
        <f t="shared" si="31"/>
        <v>1</v>
      </c>
      <c r="N168" s="675"/>
      <c r="O168" s="24">
        <f t="shared" si="32"/>
        <v>1</v>
      </c>
      <c r="P168" s="675"/>
      <c r="Q168" s="24">
        <f t="shared" si="33"/>
        <v>0</v>
      </c>
      <c r="R168" s="671">
        <f t="shared" si="34"/>
        <v>0</v>
      </c>
      <c r="S168" s="322">
        <f t="shared" si="25"/>
        <v>0</v>
      </c>
    </row>
    <row r="169" spans="1:19">
      <c r="A169" s="155"/>
      <c r="B169" s="57"/>
      <c r="C169" s="24">
        <f t="shared" si="26"/>
        <v>1</v>
      </c>
      <c r="D169" s="675"/>
      <c r="E169" s="24">
        <f t="shared" si="27"/>
        <v>1</v>
      </c>
      <c r="F169" s="675"/>
      <c r="G169" s="24">
        <f t="shared" si="28"/>
        <v>1</v>
      </c>
      <c r="H169" s="675"/>
      <c r="I169" s="24">
        <f t="shared" si="29"/>
        <v>1</v>
      </c>
      <c r="J169" s="675"/>
      <c r="K169" s="24">
        <f t="shared" si="30"/>
        <v>1</v>
      </c>
      <c r="L169" s="675"/>
      <c r="M169" s="24">
        <f t="shared" si="31"/>
        <v>1</v>
      </c>
      <c r="N169" s="675"/>
      <c r="O169" s="24">
        <f t="shared" si="32"/>
        <v>1</v>
      </c>
      <c r="P169" s="675"/>
      <c r="Q169" s="24">
        <f t="shared" si="33"/>
        <v>0</v>
      </c>
      <c r="R169" s="671">
        <f t="shared" si="34"/>
        <v>0</v>
      </c>
      <c r="S169" s="322">
        <f t="shared" si="25"/>
        <v>0</v>
      </c>
    </row>
    <row r="170" spans="1:19">
      <c r="A170" s="155"/>
      <c r="B170" s="57"/>
      <c r="C170" s="24">
        <f t="shared" si="26"/>
        <v>1</v>
      </c>
      <c r="D170" s="675"/>
      <c r="E170" s="24">
        <f t="shared" si="27"/>
        <v>1</v>
      </c>
      <c r="F170" s="675"/>
      <c r="G170" s="24">
        <f t="shared" si="28"/>
        <v>1</v>
      </c>
      <c r="H170" s="675"/>
      <c r="I170" s="24">
        <f t="shared" si="29"/>
        <v>1</v>
      </c>
      <c r="J170" s="675"/>
      <c r="K170" s="24">
        <f t="shared" si="30"/>
        <v>1</v>
      </c>
      <c r="L170" s="675"/>
      <c r="M170" s="24">
        <f t="shared" si="31"/>
        <v>1</v>
      </c>
      <c r="N170" s="675"/>
      <c r="O170" s="24">
        <f t="shared" si="32"/>
        <v>1</v>
      </c>
      <c r="P170" s="675"/>
      <c r="Q170" s="24">
        <f t="shared" si="33"/>
        <v>0</v>
      </c>
      <c r="R170" s="671">
        <f t="shared" si="34"/>
        <v>0</v>
      </c>
      <c r="S170" s="322">
        <f t="shared" si="25"/>
        <v>0</v>
      </c>
    </row>
    <row r="171" spans="1:19">
      <c r="A171" s="155"/>
      <c r="B171" s="57"/>
      <c r="C171" s="24">
        <f t="shared" si="26"/>
        <v>1</v>
      </c>
      <c r="D171" s="675"/>
      <c r="E171" s="24">
        <f t="shared" si="27"/>
        <v>1</v>
      </c>
      <c r="F171" s="675"/>
      <c r="G171" s="24">
        <f t="shared" si="28"/>
        <v>1</v>
      </c>
      <c r="H171" s="675"/>
      <c r="I171" s="24">
        <f t="shared" si="29"/>
        <v>1</v>
      </c>
      <c r="J171" s="675"/>
      <c r="K171" s="24">
        <f t="shared" si="30"/>
        <v>1</v>
      </c>
      <c r="L171" s="675"/>
      <c r="M171" s="24">
        <f t="shared" si="31"/>
        <v>1</v>
      </c>
      <c r="N171" s="675"/>
      <c r="O171" s="24">
        <f t="shared" si="32"/>
        <v>1</v>
      </c>
      <c r="P171" s="675"/>
      <c r="Q171" s="24">
        <f t="shared" si="33"/>
        <v>0</v>
      </c>
      <c r="R171" s="671">
        <f t="shared" si="34"/>
        <v>0</v>
      </c>
      <c r="S171" s="322">
        <f t="shared" si="25"/>
        <v>0</v>
      </c>
    </row>
    <row r="172" spans="1:19">
      <c r="A172" s="155"/>
      <c r="B172" s="57"/>
      <c r="C172" s="24">
        <f t="shared" si="26"/>
        <v>1</v>
      </c>
      <c r="D172" s="675"/>
      <c r="E172" s="24">
        <f t="shared" si="27"/>
        <v>1</v>
      </c>
      <c r="F172" s="675"/>
      <c r="G172" s="24">
        <f t="shared" si="28"/>
        <v>1</v>
      </c>
      <c r="H172" s="675"/>
      <c r="I172" s="24">
        <f t="shared" si="29"/>
        <v>1</v>
      </c>
      <c r="J172" s="675"/>
      <c r="K172" s="24">
        <f t="shared" si="30"/>
        <v>1</v>
      </c>
      <c r="L172" s="675"/>
      <c r="M172" s="24">
        <f t="shared" si="31"/>
        <v>1</v>
      </c>
      <c r="N172" s="675"/>
      <c r="O172" s="24">
        <f t="shared" si="32"/>
        <v>1</v>
      </c>
      <c r="P172" s="675"/>
      <c r="Q172" s="24">
        <f t="shared" si="33"/>
        <v>0</v>
      </c>
      <c r="R172" s="671">
        <f t="shared" si="34"/>
        <v>0</v>
      </c>
      <c r="S172" s="322">
        <f t="shared" si="25"/>
        <v>0</v>
      </c>
    </row>
    <row r="173" spans="1:19">
      <c r="A173" s="155"/>
      <c r="B173" s="57"/>
      <c r="C173" s="24">
        <f t="shared" si="26"/>
        <v>1</v>
      </c>
      <c r="D173" s="675"/>
      <c r="E173" s="24">
        <f t="shared" si="27"/>
        <v>1</v>
      </c>
      <c r="F173" s="675"/>
      <c r="G173" s="24">
        <f t="shared" si="28"/>
        <v>1</v>
      </c>
      <c r="H173" s="675"/>
      <c r="I173" s="24">
        <f t="shared" si="29"/>
        <v>1</v>
      </c>
      <c r="J173" s="675"/>
      <c r="K173" s="24">
        <f t="shared" si="30"/>
        <v>1</v>
      </c>
      <c r="L173" s="675"/>
      <c r="M173" s="24">
        <f t="shared" si="31"/>
        <v>1</v>
      </c>
      <c r="N173" s="675"/>
      <c r="O173" s="24">
        <f t="shared" si="32"/>
        <v>1</v>
      </c>
      <c r="P173" s="675"/>
      <c r="Q173" s="24">
        <f t="shared" si="33"/>
        <v>0</v>
      </c>
      <c r="R173" s="671">
        <f t="shared" si="34"/>
        <v>0</v>
      </c>
      <c r="S173" s="322">
        <f t="shared" si="25"/>
        <v>0</v>
      </c>
    </row>
    <row r="174" spans="1:19">
      <c r="A174" s="155"/>
      <c r="B174" s="57"/>
      <c r="C174" s="24">
        <f t="shared" si="26"/>
        <v>1</v>
      </c>
      <c r="D174" s="675"/>
      <c r="E174" s="24">
        <f t="shared" si="27"/>
        <v>1</v>
      </c>
      <c r="F174" s="675"/>
      <c r="G174" s="24">
        <f t="shared" si="28"/>
        <v>1</v>
      </c>
      <c r="H174" s="675"/>
      <c r="I174" s="24">
        <f t="shared" si="29"/>
        <v>1</v>
      </c>
      <c r="J174" s="675"/>
      <c r="K174" s="24">
        <f t="shared" si="30"/>
        <v>1</v>
      </c>
      <c r="L174" s="675"/>
      <c r="M174" s="24">
        <f t="shared" si="31"/>
        <v>1</v>
      </c>
      <c r="N174" s="675"/>
      <c r="O174" s="24">
        <f t="shared" si="32"/>
        <v>1</v>
      </c>
      <c r="P174" s="675"/>
      <c r="Q174" s="24">
        <f t="shared" si="33"/>
        <v>0</v>
      </c>
      <c r="R174" s="671">
        <f t="shared" si="34"/>
        <v>0</v>
      </c>
      <c r="S174" s="322">
        <f t="shared" si="25"/>
        <v>0</v>
      </c>
    </row>
    <row r="175" spans="1:19">
      <c r="A175" s="155"/>
      <c r="B175" s="57"/>
      <c r="C175" s="24">
        <f t="shared" si="26"/>
        <v>1</v>
      </c>
      <c r="D175" s="675"/>
      <c r="E175" s="24">
        <f t="shared" si="27"/>
        <v>1</v>
      </c>
      <c r="F175" s="675"/>
      <c r="G175" s="24">
        <f t="shared" si="28"/>
        <v>1</v>
      </c>
      <c r="H175" s="675"/>
      <c r="I175" s="24">
        <f t="shared" si="29"/>
        <v>1</v>
      </c>
      <c r="J175" s="675"/>
      <c r="K175" s="24">
        <f t="shared" si="30"/>
        <v>1</v>
      </c>
      <c r="L175" s="675"/>
      <c r="M175" s="24">
        <f t="shared" si="31"/>
        <v>1</v>
      </c>
      <c r="N175" s="675"/>
      <c r="O175" s="24">
        <f t="shared" si="32"/>
        <v>1</v>
      </c>
      <c r="P175" s="675"/>
      <c r="Q175" s="24">
        <f t="shared" si="33"/>
        <v>0</v>
      </c>
      <c r="R175" s="671">
        <f t="shared" si="34"/>
        <v>0</v>
      </c>
      <c r="S175" s="322">
        <f t="shared" si="25"/>
        <v>0</v>
      </c>
    </row>
    <row r="176" spans="1:19">
      <c r="A176" s="155"/>
      <c r="B176" s="57"/>
      <c r="C176" s="24">
        <f t="shared" si="26"/>
        <v>1</v>
      </c>
      <c r="D176" s="675"/>
      <c r="E176" s="24">
        <f t="shared" si="27"/>
        <v>1</v>
      </c>
      <c r="F176" s="675"/>
      <c r="G176" s="24">
        <f t="shared" si="28"/>
        <v>1</v>
      </c>
      <c r="H176" s="675"/>
      <c r="I176" s="24">
        <f t="shared" si="29"/>
        <v>1</v>
      </c>
      <c r="J176" s="675"/>
      <c r="K176" s="24">
        <f t="shared" si="30"/>
        <v>1</v>
      </c>
      <c r="L176" s="675"/>
      <c r="M176" s="24">
        <f t="shared" si="31"/>
        <v>1</v>
      </c>
      <c r="N176" s="675"/>
      <c r="O176" s="24">
        <f t="shared" si="32"/>
        <v>1</v>
      </c>
      <c r="P176" s="675"/>
      <c r="Q176" s="24">
        <f t="shared" si="33"/>
        <v>0</v>
      </c>
      <c r="R176" s="671">
        <f t="shared" si="34"/>
        <v>0</v>
      </c>
      <c r="S176" s="322">
        <f t="shared" si="25"/>
        <v>0</v>
      </c>
    </row>
    <row r="177" spans="1:19">
      <c r="A177" s="155"/>
      <c r="B177" s="57"/>
      <c r="C177" s="24">
        <f t="shared" si="26"/>
        <v>1</v>
      </c>
      <c r="D177" s="675"/>
      <c r="E177" s="24">
        <f t="shared" si="27"/>
        <v>1</v>
      </c>
      <c r="F177" s="675"/>
      <c r="G177" s="24">
        <f t="shared" si="28"/>
        <v>1</v>
      </c>
      <c r="H177" s="675"/>
      <c r="I177" s="24">
        <f t="shared" si="29"/>
        <v>1</v>
      </c>
      <c r="J177" s="675"/>
      <c r="K177" s="24">
        <f t="shared" si="30"/>
        <v>1</v>
      </c>
      <c r="L177" s="675"/>
      <c r="M177" s="24">
        <f t="shared" si="31"/>
        <v>1</v>
      </c>
      <c r="N177" s="675"/>
      <c r="O177" s="24">
        <f t="shared" si="32"/>
        <v>1</v>
      </c>
      <c r="P177" s="675"/>
      <c r="Q177" s="24">
        <f t="shared" si="33"/>
        <v>0</v>
      </c>
      <c r="R177" s="671">
        <f t="shared" si="34"/>
        <v>0</v>
      </c>
      <c r="S177" s="322">
        <f t="shared" si="25"/>
        <v>0</v>
      </c>
    </row>
    <row r="178" spans="1:19">
      <c r="A178" s="155"/>
      <c r="B178" s="57"/>
      <c r="C178" s="24">
        <f t="shared" si="26"/>
        <v>1</v>
      </c>
      <c r="D178" s="675"/>
      <c r="E178" s="24">
        <f t="shared" si="27"/>
        <v>1</v>
      </c>
      <c r="F178" s="675"/>
      <c r="G178" s="24">
        <f t="shared" si="28"/>
        <v>1</v>
      </c>
      <c r="H178" s="675"/>
      <c r="I178" s="24">
        <f t="shared" si="29"/>
        <v>1</v>
      </c>
      <c r="J178" s="675"/>
      <c r="K178" s="24">
        <f t="shared" si="30"/>
        <v>1</v>
      </c>
      <c r="L178" s="675"/>
      <c r="M178" s="24">
        <f t="shared" si="31"/>
        <v>1</v>
      </c>
      <c r="N178" s="675"/>
      <c r="O178" s="24">
        <f t="shared" si="32"/>
        <v>1</v>
      </c>
      <c r="P178" s="675"/>
      <c r="Q178" s="24">
        <f t="shared" si="33"/>
        <v>0</v>
      </c>
      <c r="R178" s="671">
        <f t="shared" si="34"/>
        <v>0</v>
      </c>
      <c r="S178" s="322">
        <f t="shared" si="25"/>
        <v>0</v>
      </c>
    </row>
    <row r="179" spans="1:19">
      <c r="A179" s="155"/>
      <c r="B179" s="57"/>
      <c r="C179" s="24">
        <f t="shared" si="26"/>
        <v>1</v>
      </c>
      <c r="D179" s="675"/>
      <c r="E179" s="24">
        <f t="shared" si="27"/>
        <v>1</v>
      </c>
      <c r="F179" s="675"/>
      <c r="G179" s="24">
        <f t="shared" si="28"/>
        <v>1</v>
      </c>
      <c r="H179" s="675"/>
      <c r="I179" s="24">
        <f t="shared" si="29"/>
        <v>1</v>
      </c>
      <c r="J179" s="675"/>
      <c r="K179" s="24">
        <f t="shared" si="30"/>
        <v>1</v>
      </c>
      <c r="L179" s="675"/>
      <c r="M179" s="24">
        <f t="shared" si="31"/>
        <v>1</v>
      </c>
      <c r="N179" s="675"/>
      <c r="O179" s="24">
        <f t="shared" si="32"/>
        <v>1</v>
      </c>
      <c r="P179" s="675"/>
      <c r="Q179" s="24">
        <f t="shared" si="33"/>
        <v>0</v>
      </c>
      <c r="R179" s="671">
        <f t="shared" si="34"/>
        <v>0</v>
      </c>
      <c r="S179" s="322">
        <f t="shared" si="25"/>
        <v>0</v>
      </c>
    </row>
    <row r="180" spans="1:19">
      <c r="A180" s="155"/>
      <c r="B180" s="57"/>
      <c r="C180" s="24">
        <f t="shared" si="26"/>
        <v>1</v>
      </c>
      <c r="D180" s="675"/>
      <c r="E180" s="24">
        <f t="shared" si="27"/>
        <v>1</v>
      </c>
      <c r="F180" s="675"/>
      <c r="G180" s="24">
        <f t="shared" si="28"/>
        <v>1</v>
      </c>
      <c r="H180" s="675"/>
      <c r="I180" s="24">
        <f t="shared" si="29"/>
        <v>1</v>
      </c>
      <c r="J180" s="675"/>
      <c r="K180" s="24">
        <f t="shared" si="30"/>
        <v>1</v>
      </c>
      <c r="L180" s="675"/>
      <c r="M180" s="24">
        <f t="shared" si="31"/>
        <v>1</v>
      </c>
      <c r="N180" s="675"/>
      <c r="O180" s="24">
        <f t="shared" si="32"/>
        <v>1</v>
      </c>
      <c r="P180" s="675"/>
      <c r="Q180" s="24">
        <f t="shared" si="33"/>
        <v>0</v>
      </c>
      <c r="R180" s="671">
        <f t="shared" si="34"/>
        <v>0</v>
      </c>
      <c r="S180" s="322">
        <f t="shared" si="25"/>
        <v>0</v>
      </c>
    </row>
    <row r="181" spans="1:19">
      <c r="A181" s="155"/>
      <c r="B181" s="57"/>
      <c r="C181" s="24">
        <f t="shared" si="26"/>
        <v>1</v>
      </c>
      <c r="D181" s="675"/>
      <c r="E181" s="24">
        <f t="shared" si="27"/>
        <v>1</v>
      </c>
      <c r="F181" s="675"/>
      <c r="G181" s="24">
        <f t="shared" si="28"/>
        <v>1</v>
      </c>
      <c r="H181" s="675"/>
      <c r="I181" s="24">
        <f t="shared" si="29"/>
        <v>1</v>
      </c>
      <c r="J181" s="675"/>
      <c r="K181" s="24">
        <f t="shared" si="30"/>
        <v>1</v>
      </c>
      <c r="L181" s="675"/>
      <c r="M181" s="24">
        <f t="shared" si="31"/>
        <v>1</v>
      </c>
      <c r="N181" s="675"/>
      <c r="O181" s="24">
        <f t="shared" si="32"/>
        <v>1</v>
      </c>
      <c r="P181" s="675"/>
      <c r="Q181" s="24">
        <f t="shared" si="33"/>
        <v>0</v>
      </c>
      <c r="R181" s="671">
        <f t="shared" si="34"/>
        <v>0</v>
      </c>
      <c r="S181" s="322">
        <f t="shared" si="25"/>
        <v>0</v>
      </c>
    </row>
    <row r="182" spans="1:19">
      <c r="A182" s="155"/>
      <c r="B182" s="57"/>
      <c r="C182" s="24">
        <f t="shared" si="26"/>
        <v>1</v>
      </c>
      <c r="D182" s="675"/>
      <c r="E182" s="24">
        <f t="shared" si="27"/>
        <v>1</v>
      </c>
      <c r="F182" s="675"/>
      <c r="G182" s="24">
        <f t="shared" si="28"/>
        <v>1</v>
      </c>
      <c r="H182" s="675"/>
      <c r="I182" s="24">
        <f t="shared" si="29"/>
        <v>1</v>
      </c>
      <c r="J182" s="675"/>
      <c r="K182" s="24">
        <f t="shared" si="30"/>
        <v>1</v>
      </c>
      <c r="L182" s="675"/>
      <c r="M182" s="24">
        <f t="shared" si="31"/>
        <v>1</v>
      </c>
      <c r="N182" s="675"/>
      <c r="O182" s="24">
        <f t="shared" si="32"/>
        <v>1</v>
      </c>
      <c r="P182" s="675"/>
      <c r="Q182" s="24">
        <f t="shared" si="33"/>
        <v>0</v>
      </c>
      <c r="R182" s="671">
        <f t="shared" si="34"/>
        <v>0</v>
      </c>
      <c r="S182" s="322">
        <f t="shared" si="25"/>
        <v>0</v>
      </c>
    </row>
    <row r="183" spans="1:19">
      <c r="A183" s="155"/>
      <c r="B183" s="57"/>
      <c r="C183" s="24">
        <f t="shared" si="26"/>
        <v>1</v>
      </c>
      <c r="D183" s="675"/>
      <c r="E183" s="24">
        <f t="shared" si="27"/>
        <v>1</v>
      </c>
      <c r="F183" s="675"/>
      <c r="G183" s="24">
        <f t="shared" si="28"/>
        <v>1</v>
      </c>
      <c r="H183" s="675"/>
      <c r="I183" s="24">
        <f t="shared" si="29"/>
        <v>1</v>
      </c>
      <c r="J183" s="675"/>
      <c r="K183" s="24">
        <f t="shared" si="30"/>
        <v>1</v>
      </c>
      <c r="L183" s="675"/>
      <c r="M183" s="24">
        <f t="shared" si="31"/>
        <v>1</v>
      </c>
      <c r="N183" s="675"/>
      <c r="O183" s="24">
        <f t="shared" si="32"/>
        <v>1</v>
      </c>
      <c r="P183" s="675"/>
      <c r="Q183" s="24">
        <f t="shared" si="33"/>
        <v>0</v>
      </c>
      <c r="R183" s="671">
        <f t="shared" si="34"/>
        <v>0</v>
      </c>
      <c r="S183" s="322">
        <f t="shared" si="25"/>
        <v>0</v>
      </c>
    </row>
    <row r="184" spans="1:19">
      <c r="A184" s="155"/>
      <c r="B184" s="57"/>
      <c r="C184" s="24">
        <f t="shared" si="26"/>
        <v>1</v>
      </c>
      <c r="D184" s="675"/>
      <c r="E184" s="24">
        <f t="shared" si="27"/>
        <v>1</v>
      </c>
      <c r="F184" s="675"/>
      <c r="G184" s="24">
        <f t="shared" si="28"/>
        <v>1</v>
      </c>
      <c r="H184" s="675"/>
      <c r="I184" s="24">
        <f t="shared" si="29"/>
        <v>1</v>
      </c>
      <c r="J184" s="675"/>
      <c r="K184" s="24">
        <f t="shared" si="30"/>
        <v>1</v>
      </c>
      <c r="L184" s="675"/>
      <c r="M184" s="24">
        <f t="shared" si="31"/>
        <v>1</v>
      </c>
      <c r="N184" s="675"/>
      <c r="O184" s="24">
        <f t="shared" si="32"/>
        <v>1</v>
      </c>
      <c r="P184" s="675"/>
      <c r="Q184" s="24">
        <f t="shared" si="33"/>
        <v>0</v>
      </c>
      <c r="R184" s="671">
        <f t="shared" si="34"/>
        <v>0</v>
      </c>
      <c r="S184" s="322">
        <f t="shared" si="25"/>
        <v>0</v>
      </c>
    </row>
    <row r="185" spans="1:19">
      <c r="A185" s="155"/>
      <c r="B185" s="57"/>
      <c r="C185" s="24">
        <f t="shared" si="26"/>
        <v>1</v>
      </c>
      <c r="D185" s="675"/>
      <c r="E185" s="24">
        <f t="shared" si="27"/>
        <v>1</v>
      </c>
      <c r="F185" s="675"/>
      <c r="G185" s="24">
        <f t="shared" si="28"/>
        <v>1</v>
      </c>
      <c r="H185" s="675"/>
      <c r="I185" s="24">
        <f t="shared" si="29"/>
        <v>1</v>
      </c>
      <c r="J185" s="675"/>
      <c r="K185" s="24">
        <f t="shared" si="30"/>
        <v>1</v>
      </c>
      <c r="L185" s="675"/>
      <c r="M185" s="24">
        <f t="shared" si="31"/>
        <v>1</v>
      </c>
      <c r="N185" s="675"/>
      <c r="O185" s="24">
        <f t="shared" si="32"/>
        <v>1</v>
      </c>
      <c r="P185" s="675"/>
      <c r="Q185" s="24">
        <f t="shared" si="33"/>
        <v>0</v>
      </c>
      <c r="R185" s="671">
        <f t="shared" si="34"/>
        <v>0</v>
      </c>
      <c r="S185" s="322">
        <f t="shared" si="25"/>
        <v>0</v>
      </c>
    </row>
    <row r="186" spans="1:19">
      <c r="A186" s="155"/>
      <c r="B186" s="57"/>
      <c r="C186" s="24">
        <f t="shared" si="26"/>
        <v>1</v>
      </c>
      <c r="D186" s="675"/>
      <c r="E186" s="24">
        <f t="shared" si="27"/>
        <v>1</v>
      </c>
      <c r="F186" s="675"/>
      <c r="G186" s="24">
        <f t="shared" si="28"/>
        <v>1</v>
      </c>
      <c r="H186" s="675"/>
      <c r="I186" s="24">
        <f t="shared" si="29"/>
        <v>1</v>
      </c>
      <c r="J186" s="675"/>
      <c r="K186" s="24">
        <f t="shared" si="30"/>
        <v>1</v>
      </c>
      <c r="L186" s="675"/>
      <c r="M186" s="24">
        <f t="shared" si="31"/>
        <v>1</v>
      </c>
      <c r="N186" s="675"/>
      <c r="O186" s="24">
        <f t="shared" si="32"/>
        <v>1</v>
      </c>
      <c r="P186" s="675"/>
      <c r="Q186" s="24">
        <f t="shared" si="33"/>
        <v>0</v>
      </c>
      <c r="R186" s="671">
        <f t="shared" si="34"/>
        <v>0</v>
      </c>
      <c r="S186" s="322">
        <f t="shared" si="25"/>
        <v>0</v>
      </c>
    </row>
    <row r="187" spans="1:19">
      <c r="A187" s="155"/>
      <c r="B187" s="57"/>
      <c r="C187" s="24">
        <f t="shared" si="26"/>
        <v>1</v>
      </c>
      <c r="D187" s="675"/>
      <c r="E187" s="24">
        <f t="shared" si="27"/>
        <v>1</v>
      </c>
      <c r="F187" s="675"/>
      <c r="G187" s="24">
        <f t="shared" si="28"/>
        <v>1</v>
      </c>
      <c r="H187" s="675"/>
      <c r="I187" s="24">
        <f t="shared" si="29"/>
        <v>1</v>
      </c>
      <c r="J187" s="675"/>
      <c r="K187" s="24">
        <f t="shared" si="30"/>
        <v>1</v>
      </c>
      <c r="L187" s="675"/>
      <c r="M187" s="24">
        <f t="shared" si="31"/>
        <v>1</v>
      </c>
      <c r="N187" s="675"/>
      <c r="O187" s="24">
        <f t="shared" si="32"/>
        <v>1</v>
      </c>
      <c r="P187" s="675"/>
      <c r="Q187" s="24">
        <f t="shared" si="33"/>
        <v>0</v>
      </c>
      <c r="R187" s="671">
        <f t="shared" si="34"/>
        <v>0</v>
      </c>
      <c r="S187" s="322">
        <f t="shared" si="25"/>
        <v>0</v>
      </c>
    </row>
    <row r="188" spans="1:19">
      <c r="A188" s="155"/>
      <c r="B188" s="57"/>
      <c r="C188" s="24">
        <f t="shared" si="26"/>
        <v>1</v>
      </c>
      <c r="D188" s="675"/>
      <c r="E188" s="24">
        <f t="shared" si="27"/>
        <v>1</v>
      </c>
      <c r="F188" s="675"/>
      <c r="G188" s="24">
        <f t="shared" si="28"/>
        <v>1</v>
      </c>
      <c r="H188" s="675"/>
      <c r="I188" s="24">
        <f t="shared" si="29"/>
        <v>1</v>
      </c>
      <c r="J188" s="675"/>
      <c r="K188" s="24">
        <f t="shared" si="30"/>
        <v>1</v>
      </c>
      <c r="L188" s="675"/>
      <c r="M188" s="24">
        <f t="shared" si="31"/>
        <v>1</v>
      </c>
      <c r="N188" s="675"/>
      <c r="O188" s="24">
        <f t="shared" si="32"/>
        <v>1</v>
      </c>
      <c r="P188" s="675"/>
      <c r="Q188" s="24">
        <f t="shared" si="33"/>
        <v>0</v>
      </c>
      <c r="R188" s="671">
        <f t="shared" si="34"/>
        <v>0</v>
      </c>
      <c r="S188" s="322">
        <f t="shared" si="25"/>
        <v>0</v>
      </c>
    </row>
    <row r="189" spans="1:19">
      <c r="A189" s="155"/>
      <c r="B189" s="57"/>
      <c r="C189" s="24">
        <f t="shared" si="26"/>
        <v>1</v>
      </c>
      <c r="D189" s="675"/>
      <c r="E189" s="24">
        <f t="shared" si="27"/>
        <v>1</v>
      </c>
      <c r="F189" s="675"/>
      <c r="G189" s="24">
        <f t="shared" si="28"/>
        <v>1</v>
      </c>
      <c r="H189" s="675"/>
      <c r="I189" s="24">
        <f t="shared" si="29"/>
        <v>1</v>
      </c>
      <c r="J189" s="675"/>
      <c r="K189" s="24">
        <f t="shared" si="30"/>
        <v>1</v>
      </c>
      <c r="L189" s="675"/>
      <c r="M189" s="24">
        <f t="shared" si="31"/>
        <v>1</v>
      </c>
      <c r="N189" s="675"/>
      <c r="O189" s="24">
        <f t="shared" si="32"/>
        <v>1</v>
      </c>
      <c r="P189" s="675"/>
      <c r="Q189" s="24">
        <f t="shared" si="33"/>
        <v>0</v>
      </c>
      <c r="R189" s="671">
        <f t="shared" si="34"/>
        <v>0</v>
      </c>
      <c r="S189" s="322">
        <f t="shared" si="25"/>
        <v>0</v>
      </c>
    </row>
    <row r="190" spans="1:19">
      <c r="A190" s="155"/>
      <c r="B190" s="57"/>
      <c r="C190" s="24">
        <f t="shared" si="26"/>
        <v>1</v>
      </c>
      <c r="D190" s="675"/>
      <c r="E190" s="24">
        <f t="shared" si="27"/>
        <v>1</v>
      </c>
      <c r="F190" s="675"/>
      <c r="G190" s="24">
        <f t="shared" si="28"/>
        <v>1</v>
      </c>
      <c r="H190" s="675"/>
      <c r="I190" s="24">
        <f t="shared" si="29"/>
        <v>1</v>
      </c>
      <c r="J190" s="675"/>
      <c r="K190" s="24">
        <f t="shared" si="30"/>
        <v>1</v>
      </c>
      <c r="L190" s="675"/>
      <c r="M190" s="24">
        <f t="shared" si="31"/>
        <v>1</v>
      </c>
      <c r="N190" s="675"/>
      <c r="O190" s="24">
        <f t="shared" si="32"/>
        <v>1</v>
      </c>
      <c r="P190" s="675"/>
      <c r="Q190" s="24">
        <f t="shared" si="33"/>
        <v>0</v>
      </c>
      <c r="R190" s="671">
        <f t="shared" si="34"/>
        <v>0</v>
      </c>
      <c r="S190" s="322">
        <f t="shared" si="25"/>
        <v>0</v>
      </c>
    </row>
    <row r="191" spans="1:19">
      <c r="A191" s="155"/>
      <c r="B191" s="57"/>
      <c r="C191" s="24">
        <f t="shared" si="26"/>
        <v>1</v>
      </c>
      <c r="D191" s="675"/>
      <c r="E191" s="24">
        <f t="shared" si="27"/>
        <v>1</v>
      </c>
      <c r="F191" s="675"/>
      <c r="G191" s="24">
        <f t="shared" si="28"/>
        <v>1</v>
      </c>
      <c r="H191" s="675"/>
      <c r="I191" s="24">
        <f t="shared" si="29"/>
        <v>1</v>
      </c>
      <c r="J191" s="675"/>
      <c r="K191" s="24">
        <f t="shared" si="30"/>
        <v>1</v>
      </c>
      <c r="L191" s="675"/>
      <c r="M191" s="24">
        <f t="shared" si="31"/>
        <v>1</v>
      </c>
      <c r="N191" s="675"/>
      <c r="O191" s="24">
        <f t="shared" si="32"/>
        <v>1</v>
      </c>
      <c r="P191" s="675"/>
      <c r="Q191" s="24">
        <f t="shared" si="33"/>
        <v>0</v>
      </c>
      <c r="R191" s="671">
        <f t="shared" si="34"/>
        <v>0</v>
      </c>
      <c r="S191" s="322">
        <f t="shared" si="25"/>
        <v>0</v>
      </c>
    </row>
    <row r="192" spans="1:19">
      <c r="A192" s="155"/>
      <c r="B192" s="57"/>
      <c r="C192" s="24">
        <f t="shared" si="26"/>
        <v>1</v>
      </c>
      <c r="D192" s="675"/>
      <c r="E192" s="24">
        <f t="shared" si="27"/>
        <v>1</v>
      </c>
      <c r="F192" s="675"/>
      <c r="G192" s="24">
        <f t="shared" si="28"/>
        <v>1</v>
      </c>
      <c r="H192" s="675"/>
      <c r="I192" s="24">
        <f t="shared" si="29"/>
        <v>1</v>
      </c>
      <c r="J192" s="675"/>
      <c r="K192" s="24">
        <f t="shared" si="30"/>
        <v>1</v>
      </c>
      <c r="L192" s="675"/>
      <c r="M192" s="24">
        <f t="shared" si="31"/>
        <v>1</v>
      </c>
      <c r="N192" s="675"/>
      <c r="O192" s="24">
        <f t="shared" si="32"/>
        <v>1</v>
      </c>
      <c r="P192" s="675"/>
      <c r="Q192" s="24">
        <f t="shared" si="33"/>
        <v>0</v>
      </c>
      <c r="R192" s="671">
        <f t="shared" si="34"/>
        <v>0</v>
      </c>
      <c r="S192" s="322">
        <f t="shared" si="25"/>
        <v>0</v>
      </c>
    </row>
    <row r="193" spans="1:19">
      <c r="A193" s="155"/>
      <c r="B193" s="57"/>
      <c r="C193" s="24">
        <f t="shared" si="26"/>
        <v>1</v>
      </c>
      <c r="D193" s="675"/>
      <c r="E193" s="24">
        <f t="shared" si="27"/>
        <v>1</v>
      </c>
      <c r="F193" s="675"/>
      <c r="G193" s="24">
        <f t="shared" si="28"/>
        <v>1</v>
      </c>
      <c r="H193" s="675"/>
      <c r="I193" s="24">
        <f t="shared" si="29"/>
        <v>1</v>
      </c>
      <c r="J193" s="675"/>
      <c r="K193" s="24">
        <f t="shared" si="30"/>
        <v>1</v>
      </c>
      <c r="L193" s="675"/>
      <c r="M193" s="24">
        <f t="shared" si="31"/>
        <v>1</v>
      </c>
      <c r="N193" s="675"/>
      <c r="O193" s="24">
        <f t="shared" si="32"/>
        <v>1</v>
      </c>
      <c r="P193" s="675"/>
      <c r="Q193" s="24">
        <f t="shared" si="33"/>
        <v>0</v>
      </c>
      <c r="R193" s="671">
        <f t="shared" si="34"/>
        <v>0</v>
      </c>
      <c r="S193" s="322">
        <f t="shared" si="25"/>
        <v>0</v>
      </c>
    </row>
    <row r="194" spans="1:19">
      <c r="A194" s="155"/>
      <c r="B194" s="57"/>
      <c r="C194" s="24">
        <f t="shared" si="26"/>
        <v>1</v>
      </c>
      <c r="D194" s="675"/>
      <c r="E194" s="24">
        <f t="shared" si="27"/>
        <v>1</v>
      </c>
      <c r="F194" s="675"/>
      <c r="G194" s="24">
        <f t="shared" si="28"/>
        <v>1</v>
      </c>
      <c r="H194" s="675"/>
      <c r="I194" s="24">
        <f t="shared" si="29"/>
        <v>1</v>
      </c>
      <c r="J194" s="675"/>
      <c r="K194" s="24">
        <f t="shared" si="30"/>
        <v>1</v>
      </c>
      <c r="L194" s="675"/>
      <c r="M194" s="24">
        <f t="shared" si="31"/>
        <v>1</v>
      </c>
      <c r="N194" s="675"/>
      <c r="O194" s="24">
        <f t="shared" si="32"/>
        <v>1</v>
      </c>
      <c r="P194" s="675"/>
      <c r="Q194" s="24">
        <f t="shared" si="33"/>
        <v>0</v>
      </c>
      <c r="R194" s="671">
        <f t="shared" si="34"/>
        <v>0</v>
      </c>
      <c r="S194" s="322">
        <f t="shared" si="25"/>
        <v>0</v>
      </c>
    </row>
    <row r="195" spans="1:19">
      <c r="A195" s="155"/>
      <c r="B195" s="57"/>
      <c r="C195" s="24">
        <f t="shared" si="26"/>
        <v>1</v>
      </c>
      <c r="D195" s="675"/>
      <c r="E195" s="24">
        <f t="shared" si="27"/>
        <v>1</v>
      </c>
      <c r="F195" s="675"/>
      <c r="G195" s="24">
        <f t="shared" si="28"/>
        <v>1</v>
      </c>
      <c r="H195" s="675"/>
      <c r="I195" s="24">
        <f t="shared" si="29"/>
        <v>1</v>
      </c>
      <c r="J195" s="675"/>
      <c r="K195" s="24">
        <f t="shared" si="30"/>
        <v>1</v>
      </c>
      <c r="L195" s="675"/>
      <c r="M195" s="24">
        <f t="shared" si="31"/>
        <v>1</v>
      </c>
      <c r="N195" s="675"/>
      <c r="O195" s="24">
        <f t="shared" si="32"/>
        <v>1</v>
      </c>
      <c r="P195" s="675"/>
      <c r="Q195" s="24">
        <f t="shared" si="33"/>
        <v>0</v>
      </c>
      <c r="R195" s="671">
        <f t="shared" si="34"/>
        <v>0</v>
      </c>
      <c r="S195" s="322">
        <f t="shared" si="25"/>
        <v>0</v>
      </c>
    </row>
    <row r="196" spans="1:19">
      <c r="A196" s="155"/>
      <c r="B196" s="57"/>
      <c r="C196" s="24">
        <f t="shared" si="26"/>
        <v>1</v>
      </c>
      <c r="D196" s="675"/>
      <c r="E196" s="24">
        <f t="shared" si="27"/>
        <v>1</v>
      </c>
      <c r="F196" s="675"/>
      <c r="G196" s="24">
        <f t="shared" si="28"/>
        <v>1</v>
      </c>
      <c r="H196" s="675"/>
      <c r="I196" s="24">
        <f t="shared" si="29"/>
        <v>1</v>
      </c>
      <c r="J196" s="675"/>
      <c r="K196" s="24">
        <f t="shared" si="30"/>
        <v>1</v>
      </c>
      <c r="L196" s="675"/>
      <c r="M196" s="24">
        <f t="shared" si="31"/>
        <v>1</v>
      </c>
      <c r="N196" s="675"/>
      <c r="O196" s="24">
        <f t="shared" si="32"/>
        <v>1</v>
      </c>
      <c r="P196" s="675"/>
      <c r="Q196" s="24">
        <f t="shared" si="33"/>
        <v>0</v>
      </c>
      <c r="R196" s="671">
        <f t="shared" si="34"/>
        <v>0</v>
      </c>
      <c r="S196" s="322">
        <f t="shared" si="25"/>
        <v>0</v>
      </c>
    </row>
    <row r="197" spans="1:19">
      <c r="A197" s="155"/>
      <c r="B197" s="57"/>
      <c r="C197" s="24">
        <f t="shared" si="26"/>
        <v>1</v>
      </c>
      <c r="D197" s="675"/>
      <c r="E197" s="24">
        <f t="shared" si="27"/>
        <v>1</v>
      </c>
      <c r="F197" s="675"/>
      <c r="G197" s="24">
        <f t="shared" si="28"/>
        <v>1</v>
      </c>
      <c r="H197" s="675"/>
      <c r="I197" s="24">
        <f t="shared" si="29"/>
        <v>1</v>
      </c>
      <c r="J197" s="675"/>
      <c r="K197" s="24">
        <f t="shared" si="30"/>
        <v>1</v>
      </c>
      <c r="L197" s="675"/>
      <c r="M197" s="24">
        <f t="shared" si="31"/>
        <v>1</v>
      </c>
      <c r="N197" s="675"/>
      <c r="O197" s="24">
        <f t="shared" si="32"/>
        <v>1</v>
      </c>
      <c r="P197" s="675"/>
      <c r="Q197" s="24">
        <f t="shared" si="33"/>
        <v>0</v>
      </c>
      <c r="R197" s="671">
        <f t="shared" si="34"/>
        <v>0</v>
      </c>
      <c r="S197" s="322">
        <f t="shared" si="25"/>
        <v>0</v>
      </c>
    </row>
    <row r="198" spans="1:19">
      <c r="A198" s="155"/>
      <c r="B198" s="57"/>
      <c r="C198" s="24">
        <f t="shared" si="26"/>
        <v>1</v>
      </c>
      <c r="D198" s="675"/>
      <c r="E198" s="24">
        <f t="shared" si="27"/>
        <v>1</v>
      </c>
      <c r="F198" s="675"/>
      <c r="G198" s="24">
        <f t="shared" si="28"/>
        <v>1</v>
      </c>
      <c r="H198" s="675"/>
      <c r="I198" s="24">
        <f t="shared" si="29"/>
        <v>1</v>
      </c>
      <c r="J198" s="675"/>
      <c r="K198" s="24">
        <f t="shared" si="30"/>
        <v>1</v>
      </c>
      <c r="L198" s="675"/>
      <c r="M198" s="24">
        <f t="shared" si="31"/>
        <v>1</v>
      </c>
      <c r="N198" s="675"/>
      <c r="O198" s="24">
        <f t="shared" si="32"/>
        <v>1</v>
      </c>
      <c r="P198" s="675"/>
      <c r="Q198" s="24">
        <f t="shared" si="33"/>
        <v>0</v>
      </c>
      <c r="R198" s="671">
        <f t="shared" si="34"/>
        <v>0</v>
      </c>
      <c r="S198" s="322">
        <f t="shared" si="25"/>
        <v>0</v>
      </c>
    </row>
    <row r="199" spans="1:19">
      <c r="A199" s="155"/>
      <c r="B199" s="57"/>
      <c r="C199" s="24">
        <f t="shared" si="26"/>
        <v>1</v>
      </c>
      <c r="D199" s="675"/>
      <c r="E199" s="24">
        <f t="shared" si="27"/>
        <v>1</v>
      </c>
      <c r="F199" s="675"/>
      <c r="G199" s="24">
        <f t="shared" si="28"/>
        <v>1</v>
      </c>
      <c r="H199" s="675"/>
      <c r="I199" s="24">
        <f t="shared" si="29"/>
        <v>1</v>
      </c>
      <c r="J199" s="675"/>
      <c r="K199" s="24">
        <f t="shared" si="30"/>
        <v>1</v>
      </c>
      <c r="L199" s="675"/>
      <c r="M199" s="24">
        <f t="shared" si="31"/>
        <v>1</v>
      </c>
      <c r="N199" s="675"/>
      <c r="O199" s="24">
        <f t="shared" si="32"/>
        <v>1</v>
      </c>
      <c r="P199" s="675"/>
      <c r="Q199" s="24">
        <f t="shared" si="33"/>
        <v>0</v>
      </c>
      <c r="R199" s="671">
        <f t="shared" si="34"/>
        <v>0</v>
      </c>
      <c r="S199" s="322">
        <f t="shared" si="25"/>
        <v>0</v>
      </c>
    </row>
    <row r="200" spans="1:19">
      <c r="A200" s="155"/>
      <c r="B200" s="57"/>
      <c r="C200" s="24">
        <f t="shared" si="26"/>
        <v>1</v>
      </c>
      <c r="D200" s="675"/>
      <c r="E200" s="24">
        <f t="shared" si="27"/>
        <v>1</v>
      </c>
      <c r="F200" s="675"/>
      <c r="G200" s="24">
        <f t="shared" si="28"/>
        <v>1</v>
      </c>
      <c r="H200" s="675"/>
      <c r="I200" s="24">
        <f t="shared" si="29"/>
        <v>1</v>
      </c>
      <c r="J200" s="675"/>
      <c r="K200" s="24">
        <f t="shared" si="30"/>
        <v>1</v>
      </c>
      <c r="L200" s="675"/>
      <c r="M200" s="24">
        <f t="shared" si="31"/>
        <v>1</v>
      </c>
      <c r="N200" s="675"/>
      <c r="O200" s="24">
        <f t="shared" si="32"/>
        <v>1</v>
      </c>
      <c r="P200" s="675"/>
      <c r="Q200" s="24">
        <f t="shared" si="33"/>
        <v>0</v>
      </c>
      <c r="R200" s="671">
        <f t="shared" si="34"/>
        <v>0</v>
      </c>
      <c r="S200" s="322">
        <f t="shared" si="25"/>
        <v>0</v>
      </c>
    </row>
    <row r="201" spans="1:19">
      <c r="A201" s="155"/>
      <c r="B201" s="57"/>
      <c r="C201" s="24">
        <f t="shared" si="26"/>
        <v>1</v>
      </c>
      <c r="D201" s="675"/>
      <c r="E201" s="24">
        <f t="shared" si="27"/>
        <v>1</v>
      </c>
      <c r="F201" s="675"/>
      <c r="G201" s="24">
        <f t="shared" si="28"/>
        <v>1</v>
      </c>
      <c r="H201" s="675"/>
      <c r="I201" s="24">
        <f t="shared" si="29"/>
        <v>1</v>
      </c>
      <c r="J201" s="675"/>
      <c r="K201" s="24">
        <f t="shared" si="30"/>
        <v>1</v>
      </c>
      <c r="L201" s="675"/>
      <c r="M201" s="24">
        <f t="shared" si="31"/>
        <v>1</v>
      </c>
      <c r="N201" s="675"/>
      <c r="O201" s="24">
        <f t="shared" si="32"/>
        <v>1</v>
      </c>
      <c r="P201" s="675"/>
      <c r="Q201" s="24">
        <f t="shared" si="33"/>
        <v>0</v>
      </c>
      <c r="R201" s="671">
        <f t="shared" si="34"/>
        <v>0</v>
      </c>
      <c r="S201" s="322">
        <f t="shared" si="25"/>
        <v>0</v>
      </c>
    </row>
    <row r="202" spans="1:19">
      <c r="A202" s="155"/>
      <c r="B202" s="57"/>
      <c r="C202" s="24">
        <f t="shared" si="26"/>
        <v>1</v>
      </c>
      <c r="D202" s="675"/>
      <c r="E202" s="24">
        <f t="shared" si="27"/>
        <v>1</v>
      </c>
      <c r="F202" s="675"/>
      <c r="G202" s="24">
        <f t="shared" si="28"/>
        <v>1</v>
      </c>
      <c r="H202" s="675"/>
      <c r="I202" s="24">
        <f t="shared" si="29"/>
        <v>1</v>
      </c>
      <c r="J202" s="675"/>
      <c r="K202" s="24">
        <f t="shared" si="30"/>
        <v>1</v>
      </c>
      <c r="L202" s="675"/>
      <c r="M202" s="24">
        <f t="shared" si="31"/>
        <v>1</v>
      </c>
      <c r="N202" s="675"/>
      <c r="O202" s="24">
        <f t="shared" si="32"/>
        <v>1</v>
      </c>
      <c r="P202" s="675"/>
      <c r="Q202" s="24">
        <f t="shared" si="33"/>
        <v>0</v>
      </c>
      <c r="R202" s="671">
        <f t="shared" si="34"/>
        <v>0</v>
      </c>
      <c r="S202" s="322">
        <f t="shared" si="25"/>
        <v>0</v>
      </c>
    </row>
    <row r="203" spans="1:19">
      <c r="A203" s="155"/>
      <c r="B203" s="57"/>
      <c r="C203" s="24">
        <f t="shared" si="26"/>
        <v>1</v>
      </c>
      <c r="D203" s="675"/>
      <c r="E203" s="24">
        <f t="shared" si="27"/>
        <v>1</v>
      </c>
      <c r="F203" s="675"/>
      <c r="G203" s="24">
        <f t="shared" si="28"/>
        <v>1</v>
      </c>
      <c r="H203" s="675"/>
      <c r="I203" s="24">
        <f t="shared" si="29"/>
        <v>1</v>
      </c>
      <c r="J203" s="675"/>
      <c r="K203" s="24">
        <f t="shared" si="30"/>
        <v>1</v>
      </c>
      <c r="L203" s="675"/>
      <c r="M203" s="24">
        <f t="shared" si="31"/>
        <v>1</v>
      </c>
      <c r="N203" s="675"/>
      <c r="O203" s="24">
        <f t="shared" si="32"/>
        <v>1</v>
      </c>
      <c r="P203" s="675"/>
      <c r="Q203" s="24">
        <f t="shared" si="33"/>
        <v>0</v>
      </c>
      <c r="R203" s="671">
        <f t="shared" si="34"/>
        <v>0</v>
      </c>
      <c r="S203" s="322">
        <f t="shared" si="25"/>
        <v>0</v>
      </c>
    </row>
    <row r="204" spans="1:19">
      <c r="A204" s="155"/>
      <c r="B204" s="57"/>
      <c r="C204" s="24">
        <f t="shared" si="26"/>
        <v>1</v>
      </c>
      <c r="D204" s="675"/>
      <c r="E204" s="24">
        <f t="shared" si="27"/>
        <v>1</v>
      </c>
      <c r="F204" s="675"/>
      <c r="G204" s="24">
        <f t="shared" si="28"/>
        <v>1</v>
      </c>
      <c r="H204" s="675"/>
      <c r="I204" s="24">
        <f t="shared" si="29"/>
        <v>1</v>
      </c>
      <c r="J204" s="675"/>
      <c r="K204" s="24">
        <f t="shared" si="30"/>
        <v>1</v>
      </c>
      <c r="L204" s="675"/>
      <c r="M204" s="24">
        <f t="shared" si="31"/>
        <v>1</v>
      </c>
      <c r="N204" s="675"/>
      <c r="O204" s="24">
        <f t="shared" si="32"/>
        <v>1</v>
      </c>
      <c r="P204" s="675"/>
      <c r="Q204" s="24">
        <f t="shared" si="33"/>
        <v>0</v>
      </c>
      <c r="R204" s="671">
        <f t="shared" si="34"/>
        <v>0</v>
      </c>
      <c r="S204" s="322">
        <f t="shared" si="25"/>
        <v>0</v>
      </c>
    </row>
    <row r="205" spans="1:19">
      <c r="A205" s="155"/>
      <c r="B205" s="57"/>
      <c r="C205" s="24">
        <f t="shared" si="26"/>
        <v>1</v>
      </c>
      <c r="D205" s="675"/>
      <c r="E205" s="24">
        <f t="shared" si="27"/>
        <v>1</v>
      </c>
      <c r="F205" s="675"/>
      <c r="G205" s="24">
        <f t="shared" si="28"/>
        <v>1</v>
      </c>
      <c r="H205" s="675"/>
      <c r="I205" s="24">
        <f t="shared" si="29"/>
        <v>1</v>
      </c>
      <c r="J205" s="675"/>
      <c r="K205" s="24">
        <f t="shared" si="30"/>
        <v>1</v>
      </c>
      <c r="L205" s="675"/>
      <c r="M205" s="24">
        <f t="shared" si="31"/>
        <v>1</v>
      </c>
      <c r="N205" s="675"/>
      <c r="O205" s="24">
        <f t="shared" si="32"/>
        <v>1</v>
      </c>
      <c r="P205" s="675"/>
      <c r="Q205" s="24">
        <f t="shared" si="33"/>
        <v>0</v>
      </c>
      <c r="R205" s="671">
        <f t="shared" si="34"/>
        <v>0</v>
      </c>
      <c r="S205" s="322">
        <f t="shared" si="25"/>
        <v>0</v>
      </c>
    </row>
    <row r="206" spans="1:19">
      <c r="A206" s="155"/>
      <c r="B206" s="57"/>
      <c r="C206" s="24">
        <f t="shared" si="26"/>
        <v>1</v>
      </c>
      <c r="D206" s="675"/>
      <c r="E206" s="24">
        <f t="shared" si="27"/>
        <v>1</v>
      </c>
      <c r="F206" s="675"/>
      <c r="G206" s="24">
        <f t="shared" si="28"/>
        <v>1</v>
      </c>
      <c r="H206" s="675"/>
      <c r="I206" s="24">
        <f t="shared" si="29"/>
        <v>1</v>
      </c>
      <c r="J206" s="675"/>
      <c r="K206" s="24">
        <f t="shared" si="30"/>
        <v>1</v>
      </c>
      <c r="L206" s="675"/>
      <c r="M206" s="24">
        <f t="shared" si="31"/>
        <v>1</v>
      </c>
      <c r="N206" s="675"/>
      <c r="O206" s="24">
        <f t="shared" si="32"/>
        <v>1</v>
      </c>
      <c r="P206" s="675"/>
      <c r="Q206" s="24">
        <f t="shared" si="33"/>
        <v>0</v>
      </c>
      <c r="R206" s="671">
        <f t="shared" si="34"/>
        <v>0</v>
      </c>
      <c r="S206" s="322">
        <f t="shared" si="25"/>
        <v>0</v>
      </c>
    </row>
    <row r="207" spans="1:19">
      <c r="A207" s="155"/>
      <c r="B207" s="57"/>
      <c r="C207" s="24">
        <f t="shared" si="26"/>
        <v>1</v>
      </c>
      <c r="D207" s="675"/>
      <c r="E207" s="24">
        <f t="shared" si="27"/>
        <v>1</v>
      </c>
      <c r="F207" s="675"/>
      <c r="G207" s="24">
        <f t="shared" si="28"/>
        <v>1</v>
      </c>
      <c r="H207" s="675"/>
      <c r="I207" s="24">
        <f t="shared" si="29"/>
        <v>1</v>
      </c>
      <c r="J207" s="675"/>
      <c r="K207" s="24">
        <f t="shared" si="30"/>
        <v>1</v>
      </c>
      <c r="L207" s="675"/>
      <c r="M207" s="24">
        <f t="shared" si="31"/>
        <v>1</v>
      </c>
      <c r="N207" s="675"/>
      <c r="O207" s="24">
        <f t="shared" si="32"/>
        <v>1</v>
      </c>
      <c r="P207" s="675"/>
      <c r="Q207" s="24">
        <f t="shared" si="33"/>
        <v>0</v>
      </c>
      <c r="R207" s="671">
        <f t="shared" si="34"/>
        <v>0</v>
      </c>
      <c r="S207" s="322">
        <f t="shared" si="25"/>
        <v>0</v>
      </c>
    </row>
    <row r="208" spans="1:19">
      <c r="A208" s="155"/>
      <c r="B208" s="57"/>
      <c r="C208" s="24">
        <f t="shared" si="26"/>
        <v>1</v>
      </c>
      <c r="D208" s="675"/>
      <c r="E208" s="24">
        <f t="shared" si="27"/>
        <v>1</v>
      </c>
      <c r="F208" s="675"/>
      <c r="G208" s="24">
        <f t="shared" si="28"/>
        <v>1</v>
      </c>
      <c r="H208" s="675"/>
      <c r="I208" s="24">
        <f t="shared" si="29"/>
        <v>1</v>
      </c>
      <c r="J208" s="675"/>
      <c r="K208" s="24">
        <f t="shared" si="30"/>
        <v>1</v>
      </c>
      <c r="L208" s="675"/>
      <c r="M208" s="24">
        <f t="shared" si="31"/>
        <v>1</v>
      </c>
      <c r="N208" s="675"/>
      <c r="O208" s="24">
        <f t="shared" si="32"/>
        <v>1</v>
      </c>
      <c r="P208" s="675"/>
      <c r="Q208" s="24">
        <f t="shared" si="33"/>
        <v>0</v>
      </c>
      <c r="R208" s="671">
        <f t="shared" si="34"/>
        <v>0</v>
      </c>
      <c r="S208" s="322">
        <f t="shared" si="25"/>
        <v>0</v>
      </c>
    </row>
    <row r="209" spans="1:19">
      <c r="A209" s="155"/>
      <c r="B209" s="57"/>
      <c r="C209" s="24">
        <f t="shared" si="26"/>
        <v>1</v>
      </c>
      <c r="D209" s="675"/>
      <c r="E209" s="24">
        <f t="shared" si="27"/>
        <v>1</v>
      </c>
      <c r="F209" s="675"/>
      <c r="G209" s="24">
        <f t="shared" si="28"/>
        <v>1</v>
      </c>
      <c r="H209" s="675"/>
      <c r="I209" s="24">
        <f t="shared" si="29"/>
        <v>1</v>
      </c>
      <c r="J209" s="675"/>
      <c r="K209" s="24">
        <f t="shared" si="30"/>
        <v>1</v>
      </c>
      <c r="L209" s="675"/>
      <c r="M209" s="24">
        <f t="shared" si="31"/>
        <v>1</v>
      </c>
      <c r="N209" s="675"/>
      <c r="O209" s="24">
        <f t="shared" si="32"/>
        <v>1</v>
      </c>
      <c r="P209" s="675"/>
      <c r="Q209" s="24">
        <f t="shared" si="33"/>
        <v>0</v>
      </c>
      <c r="R209" s="671">
        <f t="shared" si="34"/>
        <v>0</v>
      </c>
      <c r="S209" s="322">
        <f t="shared" si="25"/>
        <v>0</v>
      </c>
    </row>
    <row r="210" spans="1:19">
      <c r="A210" s="155"/>
      <c r="B210" s="57"/>
      <c r="C210" s="24">
        <f t="shared" si="26"/>
        <v>1</v>
      </c>
      <c r="D210" s="675"/>
      <c r="E210" s="24">
        <f t="shared" si="27"/>
        <v>1</v>
      </c>
      <c r="F210" s="675"/>
      <c r="G210" s="24">
        <f t="shared" si="28"/>
        <v>1</v>
      </c>
      <c r="H210" s="675"/>
      <c r="I210" s="24">
        <f t="shared" si="29"/>
        <v>1</v>
      </c>
      <c r="J210" s="675"/>
      <c r="K210" s="24">
        <f t="shared" si="30"/>
        <v>1</v>
      </c>
      <c r="L210" s="675"/>
      <c r="M210" s="24">
        <f t="shared" si="31"/>
        <v>1</v>
      </c>
      <c r="N210" s="675"/>
      <c r="O210" s="24">
        <f t="shared" si="32"/>
        <v>1</v>
      </c>
      <c r="P210" s="675"/>
      <c r="Q210" s="24">
        <f t="shared" si="33"/>
        <v>0</v>
      </c>
      <c r="R210" s="671">
        <f t="shared" si="34"/>
        <v>0</v>
      </c>
      <c r="S210" s="322">
        <f t="shared" si="25"/>
        <v>0</v>
      </c>
    </row>
    <row r="211" spans="1:19">
      <c r="A211" s="155"/>
      <c r="B211" s="57"/>
      <c r="C211" s="24">
        <f t="shared" si="26"/>
        <v>1</v>
      </c>
      <c r="D211" s="675"/>
      <c r="E211" s="24">
        <f t="shared" si="27"/>
        <v>1</v>
      </c>
      <c r="F211" s="675"/>
      <c r="G211" s="24">
        <f t="shared" si="28"/>
        <v>1</v>
      </c>
      <c r="H211" s="675"/>
      <c r="I211" s="24">
        <f t="shared" si="29"/>
        <v>1</v>
      </c>
      <c r="J211" s="675"/>
      <c r="K211" s="24">
        <f t="shared" si="30"/>
        <v>1</v>
      </c>
      <c r="L211" s="675"/>
      <c r="M211" s="24">
        <f t="shared" si="31"/>
        <v>1</v>
      </c>
      <c r="N211" s="675"/>
      <c r="O211" s="24">
        <f t="shared" si="32"/>
        <v>1</v>
      </c>
      <c r="P211" s="675"/>
      <c r="Q211" s="24">
        <f t="shared" si="33"/>
        <v>0</v>
      </c>
      <c r="R211" s="671">
        <f t="shared" si="34"/>
        <v>0</v>
      </c>
      <c r="S211" s="322">
        <f t="shared" si="25"/>
        <v>0</v>
      </c>
    </row>
    <row r="212" spans="1:19">
      <c r="A212" s="155"/>
      <c r="B212" s="57"/>
      <c r="C212" s="24">
        <f t="shared" si="26"/>
        <v>1</v>
      </c>
      <c r="D212" s="675"/>
      <c r="E212" s="24">
        <f t="shared" si="27"/>
        <v>1</v>
      </c>
      <c r="F212" s="675"/>
      <c r="G212" s="24">
        <f t="shared" si="28"/>
        <v>1</v>
      </c>
      <c r="H212" s="675"/>
      <c r="I212" s="24">
        <f t="shared" si="29"/>
        <v>1</v>
      </c>
      <c r="J212" s="675"/>
      <c r="K212" s="24">
        <f t="shared" si="30"/>
        <v>1</v>
      </c>
      <c r="L212" s="675"/>
      <c r="M212" s="24">
        <f t="shared" si="31"/>
        <v>1</v>
      </c>
      <c r="N212" s="675"/>
      <c r="O212" s="24">
        <f t="shared" si="32"/>
        <v>1</v>
      </c>
      <c r="P212" s="675"/>
      <c r="Q212" s="24">
        <f t="shared" si="33"/>
        <v>0</v>
      </c>
      <c r="R212" s="671">
        <f t="shared" si="34"/>
        <v>0</v>
      </c>
      <c r="S212" s="322">
        <f t="shared" si="25"/>
        <v>0</v>
      </c>
    </row>
    <row r="213" spans="1:19">
      <c r="A213" s="155"/>
      <c r="B213" s="57"/>
      <c r="C213" s="24">
        <f t="shared" si="26"/>
        <v>1</v>
      </c>
      <c r="D213" s="675"/>
      <c r="E213" s="24">
        <f t="shared" si="27"/>
        <v>1</v>
      </c>
      <c r="F213" s="675"/>
      <c r="G213" s="24">
        <f t="shared" si="28"/>
        <v>1</v>
      </c>
      <c r="H213" s="675"/>
      <c r="I213" s="24">
        <f t="shared" si="29"/>
        <v>1</v>
      </c>
      <c r="J213" s="675"/>
      <c r="K213" s="24">
        <f t="shared" si="30"/>
        <v>1</v>
      </c>
      <c r="L213" s="675"/>
      <c r="M213" s="24">
        <f t="shared" si="31"/>
        <v>1</v>
      </c>
      <c r="N213" s="675"/>
      <c r="O213" s="24">
        <f t="shared" si="32"/>
        <v>1</v>
      </c>
      <c r="P213" s="675"/>
      <c r="Q213" s="24">
        <f t="shared" si="33"/>
        <v>0</v>
      </c>
      <c r="R213" s="671">
        <f t="shared" si="34"/>
        <v>0</v>
      </c>
      <c r="S213" s="322">
        <f t="shared" si="25"/>
        <v>0</v>
      </c>
    </row>
    <row r="214" spans="1:19">
      <c r="A214" s="155"/>
      <c r="B214" s="57"/>
      <c r="C214" s="24">
        <f t="shared" si="26"/>
        <v>1</v>
      </c>
      <c r="D214" s="675"/>
      <c r="E214" s="24">
        <f t="shared" si="27"/>
        <v>1</v>
      </c>
      <c r="F214" s="675"/>
      <c r="G214" s="24">
        <f t="shared" si="28"/>
        <v>1</v>
      </c>
      <c r="H214" s="675"/>
      <c r="I214" s="24">
        <f t="shared" si="29"/>
        <v>1</v>
      </c>
      <c r="J214" s="675"/>
      <c r="K214" s="24">
        <f t="shared" si="30"/>
        <v>1</v>
      </c>
      <c r="L214" s="675"/>
      <c r="M214" s="24">
        <f t="shared" si="31"/>
        <v>1</v>
      </c>
      <c r="N214" s="675"/>
      <c r="O214" s="24">
        <f t="shared" si="32"/>
        <v>1</v>
      </c>
      <c r="P214" s="675"/>
      <c r="Q214" s="24">
        <f t="shared" si="33"/>
        <v>0</v>
      </c>
      <c r="R214" s="671">
        <f t="shared" si="34"/>
        <v>0</v>
      </c>
      <c r="S214" s="322">
        <f t="shared" si="25"/>
        <v>0</v>
      </c>
    </row>
    <row r="215" spans="1:19">
      <c r="A215" s="155"/>
      <c r="B215" s="57"/>
      <c r="C215" s="24">
        <f t="shared" si="26"/>
        <v>1</v>
      </c>
      <c r="D215" s="675"/>
      <c r="E215" s="24">
        <f t="shared" si="27"/>
        <v>1</v>
      </c>
      <c r="F215" s="675"/>
      <c r="G215" s="24">
        <f t="shared" si="28"/>
        <v>1</v>
      </c>
      <c r="H215" s="675"/>
      <c r="I215" s="24">
        <f t="shared" si="29"/>
        <v>1</v>
      </c>
      <c r="J215" s="675"/>
      <c r="K215" s="24">
        <f t="shared" si="30"/>
        <v>1</v>
      </c>
      <c r="L215" s="675"/>
      <c r="M215" s="24">
        <f t="shared" si="31"/>
        <v>1</v>
      </c>
      <c r="N215" s="675"/>
      <c r="O215" s="24">
        <f t="shared" si="32"/>
        <v>1</v>
      </c>
      <c r="P215" s="675"/>
      <c r="Q215" s="24">
        <f t="shared" si="33"/>
        <v>0</v>
      </c>
      <c r="R215" s="671">
        <f t="shared" si="34"/>
        <v>0</v>
      </c>
      <c r="S215" s="322">
        <f t="shared" si="25"/>
        <v>0</v>
      </c>
    </row>
    <row r="216" spans="1:19">
      <c r="A216" s="155"/>
      <c r="B216" s="57"/>
      <c r="C216" s="24">
        <f t="shared" si="26"/>
        <v>1</v>
      </c>
      <c r="D216" s="675"/>
      <c r="E216" s="24">
        <f t="shared" si="27"/>
        <v>1</v>
      </c>
      <c r="F216" s="675"/>
      <c r="G216" s="24">
        <f t="shared" si="28"/>
        <v>1</v>
      </c>
      <c r="H216" s="675"/>
      <c r="I216" s="24">
        <f t="shared" si="29"/>
        <v>1</v>
      </c>
      <c r="J216" s="675"/>
      <c r="K216" s="24">
        <f t="shared" si="30"/>
        <v>1</v>
      </c>
      <c r="L216" s="675"/>
      <c r="M216" s="24">
        <f t="shared" si="31"/>
        <v>1</v>
      </c>
      <c r="N216" s="675"/>
      <c r="O216" s="24">
        <f t="shared" si="32"/>
        <v>1</v>
      </c>
      <c r="P216" s="675"/>
      <c r="Q216" s="24">
        <f t="shared" si="33"/>
        <v>0</v>
      </c>
      <c r="R216" s="671">
        <f t="shared" si="34"/>
        <v>0</v>
      </c>
      <c r="S216" s="322">
        <f t="shared" ref="S216:S279" si="35">ROUND(R216*B216/10000,0)</f>
        <v>0</v>
      </c>
    </row>
    <row r="217" spans="1:19">
      <c r="A217" s="155"/>
      <c r="B217" s="57"/>
      <c r="C217" s="24">
        <f t="shared" si="26"/>
        <v>1</v>
      </c>
      <c r="D217" s="675"/>
      <c r="E217" s="24">
        <f t="shared" si="27"/>
        <v>1</v>
      </c>
      <c r="F217" s="675"/>
      <c r="G217" s="24">
        <f t="shared" si="28"/>
        <v>1</v>
      </c>
      <c r="H217" s="675"/>
      <c r="I217" s="24">
        <f t="shared" si="29"/>
        <v>1</v>
      </c>
      <c r="J217" s="675"/>
      <c r="K217" s="24">
        <f t="shared" si="30"/>
        <v>1</v>
      </c>
      <c r="L217" s="675"/>
      <c r="M217" s="24">
        <f t="shared" si="31"/>
        <v>1</v>
      </c>
      <c r="N217" s="675"/>
      <c r="O217" s="24">
        <f t="shared" si="32"/>
        <v>1</v>
      </c>
      <c r="P217" s="675"/>
      <c r="Q217" s="24">
        <f t="shared" si="33"/>
        <v>0</v>
      </c>
      <c r="R217" s="671">
        <f t="shared" si="34"/>
        <v>0</v>
      </c>
      <c r="S217" s="322">
        <f t="shared" si="35"/>
        <v>0</v>
      </c>
    </row>
    <row r="218" spans="1:19">
      <c r="A218" s="155"/>
      <c r="B218" s="57"/>
      <c r="C218" s="24">
        <f t="shared" ref="C218:C281" si="36">IF(B218="",1,(LOOKUP(B218,$3:$3,$4:$4)-LOOKUP($B$24,$3:$3,$4:$4)+100)/100)</f>
        <v>1</v>
      </c>
      <c r="D218" s="675"/>
      <c r="E218" s="24">
        <f t="shared" ref="E218:E281" si="37">(SUMIF($5:$5,D218,$6:$6)-SUMIF($5:$5,$D$24,$6:$6)+100)/100</f>
        <v>1</v>
      </c>
      <c r="F218" s="675"/>
      <c r="G218" s="24">
        <f t="shared" ref="G218:G281" si="38">(SUMIF($7:$7,F218,$8:$8)-SUMIF($7:$7,$F$24,$8:$8)+100)/100</f>
        <v>1</v>
      </c>
      <c r="H218" s="675"/>
      <c r="I218" s="24">
        <f t="shared" ref="I218:I281" si="39">(SUMIF($9:$9,H218,$10:$10)-SUMIF($9:$9,$H$24,$10:$10)+100)/100</f>
        <v>1</v>
      </c>
      <c r="J218" s="675"/>
      <c r="K218" s="24">
        <f t="shared" ref="K218:K281" si="40">(SUMIF($11:$11,J218,$12:$12)-SUMIF($11:$11,$J$24,$12:$12)+100)/100</f>
        <v>1</v>
      </c>
      <c r="L218" s="675"/>
      <c r="M218" s="24">
        <f t="shared" ref="M218:M281" si="41">(SUMIF($13:$13,L218,$14:$14)-SUMIF($13:$13,$L$24,$14:$14)+100)/100</f>
        <v>1</v>
      </c>
      <c r="N218" s="675"/>
      <c r="O218" s="24">
        <f t="shared" ref="O218:O281" si="42">(SUMIF($15:$15,N218,$16:$16)-SUMIF($15:$15,$N$24,$16:$16)+100)/100</f>
        <v>1</v>
      </c>
      <c r="P218" s="675"/>
      <c r="Q218" s="24">
        <f t="shared" ref="Q218:Q281" si="43">(SUMIF($17:$17,P218,$18:$18)-SUMIF($17:$17,$P$24,$18:$18)+100)/100</f>
        <v>0</v>
      </c>
      <c r="R218" s="671">
        <f t="shared" ref="R218:R281" si="44">IF(B218="",0,ROUND($R$24*C218*E218*G218*I218*K218*M218*O218*Q218,0))</f>
        <v>0</v>
      </c>
      <c r="S218" s="322">
        <f t="shared" si="35"/>
        <v>0</v>
      </c>
    </row>
    <row r="219" spans="1:19">
      <c r="A219" s="155"/>
      <c r="B219" s="57"/>
      <c r="C219" s="24">
        <f t="shared" si="36"/>
        <v>1</v>
      </c>
      <c r="D219" s="675"/>
      <c r="E219" s="24">
        <f t="shared" si="37"/>
        <v>1</v>
      </c>
      <c r="F219" s="675"/>
      <c r="G219" s="24">
        <f t="shared" si="38"/>
        <v>1</v>
      </c>
      <c r="H219" s="675"/>
      <c r="I219" s="24">
        <f t="shared" si="39"/>
        <v>1</v>
      </c>
      <c r="J219" s="675"/>
      <c r="K219" s="24">
        <f t="shared" si="40"/>
        <v>1</v>
      </c>
      <c r="L219" s="675"/>
      <c r="M219" s="24">
        <f t="shared" si="41"/>
        <v>1</v>
      </c>
      <c r="N219" s="675"/>
      <c r="O219" s="24">
        <f t="shared" si="42"/>
        <v>1</v>
      </c>
      <c r="P219" s="675"/>
      <c r="Q219" s="24">
        <f t="shared" si="43"/>
        <v>0</v>
      </c>
      <c r="R219" s="671">
        <f t="shared" si="44"/>
        <v>0</v>
      </c>
      <c r="S219" s="322">
        <f t="shared" si="35"/>
        <v>0</v>
      </c>
    </row>
    <row r="220" spans="1:19">
      <c r="A220" s="155"/>
      <c r="B220" s="57"/>
      <c r="C220" s="24">
        <f t="shared" si="36"/>
        <v>1</v>
      </c>
      <c r="D220" s="675"/>
      <c r="E220" s="24">
        <f t="shared" si="37"/>
        <v>1</v>
      </c>
      <c r="F220" s="675"/>
      <c r="G220" s="24">
        <f t="shared" si="38"/>
        <v>1</v>
      </c>
      <c r="H220" s="675"/>
      <c r="I220" s="24">
        <f t="shared" si="39"/>
        <v>1</v>
      </c>
      <c r="J220" s="675"/>
      <c r="K220" s="24">
        <f t="shared" si="40"/>
        <v>1</v>
      </c>
      <c r="L220" s="675"/>
      <c r="M220" s="24">
        <f t="shared" si="41"/>
        <v>1</v>
      </c>
      <c r="N220" s="675"/>
      <c r="O220" s="24">
        <f t="shared" si="42"/>
        <v>1</v>
      </c>
      <c r="P220" s="675"/>
      <c r="Q220" s="24">
        <f t="shared" si="43"/>
        <v>0</v>
      </c>
      <c r="R220" s="671">
        <f t="shared" si="44"/>
        <v>0</v>
      </c>
      <c r="S220" s="322">
        <f t="shared" si="35"/>
        <v>0</v>
      </c>
    </row>
    <row r="221" spans="1:19">
      <c r="A221" s="155"/>
      <c r="B221" s="57"/>
      <c r="C221" s="24">
        <f t="shared" si="36"/>
        <v>1</v>
      </c>
      <c r="D221" s="675"/>
      <c r="E221" s="24">
        <f t="shared" si="37"/>
        <v>1</v>
      </c>
      <c r="F221" s="675"/>
      <c r="G221" s="24">
        <f t="shared" si="38"/>
        <v>1</v>
      </c>
      <c r="H221" s="675"/>
      <c r="I221" s="24">
        <f t="shared" si="39"/>
        <v>1</v>
      </c>
      <c r="J221" s="675"/>
      <c r="K221" s="24">
        <f t="shared" si="40"/>
        <v>1</v>
      </c>
      <c r="L221" s="675"/>
      <c r="M221" s="24">
        <f t="shared" si="41"/>
        <v>1</v>
      </c>
      <c r="N221" s="675"/>
      <c r="O221" s="24">
        <f t="shared" si="42"/>
        <v>1</v>
      </c>
      <c r="P221" s="675"/>
      <c r="Q221" s="24">
        <f t="shared" si="43"/>
        <v>0</v>
      </c>
      <c r="R221" s="671">
        <f t="shared" si="44"/>
        <v>0</v>
      </c>
      <c r="S221" s="322">
        <f t="shared" si="35"/>
        <v>0</v>
      </c>
    </row>
    <row r="222" spans="1:19">
      <c r="A222" s="155"/>
      <c r="B222" s="57"/>
      <c r="C222" s="24">
        <f t="shared" si="36"/>
        <v>1</v>
      </c>
      <c r="D222" s="675"/>
      <c r="E222" s="24">
        <f t="shared" si="37"/>
        <v>1</v>
      </c>
      <c r="F222" s="675"/>
      <c r="G222" s="24">
        <f t="shared" si="38"/>
        <v>1</v>
      </c>
      <c r="H222" s="675"/>
      <c r="I222" s="24">
        <f t="shared" si="39"/>
        <v>1</v>
      </c>
      <c r="J222" s="675"/>
      <c r="K222" s="24">
        <f t="shared" si="40"/>
        <v>1</v>
      </c>
      <c r="L222" s="675"/>
      <c r="M222" s="24">
        <f t="shared" si="41"/>
        <v>1</v>
      </c>
      <c r="N222" s="675"/>
      <c r="O222" s="24">
        <f t="shared" si="42"/>
        <v>1</v>
      </c>
      <c r="P222" s="675"/>
      <c r="Q222" s="24">
        <f t="shared" si="43"/>
        <v>0</v>
      </c>
      <c r="R222" s="671">
        <f t="shared" si="44"/>
        <v>0</v>
      </c>
      <c r="S222" s="322">
        <f t="shared" si="35"/>
        <v>0</v>
      </c>
    </row>
    <row r="223" spans="1:19">
      <c r="A223" s="155"/>
      <c r="B223" s="57"/>
      <c r="C223" s="24">
        <f t="shared" si="36"/>
        <v>1</v>
      </c>
      <c r="D223" s="675"/>
      <c r="E223" s="24">
        <f t="shared" si="37"/>
        <v>1</v>
      </c>
      <c r="F223" s="675"/>
      <c r="G223" s="24">
        <f t="shared" si="38"/>
        <v>1</v>
      </c>
      <c r="H223" s="675"/>
      <c r="I223" s="24">
        <f t="shared" si="39"/>
        <v>1</v>
      </c>
      <c r="J223" s="675"/>
      <c r="K223" s="24">
        <f t="shared" si="40"/>
        <v>1</v>
      </c>
      <c r="L223" s="675"/>
      <c r="M223" s="24">
        <f t="shared" si="41"/>
        <v>1</v>
      </c>
      <c r="N223" s="675"/>
      <c r="O223" s="24">
        <f t="shared" si="42"/>
        <v>1</v>
      </c>
      <c r="P223" s="675"/>
      <c r="Q223" s="24">
        <f t="shared" si="43"/>
        <v>0</v>
      </c>
      <c r="R223" s="671">
        <f t="shared" si="44"/>
        <v>0</v>
      </c>
      <c r="S223" s="322">
        <f t="shared" si="35"/>
        <v>0</v>
      </c>
    </row>
    <row r="224" spans="1:19">
      <c r="A224" s="155"/>
      <c r="B224" s="57"/>
      <c r="C224" s="24">
        <f t="shared" si="36"/>
        <v>1</v>
      </c>
      <c r="D224" s="675"/>
      <c r="E224" s="24">
        <f t="shared" si="37"/>
        <v>1</v>
      </c>
      <c r="F224" s="675"/>
      <c r="G224" s="24">
        <f t="shared" si="38"/>
        <v>1</v>
      </c>
      <c r="H224" s="675"/>
      <c r="I224" s="24">
        <f t="shared" si="39"/>
        <v>1</v>
      </c>
      <c r="J224" s="675"/>
      <c r="K224" s="24">
        <f t="shared" si="40"/>
        <v>1</v>
      </c>
      <c r="L224" s="675"/>
      <c r="M224" s="24">
        <f t="shared" si="41"/>
        <v>1</v>
      </c>
      <c r="N224" s="675"/>
      <c r="O224" s="24">
        <f t="shared" si="42"/>
        <v>1</v>
      </c>
      <c r="P224" s="675"/>
      <c r="Q224" s="24">
        <f t="shared" si="43"/>
        <v>0</v>
      </c>
      <c r="R224" s="671">
        <f t="shared" si="44"/>
        <v>0</v>
      </c>
      <c r="S224" s="322">
        <f t="shared" si="35"/>
        <v>0</v>
      </c>
    </row>
    <row r="225" spans="1:19">
      <c r="A225" s="155"/>
      <c r="B225" s="57"/>
      <c r="C225" s="24">
        <f t="shared" si="36"/>
        <v>1</v>
      </c>
      <c r="D225" s="675"/>
      <c r="E225" s="24">
        <f t="shared" si="37"/>
        <v>1</v>
      </c>
      <c r="F225" s="675"/>
      <c r="G225" s="24">
        <f t="shared" si="38"/>
        <v>1</v>
      </c>
      <c r="H225" s="675"/>
      <c r="I225" s="24">
        <f t="shared" si="39"/>
        <v>1</v>
      </c>
      <c r="J225" s="675"/>
      <c r="K225" s="24">
        <f t="shared" si="40"/>
        <v>1</v>
      </c>
      <c r="L225" s="675"/>
      <c r="M225" s="24">
        <f t="shared" si="41"/>
        <v>1</v>
      </c>
      <c r="N225" s="675"/>
      <c r="O225" s="24">
        <f t="shared" si="42"/>
        <v>1</v>
      </c>
      <c r="P225" s="675"/>
      <c r="Q225" s="24">
        <f t="shared" si="43"/>
        <v>0</v>
      </c>
      <c r="R225" s="671">
        <f t="shared" si="44"/>
        <v>0</v>
      </c>
      <c r="S225" s="322">
        <f t="shared" si="35"/>
        <v>0</v>
      </c>
    </row>
    <row r="226" spans="1:19">
      <c r="A226" s="155"/>
      <c r="B226" s="57"/>
      <c r="C226" s="24">
        <f t="shared" si="36"/>
        <v>1</v>
      </c>
      <c r="D226" s="675"/>
      <c r="E226" s="24">
        <f t="shared" si="37"/>
        <v>1</v>
      </c>
      <c r="F226" s="675"/>
      <c r="G226" s="24">
        <f t="shared" si="38"/>
        <v>1</v>
      </c>
      <c r="H226" s="675"/>
      <c r="I226" s="24">
        <f t="shared" si="39"/>
        <v>1</v>
      </c>
      <c r="J226" s="675"/>
      <c r="K226" s="24">
        <f t="shared" si="40"/>
        <v>1</v>
      </c>
      <c r="L226" s="675"/>
      <c r="M226" s="24">
        <f t="shared" si="41"/>
        <v>1</v>
      </c>
      <c r="N226" s="675"/>
      <c r="O226" s="24">
        <f t="shared" si="42"/>
        <v>1</v>
      </c>
      <c r="P226" s="675"/>
      <c r="Q226" s="24">
        <f t="shared" si="43"/>
        <v>0</v>
      </c>
      <c r="R226" s="671">
        <f t="shared" si="44"/>
        <v>0</v>
      </c>
      <c r="S226" s="322">
        <f t="shared" si="35"/>
        <v>0</v>
      </c>
    </row>
    <row r="227" spans="1:19">
      <c r="A227" s="155"/>
      <c r="B227" s="57"/>
      <c r="C227" s="24">
        <f t="shared" si="36"/>
        <v>1</v>
      </c>
      <c r="D227" s="675"/>
      <c r="E227" s="24">
        <f t="shared" si="37"/>
        <v>1</v>
      </c>
      <c r="F227" s="675"/>
      <c r="G227" s="24">
        <f t="shared" si="38"/>
        <v>1</v>
      </c>
      <c r="H227" s="675"/>
      <c r="I227" s="24">
        <f t="shared" si="39"/>
        <v>1</v>
      </c>
      <c r="J227" s="675"/>
      <c r="K227" s="24">
        <f t="shared" si="40"/>
        <v>1</v>
      </c>
      <c r="L227" s="675"/>
      <c r="M227" s="24">
        <f t="shared" si="41"/>
        <v>1</v>
      </c>
      <c r="N227" s="675"/>
      <c r="O227" s="24">
        <f t="shared" si="42"/>
        <v>1</v>
      </c>
      <c r="P227" s="675"/>
      <c r="Q227" s="24">
        <f t="shared" si="43"/>
        <v>0</v>
      </c>
      <c r="R227" s="671">
        <f t="shared" si="44"/>
        <v>0</v>
      </c>
      <c r="S227" s="322">
        <f t="shared" si="35"/>
        <v>0</v>
      </c>
    </row>
    <row r="228" spans="1:19">
      <c r="A228" s="155"/>
      <c r="B228" s="57"/>
      <c r="C228" s="24">
        <f t="shared" si="36"/>
        <v>1</v>
      </c>
      <c r="D228" s="675"/>
      <c r="E228" s="24">
        <f t="shared" si="37"/>
        <v>1</v>
      </c>
      <c r="F228" s="675"/>
      <c r="G228" s="24">
        <f t="shared" si="38"/>
        <v>1</v>
      </c>
      <c r="H228" s="675"/>
      <c r="I228" s="24">
        <f t="shared" si="39"/>
        <v>1</v>
      </c>
      <c r="J228" s="675"/>
      <c r="K228" s="24">
        <f t="shared" si="40"/>
        <v>1</v>
      </c>
      <c r="L228" s="675"/>
      <c r="M228" s="24">
        <f t="shared" si="41"/>
        <v>1</v>
      </c>
      <c r="N228" s="675"/>
      <c r="O228" s="24">
        <f t="shared" si="42"/>
        <v>1</v>
      </c>
      <c r="P228" s="675"/>
      <c r="Q228" s="24">
        <f t="shared" si="43"/>
        <v>0</v>
      </c>
      <c r="R228" s="671">
        <f t="shared" si="44"/>
        <v>0</v>
      </c>
      <c r="S228" s="322">
        <f t="shared" si="35"/>
        <v>0</v>
      </c>
    </row>
    <row r="229" spans="1:19">
      <c r="A229" s="155"/>
      <c r="B229" s="57"/>
      <c r="C229" s="24">
        <f t="shared" si="36"/>
        <v>1</v>
      </c>
      <c r="D229" s="675"/>
      <c r="E229" s="24">
        <f t="shared" si="37"/>
        <v>1</v>
      </c>
      <c r="F229" s="675"/>
      <c r="G229" s="24">
        <f t="shared" si="38"/>
        <v>1</v>
      </c>
      <c r="H229" s="675"/>
      <c r="I229" s="24">
        <f t="shared" si="39"/>
        <v>1</v>
      </c>
      <c r="J229" s="675"/>
      <c r="K229" s="24">
        <f t="shared" si="40"/>
        <v>1</v>
      </c>
      <c r="L229" s="675"/>
      <c r="M229" s="24">
        <f t="shared" si="41"/>
        <v>1</v>
      </c>
      <c r="N229" s="675"/>
      <c r="O229" s="24">
        <f t="shared" si="42"/>
        <v>1</v>
      </c>
      <c r="P229" s="675"/>
      <c r="Q229" s="24">
        <f t="shared" si="43"/>
        <v>0</v>
      </c>
      <c r="R229" s="671">
        <f t="shared" si="44"/>
        <v>0</v>
      </c>
      <c r="S229" s="322">
        <f t="shared" si="35"/>
        <v>0</v>
      </c>
    </row>
    <row r="230" spans="1:19">
      <c r="A230" s="155"/>
      <c r="B230" s="57"/>
      <c r="C230" s="24">
        <f t="shared" si="36"/>
        <v>1</v>
      </c>
      <c r="D230" s="675"/>
      <c r="E230" s="24">
        <f t="shared" si="37"/>
        <v>1</v>
      </c>
      <c r="F230" s="675"/>
      <c r="G230" s="24">
        <f t="shared" si="38"/>
        <v>1</v>
      </c>
      <c r="H230" s="675"/>
      <c r="I230" s="24">
        <f t="shared" si="39"/>
        <v>1</v>
      </c>
      <c r="J230" s="675"/>
      <c r="K230" s="24">
        <f t="shared" si="40"/>
        <v>1</v>
      </c>
      <c r="L230" s="675"/>
      <c r="M230" s="24">
        <f t="shared" si="41"/>
        <v>1</v>
      </c>
      <c r="N230" s="675"/>
      <c r="O230" s="24">
        <f t="shared" si="42"/>
        <v>1</v>
      </c>
      <c r="P230" s="675"/>
      <c r="Q230" s="24">
        <f t="shared" si="43"/>
        <v>0</v>
      </c>
      <c r="R230" s="671">
        <f t="shared" si="44"/>
        <v>0</v>
      </c>
      <c r="S230" s="322">
        <f t="shared" si="35"/>
        <v>0</v>
      </c>
    </row>
    <row r="231" spans="1:19">
      <c r="A231" s="155"/>
      <c r="B231" s="57"/>
      <c r="C231" s="24">
        <f t="shared" si="36"/>
        <v>1</v>
      </c>
      <c r="D231" s="675"/>
      <c r="E231" s="24">
        <f t="shared" si="37"/>
        <v>1</v>
      </c>
      <c r="F231" s="675"/>
      <c r="G231" s="24">
        <f t="shared" si="38"/>
        <v>1</v>
      </c>
      <c r="H231" s="675"/>
      <c r="I231" s="24">
        <f t="shared" si="39"/>
        <v>1</v>
      </c>
      <c r="J231" s="675"/>
      <c r="K231" s="24">
        <f t="shared" si="40"/>
        <v>1</v>
      </c>
      <c r="L231" s="675"/>
      <c r="M231" s="24">
        <f t="shared" si="41"/>
        <v>1</v>
      </c>
      <c r="N231" s="675"/>
      <c r="O231" s="24">
        <f t="shared" si="42"/>
        <v>1</v>
      </c>
      <c r="P231" s="675"/>
      <c r="Q231" s="24">
        <f t="shared" si="43"/>
        <v>0</v>
      </c>
      <c r="R231" s="671">
        <f t="shared" si="44"/>
        <v>0</v>
      </c>
      <c r="S231" s="322">
        <f t="shared" si="35"/>
        <v>0</v>
      </c>
    </row>
    <row r="232" spans="1:19">
      <c r="A232" s="155"/>
      <c r="B232" s="57"/>
      <c r="C232" s="24">
        <f t="shared" si="36"/>
        <v>1</v>
      </c>
      <c r="D232" s="675"/>
      <c r="E232" s="24">
        <f t="shared" si="37"/>
        <v>1</v>
      </c>
      <c r="F232" s="675"/>
      <c r="G232" s="24">
        <f t="shared" si="38"/>
        <v>1</v>
      </c>
      <c r="H232" s="675"/>
      <c r="I232" s="24">
        <f t="shared" si="39"/>
        <v>1</v>
      </c>
      <c r="J232" s="675"/>
      <c r="K232" s="24">
        <f t="shared" si="40"/>
        <v>1</v>
      </c>
      <c r="L232" s="675"/>
      <c r="M232" s="24">
        <f t="shared" si="41"/>
        <v>1</v>
      </c>
      <c r="N232" s="675"/>
      <c r="O232" s="24">
        <f t="shared" si="42"/>
        <v>1</v>
      </c>
      <c r="P232" s="675"/>
      <c r="Q232" s="24">
        <f t="shared" si="43"/>
        <v>0</v>
      </c>
      <c r="R232" s="671">
        <f t="shared" si="44"/>
        <v>0</v>
      </c>
      <c r="S232" s="322">
        <f t="shared" si="35"/>
        <v>0</v>
      </c>
    </row>
    <row r="233" spans="1:19">
      <c r="A233" s="155"/>
      <c r="B233" s="57"/>
      <c r="C233" s="24">
        <f t="shared" si="36"/>
        <v>1</v>
      </c>
      <c r="D233" s="675"/>
      <c r="E233" s="24">
        <f t="shared" si="37"/>
        <v>1</v>
      </c>
      <c r="F233" s="675"/>
      <c r="G233" s="24">
        <f t="shared" si="38"/>
        <v>1</v>
      </c>
      <c r="H233" s="675"/>
      <c r="I233" s="24">
        <f t="shared" si="39"/>
        <v>1</v>
      </c>
      <c r="J233" s="675"/>
      <c r="K233" s="24">
        <f t="shared" si="40"/>
        <v>1</v>
      </c>
      <c r="L233" s="675"/>
      <c r="M233" s="24">
        <f t="shared" si="41"/>
        <v>1</v>
      </c>
      <c r="N233" s="675"/>
      <c r="O233" s="24">
        <f t="shared" si="42"/>
        <v>1</v>
      </c>
      <c r="P233" s="675"/>
      <c r="Q233" s="24">
        <f t="shared" si="43"/>
        <v>0</v>
      </c>
      <c r="R233" s="671">
        <f t="shared" si="44"/>
        <v>0</v>
      </c>
      <c r="S233" s="322">
        <f t="shared" si="35"/>
        <v>0</v>
      </c>
    </row>
    <row r="234" spans="1:19">
      <c r="A234" s="155"/>
      <c r="B234" s="57"/>
      <c r="C234" s="24">
        <f t="shared" si="36"/>
        <v>1</v>
      </c>
      <c r="D234" s="675"/>
      <c r="E234" s="24">
        <f t="shared" si="37"/>
        <v>1</v>
      </c>
      <c r="F234" s="675"/>
      <c r="G234" s="24">
        <f t="shared" si="38"/>
        <v>1</v>
      </c>
      <c r="H234" s="675"/>
      <c r="I234" s="24">
        <f t="shared" si="39"/>
        <v>1</v>
      </c>
      <c r="J234" s="675"/>
      <c r="K234" s="24">
        <f t="shared" si="40"/>
        <v>1</v>
      </c>
      <c r="L234" s="675"/>
      <c r="M234" s="24">
        <f t="shared" si="41"/>
        <v>1</v>
      </c>
      <c r="N234" s="675"/>
      <c r="O234" s="24">
        <f t="shared" si="42"/>
        <v>1</v>
      </c>
      <c r="P234" s="675"/>
      <c r="Q234" s="24">
        <f t="shared" si="43"/>
        <v>0</v>
      </c>
      <c r="R234" s="671">
        <f t="shared" si="44"/>
        <v>0</v>
      </c>
      <c r="S234" s="322">
        <f t="shared" si="35"/>
        <v>0</v>
      </c>
    </row>
    <row r="235" spans="1:19">
      <c r="A235" s="155"/>
      <c r="B235" s="57"/>
      <c r="C235" s="24">
        <f t="shared" si="36"/>
        <v>1</v>
      </c>
      <c r="D235" s="675"/>
      <c r="E235" s="24">
        <f t="shared" si="37"/>
        <v>1</v>
      </c>
      <c r="F235" s="675"/>
      <c r="G235" s="24">
        <f t="shared" si="38"/>
        <v>1</v>
      </c>
      <c r="H235" s="675"/>
      <c r="I235" s="24">
        <f t="shared" si="39"/>
        <v>1</v>
      </c>
      <c r="J235" s="675"/>
      <c r="K235" s="24">
        <f t="shared" si="40"/>
        <v>1</v>
      </c>
      <c r="L235" s="675"/>
      <c r="M235" s="24">
        <f t="shared" si="41"/>
        <v>1</v>
      </c>
      <c r="N235" s="675"/>
      <c r="O235" s="24">
        <f t="shared" si="42"/>
        <v>1</v>
      </c>
      <c r="P235" s="675"/>
      <c r="Q235" s="24">
        <f t="shared" si="43"/>
        <v>0</v>
      </c>
      <c r="R235" s="671">
        <f t="shared" si="44"/>
        <v>0</v>
      </c>
      <c r="S235" s="322">
        <f t="shared" si="35"/>
        <v>0</v>
      </c>
    </row>
    <row r="236" spans="1:19">
      <c r="A236" s="155"/>
      <c r="B236" s="57"/>
      <c r="C236" s="24">
        <f t="shared" si="36"/>
        <v>1</v>
      </c>
      <c r="D236" s="675"/>
      <c r="E236" s="24">
        <f t="shared" si="37"/>
        <v>1</v>
      </c>
      <c r="F236" s="675"/>
      <c r="G236" s="24">
        <f t="shared" si="38"/>
        <v>1</v>
      </c>
      <c r="H236" s="675"/>
      <c r="I236" s="24">
        <f t="shared" si="39"/>
        <v>1</v>
      </c>
      <c r="J236" s="675"/>
      <c r="K236" s="24">
        <f t="shared" si="40"/>
        <v>1</v>
      </c>
      <c r="L236" s="675"/>
      <c r="M236" s="24">
        <f t="shared" si="41"/>
        <v>1</v>
      </c>
      <c r="N236" s="675"/>
      <c r="O236" s="24">
        <f t="shared" si="42"/>
        <v>1</v>
      </c>
      <c r="P236" s="675"/>
      <c r="Q236" s="24">
        <f t="shared" si="43"/>
        <v>0</v>
      </c>
      <c r="R236" s="671">
        <f t="shared" si="44"/>
        <v>0</v>
      </c>
      <c r="S236" s="322">
        <f t="shared" si="35"/>
        <v>0</v>
      </c>
    </row>
    <row r="237" spans="1:19">
      <c r="A237" s="155"/>
      <c r="B237" s="57"/>
      <c r="C237" s="24">
        <f t="shared" si="36"/>
        <v>1</v>
      </c>
      <c r="D237" s="675"/>
      <c r="E237" s="24">
        <f t="shared" si="37"/>
        <v>1</v>
      </c>
      <c r="F237" s="675"/>
      <c r="G237" s="24">
        <f t="shared" si="38"/>
        <v>1</v>
      </c>
      <c r="H237" s="675"/>
      <c r="I237" s="24">
        <f t="shared" si="39"/>
        <v>1</v>
      </c>
      <c r="J237" s="675"/>
      <c r="K237" s="24">
        <f t="shared" si="40"/>
        <v>1</v>
      </c>
      <c r="L237" s="675"/>
      <c r="M237" s="24">
        <f t="shared" si="41"/>
        <v>1</v>
      </c>
      <c r="N237" s="675"/>
      <c r="O237" s="24">
        <f t="shared" si="42"/>
        <v>1</v>
      </c>
      <c r="P237" s="675"/>
      <c r="Q237" s="24">
        <f t="shared" si="43"/>
        <v>0</v>
      </c>
      <c r="R237" s="671">
        <f t="shared" si="44"/>
        <v>0</v>
      </c>
      <c r="S237" s="322">
        <f t="shared" si="35"/>
        <v>0</v>
      </c>
    </row>
    <row r="238" spans="1:19">
      <c r="A238" s="155"/>
      <c r="B238" s="57"/>
      <c r="C238" s="24">
        <f t="shared" si="36"/>
        <v>1</v>
      </c>
      <c r="D238" s="675"/>
      <c r="E238" s="24">
        <f t="shared" si="37"/>
        <v>1</v>
      </c>
      <c r="F238" s="675"/>
      <c r="G238" s="24">
        <f t="shared" si="38"/>
        <v>1</v>
      </c>
      <c r="H238" s="675"/>
      <c r="I238" s="24">
        <f t="shared" si="39"/>
        <v>1</v>
      </c>
      <c r="J238" s="675"/>
      <c r="K238" s="24">
        <f t="shared" si="40"/>
        <v>1</v>
      </c>
      <c r="L238" s="675"/>
      <c r="M238" s="24">
        <f t="shared" si="41"/>
        <v>1</v>
      </c>
      <c r="N238" s="675"/>
      <c r="O238" s="24">
        <f t="shared" si="42"/>
        <v>1</v>
      </c>
      <c r="P238" s="675"/>
      <c r="Q238" s="24">
        <f t="shared" si="43"/>
        <v>0</v>
      </c>
      <c r="R238" s="671">
        <f t="shared" si="44"/>
        <v>0</v>
      </c>
      <c r="S238" s="322">
        <f t="shared" si="35"/>
        <v>0</v>
      </c>
    </row>
    <row r="239" spans="1:19">
      <c r="A239" s="155"/>
      <c r="B239" s="57"/>
      <c r="C239" s="24">
        <f t="shared" si="36"/>
        <v>1</v>
      </c>
      <c r="D239" s="675"/>
      <c r="E239" s="24">
        <f t="shared" si="37"/>
        <v>1</v>
      </c>
      <c r="F239" s="675"/>
      <c r="G239" s="24">
        <f t="shared" si="38"/>
        <v>1</v>
      </c>
      <c r="H239" s="675"/>
      <c r="I239" s="24">
        <f t="shared" si="39"/>
        <v>1</v>
      </c>
      <c r="J239" s="675"/>
      <c r="K239" s="24">
        <f t="shared" si="40"/>
        <v>1</v>
      </c>
      <c r="L239" s="675"/>
      <c r="M239" s="24">
        <f t="shared" si="41"/>
        <v>1</v>
      </c>
      <c r="N239" s="675"/>
      <c r="O239" s="24">
        <f t="shared" si="42"/>
        <v>1</v>
      </c>
      <c r="P239" s="675"/>
      <c r="Q239" s="24">
        <f t="shared" si="43"/>
        <v>0</v>
      </c>
      <c r="R239" s="671">
        <f t="shared" si="44"/>
        <v>0</v>
      </c>
      <c r="S239" s="322">
        <f t="shared" si="35"/>
        <v>0</v>
      </c>
    </row>
    <row r="240" spans="1:19">
      <c r="A240" s="155"/>
      <c r="B240" s="57"/>
      <c r="C240" s="24">
        <f t="shared" si="36"/>
        <v>1</v>
      </c>
      <c r="D240" s="675"/>
      <c r="E240" s="24">
        <f t="shared" si="37"/>
        <v>1</v>
      </c>
      <c r="F240" s="675"/>
      <c r="G240" s="24">
        <f t="shared" si="38"/>
        <v>1</v>
      </c>
      <c r="H240" s="675"/>
      <c r="I240" s="24">
        <f t="shared" si="39"/>
        <v>1</v>
      </c>
      <c r="J240" s="675"/>
      <c r="K240" s="24">
        <f t="shared" si="40"/>
        <v>1</v>
      </c>
      <c r="L240" s="675"/>
      <c r="M240" s="24">
        <f t="shared" si="41"/>
        <v>1</v>
      </c>
      <c r="N240" s="675"/>
      <c r="O240" s="24">
        <f t="shared" si="42"/>
        <v>1</v>
      </c>
      <c r="P240" s="675"/>
      <c r="Q240" s="24">
        <f t="shared" si="43"/>
        <v>0</v>
      </c>
      <c r="R240" s="671">
        <f t="shared" si="44"/>
        <v>0</v>
      </c>
      <c r="S240" s="322">
        <f t="shared" si="35"/>
        <v>0</v>
      </c>
    </row>
    <row r="241" spans="1:19">
      <c r="A241" s="155"/>
      <c r="B241" s="57"/>
      <c r="C241" s="24">
        <f t="shared" si="36"/>
        <v>1</v>
      </c>
      <c r="D241" s="675"/>
      <c r="E241" s="24">
        <f t="shared" si="37"/>
        <v>1</v>
      </c>
      <c r="F241" s="675"/>
      <c r="G241" s="24">
        <f t="shared" si="38"/>
        <v>1</v>
      </c>
      <c r="H241" s="675"/>
      <c r="I241" s="24">
        <f t="shared" si="39"/>
        <v>1</v>
      </c>
      <c r="J241" s="675"/>
      <c r="K241" s="24">
        <f t="shared" si="40"/>
        <v>1</v>
      </c>
      <c r="L241" s="675"/>
      <c r="M241" s="24">
        <f t="shared" si="41"/>
        <v>1</v>
      </c>
      <c r="N241" s="675"/>
      <c r="O241" s="24">
        <f t="shared" si="42"/>
        <v>1</v>
      </c>
      <c r="P241" s="675"/>
      <c r="Q241" s="24">
        <f t="shared" si="43"/>
        <v>0</v>
      </c>
      <c r="R241" s="671">
        <f t="shared" si="44"/>
        <v>0</v>
      </c>
      <c r="S241" s="322">
        <f t="shared" si="35"/>
        <v>0</v>
      </c>
    </row>
    <row r="242" spans="1:19">
      <c r="A242" s="155"/>
      <c r="B242" s="57"/>
      <c r="C242" s="24">
        <f t="shared" si="36"/>
        <v>1</v>
      </c>
      <c r="D242" s="675"/>
      <c r="E242" s="24">
        <f t="shared" si="37"/>
        <v>1</v>
      </c>
      <c r="F242" s="675"/>
      <c r="G242" s="24">
        <f t="shared" si="38"/>
        <v>1</v>
      </c>
      <c r="H242" s="675"/>
      <c r="I242" s="24">
        <f t="shared" si="39"/>
        <v>1</v>
      </c>
      <c r="J242" s="675"/>
      <c r="K242" s="24">
        <f t="shared" si="40"/>
        <v>1</v>
      </c>
      <c r="L242" s="675"/>
      <c r="M242" s="24">
        <f t="shared" si="41"/>
        <v>1</v>
      </c>
      <c r="N242" s="675"/>
      <c r="O242" s="24">
        <f t="shared" si="42"/>
        <v>1</v>
      </c>
      <c r="P242" s="675"/>
      <c r="Q242" s="24">
        <f t="shared" si="43"/>
        <v>0</v>
      </c>
      <c r="R242" s="671">
        <f t="shared" si="44"/>
        <v>0</v>
      </c>
      <c r="S242" s="322">
        <f t="shared" si="35"/>
        <v>0</v>
      </c>
    </row>
    <row r="243" spans="1:19">
      <c r="A243" s="155"/>
      <c r="B243" s="57"/>
      <c r="C243" s="24">
        <f t="shared" si="36"/>
        <v>1</v>
      </c>
      <c r="D243" s="675"/>
      <c r="E243" s="24">
        <f t="shared" si="37"/>
        <v>1</v>
      </c>
      <c r="F243" s="675"/>
      <c r="G243" s="24">
        <f t="shared" si="38"/>
        <v>1</v>
      </c>
      <c r="H243" s="675"/>
      <c r="I243" s="24">
        <f t="shared" si="39"/>
        <v>1</v>
      </c>
      <c r="J243" s="675"/>
      <c r="K243" s="24">
        <f t="shared" si="40"/>
        <v>1</v>
      </c>
      <c r="L243" s="675"/>
      <c r="M243" s="24">
        <f t="shared" si="41"/>
        <v>1</v>
      </c>
      <c r="N243" s="675"/>
      <c r="O243" s="24">
        <f t="shared" si="42"/>
        <v>1</v>
      </c>
      <c r="P243" s="675"/>
      <c r="Q243" s="24">
        <f t="shared" si="43"/>
        <v>0</v>
      </c>
      <c r="R243" s="671">
        <f t="shared" si="44"/>
        <v>0</v>
      </c>
      <c r="S243" s="322">
        <f t="shared" si="35"/>
        <v>0</v>
      </c>
    </row>
    <row r="244" spans="1:19">
      <c r="A244" s="155"/>
      <c r="B244" s="57"/>
      <c r="C244" s="24">
        <f t="shared" si="36"/>
        <v>1</v>
      </c>
      <c r="D244" s="675"/>
      <c r="E244" s="24">
        <f t="shared" si="37"/>
        <v>1</v>
      </c>
      <c r="F244" s="675"/>
      <c r="G244" s="24">
        <f t="shared" si="38"/>
        <v>1</v>
      </c>
      <c r="H244" s="675"/>
      <c r="I244" s="24">
        <f t="shared" si="39"/>
        <v>1</v>
      </c>
      <c r="J244" s="675"/>
      <c r="K244" s="24">
        <f t="shared" si="40"/>
        <v>1</v>
      </c>
      <c r="L244" s="675"/>
      <c r="M244" s="24">
        <f t="shared" si="41"/>
        <v>1</v>
      </c>
      <c r="N244" s="675"/>
      <c r="O244" s="24">
        <f t="shared" si="42"/>
        <v>1</v>
      </c>
      <c r="P244" s="675"/>
      <c r="Q244" s="24">
        <f t="shared" si="43"/>
        <v>0</v>
      </c>
      <c r="R244" s="671">
        <f t="shared" si="44"/>
        <v>0</v>
      </c>
      <c r="S244" s="322">
        <f t="shared" si="35"/>
        <v>0</v>
      </c>
    </row>
    <row r="245" spans="1:19">
      <c r="A245" s="155"/>
      <c r="B245" s="57"/>
      <c r="C245" s="24">
        <f t="shared" si="36"/>
        <v>1</v>
      </c>
      <c r="D245" s="675"/>
      <c r="E245" s="24">
        <f t="shared" si="37"/>
        <v>1</v>
      </c>
      <c r="F245" s="675"/>
      <c r="G245" s="24">
        <f t="shared" si="38"/>
        <v>1</v>
      </c>
      <c r="H245" s="675"/>
      <c r="I245" s="24">
        <f t="shared" si="39"/>
        <v>1</v>
      </c>
      <c r="J245" s="675"/>
      <c r="K245" s="24">
        <f t="shared" si="40"/>
        <v>1</v>
      </c>
      <c r="L245" s="675"/>
      <c r="M245" s="24">
        <f t="shared" si="41"/>
        <v>1</v>
      </c>
      <c r="N245" s="675"/>
      <c r="O245" s="24">
        <f t="shared" si="42"/>
        <v>1</v>
      </c>
      <c r="P245" s="675"/>
      <c r="Q245" s="24">
        <f t="shared" si="43"/>
        <v>0</v>
      </c>
      <c r="R245" s="671">
        <f t="shared" si="44"/>
        <v>0</v>
      </c>
      <c r="S245" s="322">
        <f t="shared" si="35"/>
        <v>0</v>
      </c>
    </row>
    <row r="246" spans="1:19">
      <c r="A246" s="155"/>
      <c r="B246" s="57"/>
      <c r="C246" s="24">
        <f t="shared" si="36"/>
        <v>1</v>
      </c>
      <c r="D246" s="675"/>
      <c r="E246" s="24">
        <f t="shared" si="37"/>
        <v>1</v>
      </c>
      <c r="F246" s="675"/>
      <c r="G246" s="24">
        <f t="shared" si="38"/>
        <v>1</v>
      </c>
      <c r="H246" s="675"/>
      <c r="I246" s="24">
        <f t="shared" si="39"/>
        <v>1</v>
      </c>
      <c r="J246" s="675"/>
      <c r="K246" s="24">
        <f t="shared" si="40"/>
        <v>1</v>
      </c>
      <c r="L246" s="675"/>
      <c r="M246" s="24">
        <f t="shared" si="41"/>
        <v>1</v>
      </c>
      <c r="N246" s="675"/>
      <c r="O246" s="24">
        <f t="shared" si="42"/>
        <v>1</v>
      </c>
      <c r="P246" s="675"/>
      <c r="Q246" s="24">
        <f t="shared" si="43"/>
        <v>0</v>
      </c>
      <c r="R246" s="671">
        <f t="shared" si="44"/>
        <v>0</v>
      </c>
      <c r="S246" s="322">
        <f t="shared" si="35"/>
        <v>0</v>
      </c>
    </row>
    <row r="247" spans="1:19">
      <c r="A247" s="155"/>
      <c r="B247" s="57"/>
      <c r="C247" s="24">
        <f t="shared" si="36"/>
        <v>1</v>
      </c>
      <c r="D247" s="675"/>
      <c r="E247" s="24">
        <f t="shared" si="37"/>
        <v>1</v>
      </c>
      <c r="F247" s="675"/>
      <c r="G247" s="24">
        <f t="shared" si="38"/>
        <v>1</v>
      </c>
      <c r="H247" s="675"/>
      <c r="I247" s="24">
        <f t="shared" si="39"/>
        <v>1</v>
      </c>
      <c r="J247" s="675"/>
      <c r="K247" s="24">
        <f t="shared" si="40"/>
        <v>1</v>
      </c>
      <c r="L247" s="675"/>
      <c r="M247" s="24">
        <f t="shared" si="41"/>
        <v>1</v>
      </c>
      <c r="N247" s="675"/>
      <c r="O247" s="24">
        <f t="shared" si="42"/>
        <v>1</v>
      </c>
      <c r="P247" s="675"/>
      <c r="Q247" s="24">
        <f t="shared" si="43"/>
        <v>0</v>
      </c>
      <c r="R247" s="671">
        <f t="shared" si="44"/>
        <v>0</v>
      </c>
      <c r="S247" s="322">
        <f t="shared" si="35"/>
        <v>0</v>
      </c>
    </row>
    <row r="248" spans="1:19">
      <c r="A248" s="155"/>
      <c r="B248" s="57"/>
      <c r="C248" s="24">
        <f t="shared" si="36"/>
        <v>1</v>
      </c>
      <c r="D248" s="675"/>
      <c r="E248" s="24">
        <f t="shared" si="37"/>
        <v>1</v>
      </c>
      <c r="F248" s="675"/>
      <c r="G248" s="24">
        <f t="shared" si="38"/>
        <v>1</v>
      </c>
      <c r="H248" s="675"/>
      <c r="I248" s="24">
        <f t="shared" si="39"/>
        <v>1</v>
      </c>
      <c r="J248" s="675"/>
      <c r="K248" s="24">
        <f t="shared" si="40"/>
        <v>1</v>
      </c>
      <c r="L248" s="675"/>
      <c r="M248" s="24">
        <f t="shared" si="41"/>
        <v>1</v>
      </c>
      <c r="N248" s="675"/>
      <c r="O248" s="24">
        <f t="shared" si="42"/>
        <v>1</v>
      </c>
      <c r="P248" s="675"/>
      <c r="Q248" s="24">
        <f t="shared" si="43"/>
        <v>0</v>
      </c>
      <c r="R248" s="671">
        <f t="shared" si="44"/>
        <v>0</v>
      </c>
      <c r="S248" s="322">
        <f t="shared" si="35"/>
        <v>0</v>
      </c>
    </row>
    <row r="249" spans="1:19">
      <c r="A249" s="155"/>
      <c r="B249" s="57"/>
      <c r="C249" s="24">
        <f t="shared" si="36"/>
        <v>1</v>
      </c>
      <c r="D249" s="675"/>
      <c r="E249" s="24">
        <f t="shared" si="37"/>
        <v>1</v>
      </c>
      <c r="F249" s="675"/>
      <c r="G249" s="24">
        <f t="shared" si="38"/>
        <v>1</v>
      </c>
      <c r="H249" s="675"/>
      <c r="I249" s="24">
        <f t="shared" si="39"/>
        <v>1</v>
      </c>
      <c r="J249" s="675"/>
      <c r="K249" s="24">
        <f t="shared" si="40"/>
        <v>1</v>
      </c>
      <c r="L249" s="675"/>
      <c r="M249" s="24">
        <f t="shared" si="41"/>
        <v>1</v>
      </c>
      <c r="N249" s="675"/>
      <c r="O249" s="24">
        <f t="shared" si="42"/>
        <v>1</v>
      </c>
      <c r="P249" s="675"/>
      <c r="Q249" s="24">
        <f t="shared" si="43"/>
        <v>0</v>
      </c>
      <c r="R249" s="671">
        <f t="shared" si="44"/>
        <v>0</v>
      </c>
      <c r="S249" s="322">
        <f t="shared" si="35"/>
        <v>0</v>
      </c>
    </row>
    <row r="250" spans="1:19">
      <c r="A250" s="155"/>
      <c r="B250" s="57"/>
      <c r="C250" s="24">
        <f t="shared" si="36"/>
        <v>1</v>
      </c>
      <c r="D250" s="675"/>
      <c r="E250" s="24">
        <f t="shared" si="37"/>
        <v>1</v>
      </c>
      <c r="F250" s="675"/>
      <c r="G250" s="24">
        <f t="shared" si="38"/>
        <v>1</v>
      </c>
      <c r="H250" s="675"/>
      <c r="I250" s="24">
        <f t="shared" si="39"/>
        <v>1</v>
      </c>
      <c r="J250" s="675"/>
      <c r="K250" s="24">
        <f t="shared" si="40"/>
        <v>1</v>
      </c>
      <c r="L250" s="675"/>
      <c r="M250" s="24">
        <f t="shared" si="41"/>
        <v>1</v>
      </c>
      <c r="N250" s="675"/>
      <c r="O250" s="24">
        <f t="shared" si="42"/>
        <v>1</v>
      </c>
      <c r="P250" s="675"/>
      <c r="Q250" s="24">
        <f t="shared" si="43"/>
        <v>0</v>
      </c>
      <c r="R250" s="671">
        <f t="shared" si="44"/>
        <v>0</v>
      </c>
      <c r="S250" s="322">
        <f t="shared" si="35"/>
        <v>0</v>
      </c>
    </row>
    <row r="251" spans="1:19">
      <c r="A251" s="155"/>
      <c r="B251" s="57"/>
      <c r="C251" s="24">
        <f t="shared" si="36"/>
        <v>1</v>
      </c>
      <c r="D251" s="675"/>
      <c r="E251" s="24">
        <f t="shared" si="37"/>
        <v>1</v>
      </c>
      <c r="F251" s="675"/>
      <c r="G251" s="24">
        <f t="shared" si="38"/>
        <v>1</v>
      </c>
      <c r="H251" s="675"/>
      <c r="I251" s="24">
        <f t="shared" si="39"/>
        <v>1</v>
      </c>
      <c r="J251" s="675"/>
      <c r="K251" s="24">
        <f t="shared" si="40"/>
        <v>1</v>
      </c>
      <c r="L251" s="675"/>
      <c r="M251" s="24">
        <f t="shared" si="41"/>
        <v>1</v>
      </c>
      <c r="N251" s="675"/>
      <c r="O251" s="24">
        <f t="shared" si="42"/>
        <v>1</v>
      </c>
      <c r="P251" s="675"/>
      <c r="Q251" s="24">
        <f t="shared" si="43"/>
        <v>0</v>
      </c>
      <c r="R251" s="671">
        <f t="shared" si="44"/>
        <v>0</v>
      </c>
      <c r="S251" s="322">
        <f t="shared" si="35"/>
        <v>0</v>
      </c>
    </row>
    <row r="252" spans="1:19">
      <c r="A252" s="155"/>
      <c r="B252" s="57"/>
      <c r="C252" s="24">
        <f t="shared" si="36"/>
        <v>1</v>
      </c>
      <c r="D252" s="675"/>
      <c r="E252" s="24">
        <f t="shared" si="37"/>
        <v>1</v>
      </c>
      <c r="F252" s="675"/>
      <c r="G252" s="24">
        <f t="shared" si="38"/>
        <v>1</v>
      </c>
      <c r="H252" s="675"/>
      <c r="I252" s="24">
        <f t="shared" si="39"/>
        <v>1</v>
      </c>
      <c r="J252" s="675"/>
      <c r="K252" s="24">
        <f t="shared" si="40"/>
        <v>1</v>
      </c>
      <c r="L252" s="675"/>
      <c r="M252" s="24">
        <f t="shared" si="41"/>
        <v>1</v>
      </c>
      <c r="N252" s="675"/>
      <c r="O252" s="24">
        <f t="shared" si="42"/>
        <v>1</v>
      </c>
      <c r="P252" s="675"/>
      <c r="Q252" s="24">
        <f t="shared" si="43"/>
        <v>0</v>
      </c>
      <c r="R252" s="671">
        <f t="shared" si="44"/>
        <v>0</v>
      </c>
      <c r="S252" s="322">
        <f t="shared" si="35"/>
        <v>0</v>
      </c>
    </row>
    <row r="253" spans="1:19">
      <c r="A253" s="155"/>
      <c r="B253" s="57"/>
      <c r="C253" s="24">
        <f t="shared" si="36"/>
        <v>1</v>
      </c>
      <c r="D253" s="675"/>
      <c r="E253" s="24">
        <f t="shared" si="37"/>
        <v>1</v>
      </c>
      <c r="F253" s="675"/>
      <c r="G253" s="24">
        <f t="shared" si="38"/>
        <v>1</v>
      </c>
      <c r="H253" s="675"/>
      <c r="I253" s="24">
        <f t="shared" si="39"/>
        <v>1</v>
      </c>
      <c r="J253" s="675"/>
      <c r="K253" s="24">
        <f t="shared" si="40"/>
        <v>1</v>
      </c>
      <c r="L253" s="675"/>
      <c r="M253" s="24">
        <f t="shared" si="41"/>
        <v>1</v>
      </c>
      <c r="N253" s="675"/>
      <c r="O253" s="24">
        <f t="shared" si="42"/>
        <v>1</v>
      </c>
      <c r="P253" s="675"/>
      <c r="Q253" s="24">
        <f t="shared" si="43"/>
        <v>0</v>
      </c>
      <c r="R253" s="671">
        <f t="shared" si="44"/>
        <v>0</v>
      </c>
      <c r="S253" s="322">
        <f t="shared" si="35"/>
        <v>0</v>
      </c>
    </row>
    <row r="254" spans="1:19">
      <c r="A254" s="155"/>
      <c r="B254" s="57"/>
      <c r="C254" s="24">
        <f t="shared" si="36"/>
        <v>1</v>
      </c>
      <c r="D254" s="675"/>
      <c r="E254" s="24">
        <f t="shared" si="37"/>
        <v>1</v>
      </c>
      <c r="F254" s="675"/>
      <c r="G254" s="24">
        <f t="shared" si="38"/>
        <v>1</v>
      </c>
      <c r="H254" s="675"/>
      <c r="I254" s="24">
        <f t="shared" si="39"/>
        <v>1</v>
      </c>
      <c r="J254" s="675"/>
      <c r="K254" s="24">
        <f t="shared" si="40"/>
        <v>1</v>
      </c>
      <c r="L254" s="675"/>
      <c r="M254" s="24">
        <f t="shared" si="41"/>
        <v>1</v>
      </c>
      <c r="N254" s="675"/>
      <c r="O254" s="24">
        <f t="shared" si="42"/>
        <v>1</v>
      </c>
      <c r="P254" s="675"/>
      <c r="Q254" s="24">
        <f t="shared" si="43"/>
        <v>0</v>
      </c>
      <c r="R254" s="671">
        <f t="shared" si="44"/>
        <v>0</v>
      </c>
      <c r="S254" s="322">
        <f t="shared" si="35"/>
        <v>0</v>
      </c>
    </row>
    <row r="255" spans="1:19">
      <c r="A255" s="155"/>
      <c r="B255" s="57"/>
      <c r="C255" s="24">
        <f t="shared" si="36"/>
        <v>1</v>
      </c>
      <c r="D255" s="675"/>
      <c r="E255" s="24">
        <f t="shared" si="37"/>
        <v>1</v>
      </c>
      <c r="F255" s="675"/>
      <c r="G255" s="24">
        <f t="shared" si="38"/>
        <v>1</v>
      </c>
      <c r="H255" s="675"/>
      <c r="I255" s="24">
        <f t="shared" si="39"/>
        <v>1</v>
      </c>
      <c r="J255" s="675"/>
      <c r="K255" s="24">
        <f t="shared" si="40"/>
        <v>1</v>
      </c>
      <c r="L255" s="675"/>
      <c r="M255" s="24">
        <f t="shared" si="41"/>
        <v>1</v>
      </c>
      <c r="N255" s="675"/>
      <c r="O255" s="24">
        <f t="shared" si="42"/>
        <v>1</v>
      </c>
      <c r="P255" s="675"/>
      <c r="Q255" s="24">
        <f t="shared" si="43"/>
        <v>0</v>
      </c>
      <c r="R255" s="671">
        <f t="shared" si="44"/>
        <v>0</v>
      </c>
      <c r="S255" s="322">
        <f t="shared" si="35"/>
        <v>0</v>
      </c>
    </row>
    <row r="256" spans="1:19">
      <c r="A256" s="155"/>
      <c r="B256" s="57"/>
      <c r="C256" s="24">
        <f t="shared" si="36"/>
        <v>1</v>
      </c>
      <c r="D256" s="675"/>
      <c r="E256" s="24">
        <f t="shared" si="37"/>
        <v>1</v>
      </c>
      <c r="F256" s="675"/>
      <c r="G256" s="24">
        <f t="shared" si="38"/>
        <v>1</v>
      </c>
      <c r="H256" s="675"/>
      <c r="I256" s="24">
        <f t="shared" si="39"/>
        <v>1</v>
      </c>
      <c r="J256" s="675"/>
      <c r="K256" s="24">
        <f t="shared" si="40"/>
        <v>1</v>
      </c>
      <c r="L256" s="675"/>
      <c r="M256" s="24">
        <f t="shared" si="41"/>
        <v>1</v>
      </c>
      <c r="N256" s="675"/>
      <c r="O256" s="24">
        <f t="shared" si="42"/>
        <v>1</v>
      </c>
      <c r="P256" s="675"/>
      <c r="Q256" s="24">
        <f t="shared" si="43"/>
        <v>0</v>
      </c>
      <c r="R256" s="671">
        <f t="shared" si="44"/>
        <v>0</v>
      </c>
      <c r="S256" s="322">
        <f t="shared" si="35"/>
        <v>0</v>
      </c>
    </row>
    <row r="257" spans="1:19">
      <c r="A257" s="155"/>
      <c r="B257" s="57"/>
      <c r="C257" s="24">
        <f t="shared" si="36"/>
        <v>1</v>
      </c>
      <c r="D257" s="675"/>
      <c r="E257" s="24">
        <f t="shared" si="37"/>
        <v>1</v>
      </c>
      <c r="F257" s="675"/>
      <c r="G257" s="24">
        <f t="shared" si="38"/>
        <v>1</v>
      </c>
      <c r="H257" s="675"/>
      <c r="I257" s="24">
        <f t="shared" si="39"/>
        <v>1</v>
      </c>
      <c r="J257" s="675"/>
      <c r="K257" s="24">
        <f t="shared" si="40"/>
        <v>1</v>
      </c>
      <c r="L257" s="675"/>
      <c r="M257" s="24">
        <f t="shared" si="41"/>
        <v>1</v>
      </c>
      <c r="N257" s="675"/>
      <c r="O257" s="24">
        <f t="shared" si="42"/>
        <v>1</v>
      </c>
      <c r="P257" s="675"/>
      <c r="Q257" s="24">
        <f t="shared" si="43"/>
        <v>0</v>
      </c>
      <c r="R257" s="671">
        <f t="shared" si="44"/>
        <v>0</v>
      </c>
      <c r="S257" s="322">
        <f t="shared" si="35"/>
        <v>0</v>
      </c>
    </row>
    <row r="258" spans="1:19">
      <c r="A258" s="155"/>
      <c r="B258" s="57"/>
      <c r="C258" s="24">
        <f t="shared" si="36"/>
        <v>1</v>
      </c>
      <c r="D258" s="675"/>
      <c r="E258" s="24">
        <f t="shared" si="37"/>
        <v>1</v>
      </c>
      <c r="F258" s="675"/>
      <c r="G258" s="24">
        <f t="shared" si="38"/>
        <v>1</v>
      </c>
      <c r="H258" s="675"/>
      <c r="I258" s="24">
        <f t="shared" si="39"/>
        <v>1</v>
      </c>
      <c r="J258" s="675"/>
      <c r="K258" s="24">
        <f t="shared" si="40"/>
        <v>1</v>
      </c>
      <c r="L258" s="675"/>
      <c r="M258" s="24">
        <f t="shared" si="41"/>
        <v>1</v>
      </c>
      <c r="N258" s="675"/>
      <c r="O258" s="24">
        <f t="shared" si="42"/>
        <v>1</v>
      </c>
      <c r="P258" s="675"/>
      <c r="Q258" s="24">
        <f t="shared" si="43"/>
        <v>0</v>
      </c>
      <c r="R258" s="671">
        <f t="shared" si="44"/>
        <v>0</v>
      </c>
      <c r="S258" s="322">
        <f t="shared" si="35"/>
        <v>0</v>
      </c>
    </row>
    <row r="259" spans="1:19">
      <c r="A259" s="155"/>
      <c r="B259" s="57"/>
      <c r="C259" s="24">
        <f t="shared" si="36"/>
        <v>1</v>
      </c>
      <c r="D259" s="675"/>
      <c r="E259" s="24">
        <f t="shared" si="37"/>
        <v>1</v>
      </c>
      <c r="F259" s="675"/>
      <c r="G259" s="24">
        <f t="shared" si="38"/>
        <v>1</v>
      </c>
      <c r="H259" s="675"/>
      <c r="I259" s="24">
        <f t="shared" si="39"/>
        <v>1</v>
      </c>
      <c r="J259" s="675"/>
      <c r="K259" s="24">
        <f t="shared" si="40"/>
        <v>1</v>
      </c>
      <c r="L259" s="675"/>
      <c r="M259" s="24">
        <f t="shared" si="41"/>
        <v>1</v>
      </c>
      <c r="N259" s="675"/>
      <c r="O259" s="24">
        <f t="shared" si="42"/>
        <v>1</v>
      </c>
      <c r="P259" s="675"/>
      <c r="Q259" s="24">
        <f t="shared" si="43"/>
        <v>0</v>
      </c>
      <c r="R259" s="671">
        <f t="shared" si="44"/>
        <v>0</v>
      </c>
      <c r="S259" s="322">
        <f t="shared" si="35"/>
        <v>0</v>
      </c>
    </row>
    <row r="260" spans="1:19">
      <c r="A260" s="155"/>
      <c r="B260" s="57"/>
      <c r="C260" s="24">
        <f t="shared" si="36"/>
        <v>1</v>
      </c>
      <c r="D260" s="675"/>
      <c r="E260" s="24">
        <f t="shared" si="37"/>
        <v>1</v>
      </c>
      <c r="F260" s="675"/>
      <c r="G260" s="24">
        <f t="shared" si="38"/>
        <v>1</v>
      </c>
      <c r="H260" s="675"/>
      <c r="I260" s="24">
        <f t="shared" si="39"/>
        <v>1</v>
      </c>
      <c r="J260" s="675"/>
      <c r="K260" s="24">
        <f t="shared" si="40"/>
        <v>1</v>
      </c>
      <c r="L260" s="675"/>
      <c r="M260" s="24">
        <f t="shared" si="41"/>
        <v>1</v>
      </c>
      <c r="N260" s="675"/>
      <c r="O260" s="24">
        <f t="shared" si="42"/>
        <v>1</v>
      </c>
      <c r="P260" s="675"/>
      <c r="Q260" s="24">
        <f t="shared" si="43"/>
        <v>0</v>
      </c>
      <c r="R260" s="671">
        <f t="shared" si="44"/>
        <v>0</v>
      </c>
      <c r="S260" s="322">
        <f t="shared" si="35"/>
        <v>0</v>
      </c>
    </row>
    <row r="261" spans="1:19">
      <c r="A261" s="155"/>
      <c r="B261" s="57"/>
      <c r="C261" s="24">
        <f t="shared" si="36"/>
        <v>1</v>
      </c>
      <c r="D261" s="675"/>
      <c r="E261" s="24">
        <f t="shared" si="37"/>
        <v>1</v>
      </c>
      <c r="F261" s="675"/>
      <c r="G261" s="24">
        <f t="shared" si="38"/>
        <v>1</v>
      </c>
      <c r="H261" s="675"/>
      <c r="I261" s="24">
        <f t="shared" si="39"/>
        <v>1</v>
      </c>
      <c r="J261" s="675"/>
      <c r="K261" s="24">
        <f t="shared" si="40"/>
        <v>1</v>
      </c>
      <c r="L261" s="675"/>
      <c r="M261" s="24">
        <f t="shared" si="41"/>
        <v>1</v>
      </c>
      <c r="N261" s="675"/>
      <c r="O261" s="24">
        <f t="shared" si="42"/>
        <v>1</v>
      </c>
      <c r="P261" s="675"/>
      <c r="Q261" s="24">
        <f t="shared" si="43"/>
        <v>0</v>
      </c>
      <c r="R261" s="671">
        <f t="shared" si="44"/>
        <v>0</v>
      </c>
      <c r="S261" s="322">
        <f t="shared" si="35"/>
        <v>0</v>
      </c>
    </row>
    <row r="262" spans="1:19">
      <c r="A262" s="155"/>
      <c r="B262" s="57"/>
      <c r="C262" s="24">
        <f t="shared" si="36"/>
        <v>1</v>
      </c>
      <c r="D262" s="675"/>
      <c r="E262" s="24">
        <f t="shared" si="37"/>
        <v>1</v>
      </c>
      <c r="F262" s="675"/>
      <c r="G262" s="24">
        <f t="shared" si="38"/>
        <v>1</v>
      </c>
      <c r="H262" s="675"/>
      <c r="I262" s="24">
        <f t="shared" si="39"/>
        <v>1</v>
      </c>
      <c r="J262" s="675"/>
      <c r="K262" s="24">
        <f t="shared" si="40"/>
        <v>1</v>
      </c>
      <c r="L262" s="675"/>
      <c r="M262" s="24">
        <f t="shared" si="41"/>
        <v>1</v>
      </c>
      <c r="N262" s="675"/>
      <c r="O262" s="24">
        <f t="shared" si="42"/>
        <v>1</v>
      </c>
      <c r="P262" s="675"/>
      <c r="Q262" s="24">
        <f t="shared" si="43"/>
        <v>0</v>
      </c>
      <c r="R262" s="671">
        <f t="shared" si="44"/>
        <v>0</v>
      </c>
      <c r="S262" s="322">
        <f t="shared" si="35"/>
        <v>0</v>
      </c>
    </row>
    <row r="263" spans="1:19">
      <c r="A263" s="155"/>
      <c r="B263" s="57"/>
      <c r="C263" s="24">
        <f t="shared" si="36"/>
        <v>1</v>
      </c>
      <c r="D263" s="675"/>
      <c r="E263" s="24">
        <f t="shared" si="37"/>
        <v>1</v>
      </c>
      <c r="F263" s="675"/>
      <c r="G263" s="24">
        <f t="shared" si="38"/>
        <v>1</v>
      </c>
      <c r="H263" s="675"/>
      <c r="I263" s="24">
        <f t="shared" si="39"/>
        <v>1</v>
      </c>
      <c r="J263" s="675"/>
      <c r="K263" s="24">
        <f t="shared" si="40"/>
        <v>1</v>
      </c>
      <c r="L263" s="675"/>
      <c r="M263" s="24">
        <f t="shared" si="41"/>
        <v>1</v>
      </c>
      <c r="N263" s="675"/>
      <c r="O263" s="24">
        <f t="shared" si="42"/>
        <v>1</v>
      </c>
      <c r="P263" s="675"/>
      <c r="Q263" s="24">
        <f t="shared" si="43"/>
        <v>0</v>
      </c>
      <c r="R263" s="671">
        <f t="shared" si="44"/>
        <v>0</v>
      </c>
      <c r="S263" s="322">
        <f t="shared" si="35"/>
        <v>0</v>
      </c>
    </row>
    <row r="264" spans="1:19">
      <c r="A264" s="155"/>
      <c r="B264" s="57"/>
      <c r="C264" s="24">
        <f t="shared" si="36"/>
        <v>1</v>
      </c>
      <c r="D264" s="675"/>
      <c r="E264" s="24">
        <f t="shared" si="37"/>
        <v>1</v>
      </c>
      <c r="F264" s="675"/>
      <c r="G264" s="24">
        <f t="shared" si="38"/>
        <v>1</v>
      </c>
      <c r="H264" s="675"/>
      <c r="I264" s="24">
        <f t="shared" si="39"/>
        <v>1</v>
      </c>
      <c r="J264" s="675"/>
      <c r="K264" s="24">
        <f t="shared" si="40"/>
        <v>1</v>
      </c>
      <c r="L264" s="675"/>
      <c r="M264" s="24">
        <f t="shared" si="41"/>
        <v>1</v>
      </c>
      <c r="N264" s="675"/>
      <c r="O264" s="24">
        <f t="shared" si="42"/>
        <v>1</v>
      </c>
      <c r="P264" s="675"/>
      <c r="Q264" s="24">
        <f t="shared" si="43"/>
        <v>0</v>
      </c>
      <c r="R264" s="671">
        <f t="shared" si="44"/>
        <v>0</v>
      </c>
      <c r="S264" s="322">
        <f t="shared" si="35"/>
        <v>0</v>
      </c>
    </row>
    <row r="265" spans="1:19">
      <c r="A265" s="155"/>
      <c r="B265" s="57"/>
      <c r="C265" s="24">
        <f t="shared" si="36"/>
        <v>1</v>
      </c>
      <c r="D265" s="675"/>
      <c r="E265" s="24">
        <f t="shared" si="37"/>
        <v>1</v>
      </c>
      <c r="F265" s="675"/>
      <c r="G265" s="24">
        <f t="shared" si="38"/>
        <v>1</v>
      </c>
      <c r="H265" s="675"/>
      <c r="I265" s="24">
        <f t="shared" si="39"/>
        <v>1</v>
      </c>
      <c r="J265" s="675"/>
      <c r="K265" s="24">
        <f t="shared" si="40"/>
        <v>1</v>
      </c>
      <c r="L265" s="675"/>
      <c r="M265" s="24">
        <f t="shared" si="41"/>
        <v>1</v>
      </c>
      <c r="N265" s="675"/>
      <c r="O265" s="24">
        <f t="shared" si="42"/>
        <v>1</v>
      </c>
      <c r="P265" s="675"/>
      <c r="Q265" s="24">
        <f t="shared" si="43"/>
        <v>0</v>
      </c>
      <c r="R265" s="671">
        <f t="shared" si="44"/>
        <v>0</v>
      </c>
      <c r="S265" s="322">
        <f t="shared" si="35"/>
        <v>0</v>
      </c>
    </row>
    <row r="266" spans="1:19">
      <c r="A266" s="155"/>
      <c r="B266" s="57"/>
      <c r="C266" s="24">
        <f t="shared" si="36"/>
        <v>1</v>
      </c>
      <c r="D266" s="675"/>
      <c r="E266" s="24">
        <f t="shared" si="37"/>
        <v>1</v>
      </c>
      <c r="F266" s="675"/>
      <c r="G266" s="24">
        <f t="shared" si="38"/>
        <v>1</v>
      </c>
      <c r="H266" s="675"/>
      <c r="I266" s="24">
        <f t="shared" si="39"/>
        <v>1</v>
      </c>
      <c r="J266" s="675"/>
      <c r="K266" s="24">
        <f t="shared" si="40"/>
        <v>1</v>
      </c>
      <c r="L266" s="675"/>
      <c r="M266" s="24">
        <f t="shared" si="41"/>
        <v>1</v>
      </c>
      <c r="N266" s="675"/>
      <c r="O266" s="24">
        <f t="shared" si="42"/>
        <v>1</v>
      </c>
      <c r="P266" s="675"/>
      <c r="Q266" s="24">
        <f t="shared" si="43"/>
        <v>0</v>
      </c>
      <c r="R266" s="671">
        <f t="shared" si="44"/>
        <v>0</v>
      </c>
      <c r="S266" s="322">
        <f t="shared" si="35"/>
        <v>0</v>
      </c>
    </row>
    <row r="267" spans="1:19">
      <c r="A267" s="155"/>
      <c r="B267" s="57"/>
      <c r="C267" s="24">
        <f t="shared" si="36"/>
        <v>1</v>
      </c>
      <c r="D267" s="675"/>
      <c r="E267" s="24">
        <f t="shared" si="37"/>
        <v>1</v>
      </c>
      <c r="F267" s="675"/>
      <c r="G267" s="24">
        <f t="shared" si="38"/>
        <v>1</v>
      </c>
      <c r="H267" s="675"/>
      <c r="I267" s="24">
        <f t="shared" si="39"/>
        <v>1</v>
      </c>
      <c r="J267" s="675"/>
      <c r="K267" s="24">
        <f t="shared" si="40"/>
        <v>1</v>
      </c>
      <c r="L267" s="675"/>
      <c r="M267" s="24">
        <f t="shared" si="41"/>
        <v>1</v>
      </c>
      <c r="N267" s="675"/>
      <c r="O267" s="24">
        <f t="shared" si="42"/>
        <v>1</v>
      </c>
      <c r="P267" s="675"/>
      <c r="Q267" s="24">
        <f t="shared" si="43"/>
        <v>0</v>
      </c>
      <c r="R267" s="671">
        <f t="shared" si="44"/>
        <v>0</v>
      </c>
      <c r="S267" s="322">
        <f t="shared" si="35"/>
        <v>0</v>
      </c>
    </row>
    <row r="268" spans="1:19">
      <c r="A268" s="155"/>
      <c r="B268" s="57"/>
      <c r="C268" s="24">
        <f t="shared" si="36"/>
        <v>1</v>
      </c>
      <c r="D268" s="675"/>
      <c r="E268" s="24">
        <f t="shared" si="37"/>
        <v>1</v>
      </c>
      <c r="F268" s="675"/>
      <c r="G268" s="24">
        <f t="shared" si="38"/>
        <v>1</v>
      </c>
      <c r="H268" s="675"/>
      <c r="I268" s="24">
        <f t="shared" si="39"/>
        <v>1</v>
      </c>
      <c r="J268" s="675"/>
      <c r="K268" s="24">
        <f t="shared" si="40"/>
        <v>1</v>
      </c>
      <c r="L268" s="675"/>
      <c r="M268" s="24">
        <f t="shared" si="41"/>
        <v>1</v>
      </c>
      <c r="N268" s="675"/>
      <c r="O268" s="24">
        <f t="shared" si="42"/>
        <v>1</v>
      </c>
      <c r="P268" s="675"/>
      <c r="Q268" s="24">
        <f t="shared" si="43"/>
        <v>0</v>
      </c>
      <c r="R268" s="671">
        <f t="shared" si="44"/>
        <v>0</v>
      </c>
      <c r="S268" s="322">
        <f t="shared" si="35"/>
        <v>0</v>
      </c>
    </row>
    <row r="269" spans="1:19">
      <c r="A269" s="155"/>
      <c r="B269" s="57"/>
      <c r="C269" s="24">
        <f t="shared" si="36"/>
        <v>1</v>
      </c>
      <c r="D269" s="675"/>
      <c r="E269" s="24">
        <f t="shared" si="37"/>
        <v>1</v>
      </c>
      <c r="F269" s="675"/>
      <c r="G269" s="24">
        <f t="shared" si="38"/>
        <v>1</v>
      </c>
      <c r="H269" s="675"/>
      <c r="I269" s="24">
        <f t="shared" si="39"/>
        <v>1</v>
      </c>
      <c r="J269" s="675"/>
      <c r="K269" s="24">
        <f t="shared" si="40"/>
        <v>1</v>
      </c>
      <c r="L269" s="675"/>
      <c r="M269" s="24">
        <f t="shared" si="41"/>
        <v>1</v>
      </c>
      <c r="N269" s="675"/>
      <c r="O269" s="24">
        <f t="shared" si="42"/>
        <v>1</v>
      </c>
      <c r="P269" s="675"/>
      <c r="Q269" s="24">
        <f t="shared" si="43"/>
        <v>0</v>
      </c>
      <c r="R269" s="671">
        <f t="shared" si="44"/>
        <v>0</v>
      </c>
      <c r="S269" s="322">
        <f t="shared" si="35"/>
        <v>0</v>
      </c>
    </row>
    <row r="270" spans="1:19">
      <c r="A270" s="155"/>
      <c r="B270" s="57"/>
      <c r="C270" s="24">
        <f t="shared" si="36"/>
        <v>1</v>
      </c>
      <c r="D270" s="675"/>
      <c r="E270" s="24">
        <f t="shared" si="37"/>
        <v>1</v>
      </c>
      <c r="F270" s="675"/>
      <c r="G270" s="24">
        <f t="shared" si="38"/>
        <v>1</v>
      </c>
      <c r="H270" s="675"/>
      <c r="I270" s="24">
        <f t="shared" si="39"/>
        <v>1</v>
      </c>
      <c r="J270" s="675"/>
      <c r="K270" s="24">
        <f t="shared" si="40"/>
        <v>1</v>
      </c>
      <c r="L270" s="675"/>
      <c r="M270" s="24">
        <f t="shared" si="41"/>
        <v>1</v>
      </c>
      <c r="N270" s="675"/>
      <c r="O270" s="24">
        <f t="shared" si="42"/>
        <v>1</v>
      </c>
      <c r="P270" s="675"/>
      <c r="Q270" s="24">
        <f t="shared" si="43"/>
        <v>0</v>
      </c>
      <c r="R270" s="671">
        <f t="shared" si="44"/>
        <v>0</v>
      </c>
      <c r="S270" s="322">
        <f t="shared" si="35"/>
        <v>0</v>
      </c>
    </row>
    <row r="271" spans="1:19">
      <c r="A271" s="155"/>
      <c r="B271" s="57"/>
      <c r="C271" s="24">
        <f t="shared" si="36"/>
        <v>1</v>
      </c>
      <c r="D271" s="675"/>
      <c r="E271" s="24">
        <f t="shared" si="37"/>
        <v>1</v>
      </c>
      <c r="F271" s="675"/>
      <c r="G271" s="24">
        <f t="shared" si="38"/>
        <v>1</v>
      </c>
      <c r="H271" s="675"/>
      <c r="I271" s="24">
        <f t="shared" si="39"/>
        <v>1</v>
      </c>
      <c r="J271" s="675"/>
      <c r="K271" s="24">
        <f t="shared" si="40"/>
        <v>1</v>
      </c>
      <c r="L271" s="675"/>
      <c r="M271" s="24">
        <f t="shared" si="41"/>
        <v>1</v>
      </c>
      <c r="N271" s="675"/>
      <c r="O271" s="24">
        <f t="shared" si="42"/>
        <v>1</v>
      </c>
      <c r="P271" s="675"/>
      <c r="Q271" s="24">
        <f t="shared" si="43"/>
        <v>0</v>
      </c>
      <c r="R271" s="671">
        <f t="shared" si="44"/>
        <v>0</v>
      </c>
      <c r="S271" s="322">
        <f t="shared" si="35"/>
        <v>0</v>
      </c>
    </row>
    <row r="272" spans="1:19">
      <c r="A272" s="155"/>
      <c r="B272" s="57"/>
      <c r="C272" s="24">
        <f t="shared" si="36"/>
        <v>1</v>
      </c>
      <c r="D272" s="675"/>
      <c r="E272" s="24">
        <f t="shared" si="37"/>
        <v>1</v>
      </c>
      <c r="F272" s="675"/>
      <c r="G272" s="24">
        <f t="shared" si="38"/>
        <v>1</v>
      </c>
      <c r="H272" s="675"/>
      <c r="I272" s="24">
        <f t="shared" si="39"/>
        <v>1</v>
      </c>
      <c r="J272" s="675"/>
      <c r="K272" s="24">
        <f t="shared" si="40"/>
        <v>1</v>
      </c>
      <c r="L272" s="675"/>
      <c r="M272" s="24">
        <f t="shared" si="41"/>
        <v>1</v>
      </c>
      <c r="N272" s="675"/>
      <c r="O272" s="24">
        <f t="shared" si="42"/>
        <v>1</v>
      </c>
      <c r="P272" s="675"/>
      <c r="Q272" s="24">
        <f t="shared" si="43"/>
        <v>0</v>
      </c>
      <c r="R272" s="671">
        <f t="shared" si="44"/>
        <v>0</v>
      </c>
      <c r="S272" s="322">
        <f t="shared" si="35"/>
        <v>0</v>
      </c>
    </row>
    <row r="273" spans="1:19">
      <c r="A273" s="155"/>
      <c r="B273" s="57"/>
      <c r="C273" s="24">
        <f t="shared" si="36"/>
        <v>1</v>
      </c>
      <c r="D273" s="675"/>
      <c r="E273" s="24">
        <f t="shared" si="37"/>
        <v>1</v>
      </c>
      <c r="F273" s="675"/>
      <c r="G273" s="24">
        <f t="shared" si="38"/>
        <v>1</v>
      </c>
      <c r="H273" s="675"/>
      <c r="I273" s="24">
        <f t="shared" si="39"/>
        <v>1</v>
      </c>
      <c r="J273" s="675"/>
      <c r="K273" s="24">
        <f t="shared" si="40"/>
        <v>1</v>
      </c>
      <c r="L273" s="675"/>
      <c r="M273" s="24">
        <f t="shared" si="41"/>
        <v>1</v>
      </c>
      <c r="N273" s="675"/>
      <c r="O273" s="24">
        <f t="shared" si="42"/>
        <v>1</v>
      </c>
      <c r="P273" s="675"/>
      <c r="Q273" s="24">
        <f t="shared" si="43"/>
        <v>0</v>
      </c>
      <c r="R273" s="671">
        <f t="shared" si="44"/>
        <v>0</v>
      </c>
      <c r="S273" s="322">
        <f t="shared" si="35"/>
        <v>0</v>
      </c>
    </row>
    <row r="274" spans="1:19">
      <c r="A274" s="155"/>
      <c r="B274" s="57"/>
      <c r="C274" s="24">
        <f t="shared" si="36"/>
        <v>1</v>
      </c>
      <c r="D274" s="675"/>
      <c r="E274" s="24">
        <f t="shared" si="37"/>
        <v>1</v>
      </c>
      <c r="F274" s="675"/>
      <c r="G274" s="24">
        <f t="shared" si="38"/>
        <v>1</v>
      </c>
      <c r="H274" s="675"/>
      <c r="I274" s="24">
        <f t="shared" si="39"/>
        <v>1</v>
      </c>
      <c r="J274" s="675"/>
      <c r="K274" s="24">
        <f t="shared" si="40"/>
        <v>1</v>
      </c>
      <c r="L274" s="675"/>
      <c r="M274" s="24">
        <f t="shared" si="41"/>
        <v>1</v>
      </c>
      <c r="N274" s="675"/>
      <c r="O274" s="24">
        <f t="shared" si="42"/>
        <v>1</v>
      </c>
      <c r="P274" s="675"/>
      <c r="Q274" s="24">
        <f t="shared" si="43"/>
        <v>0</v>
      </c>
      <c r="R274" s="671">
        <f t="shared" si="44"/>
        <v>0</v>
      </c>
      <c r="S274" s="322">
        <f t="shared" si="35"/>
        <v>0</v>
      </c>
    </row>
    <row r="275" spans="1:19">
      <c r="A275" s="155"/>
      <c r="B275" s="57"/>
      <c r="C275" s="24">
        <f t="shared" si="36"/>
        <v>1</v>
      </c>
      <c r="D275" s="675"/>
      <c r="E275" s="24">
        <f t="shared" si="37"/>
        <v>1</v>
      </c>
      <c r="F275" s="675"/>
      <c r="G275" s="24">
        <f t="shared" si="38"/>
        <v>1</v>
      </c>
      <c r="H275" s="675"/>
      <c r="I275" s="24">
        <f t="shared" si="39"/>
        <v>1</v>
      </c>
      <c r="J275" s="675"/>
      <c r="K275" s="24">
        <f t="shared" si="40"/>
        <v>1</v>
      </c>
      <c r="L275" s="675"/>
      <c r="M275" s="24">
        <f t="shared" si="41"/>
        <v>1</v>
      </c>
      <c r="N275" s="675"/>
      <c r="O275" s="24">
        <f t="shared" si="42"/>
        <v>1</v>
      </c>
      <c r="P275" s="675"/>
      <c r="Q275" s="24">
        <f t="shared" si="43"/>
        <v>0</v>
      </c>
      <c r="R275" s="671">
        <f t="shared" si="44"/>
        <v>0</v>
      </c>
      <c r="S275" s="322">
        <f t="shared" si="35"/>
        <v>0</v>
      </c>
    </row>
    <row r="276" spans="1:19">
      <c r="A276" s="155"/>
      <c r="B276" s="57"/>
      <c r="C276" s="24">
        <f t="shared" si="36"/>
        <v>1</v>
      </c>
      <c r="D276" s="675"/>
      <c r="E276" s="24">
        <f t="shared" si="37"/>
        <v>1</v>
      </c>
      <c r="F276" s="675"/>
      <c r="G276" s="24">
        <f t="shared" si="38"/>
        <v>1</v>
      </c>
      <c r="H276" s="675"/>
      <c r="I276" s="24">
        <f t="shared" si="39"/>
        <v>1</v>
      </c>
      <c r="J276" s="675"/>
      <c r="K276" s="24">
        <f t="shared" si="40"/>
        <v>1</v>
      </c>
      <c r="L276" s="675"/>
      <c r="M276" s="24">
        <f t="shared" si="41"/>
        <v>1</v>
      </c>
      <c r="N276" s="675"/>
      <c r="O276" s="24">
        <f t="shared" si="42"/>
        <v>1</v>
      </c>
      <c r="P276" s="675"/>
      <c r="Q276" s="24">
        <f t="shared" si="43"/>
        <v>0</v>
      </c>
      <c r="R276" s="671">
        <f t="shared" si="44"/>
        <v>0</v>
      </c>
      <c r="S276" s="322">
        <f t="shared" si="35"/>
        <v>0</v>
      </c>
    </row>
    <row r="277" spans="1:19">
      <c r="A277" s="155"/>
      <c r="B277" s="57"/>
      <c r="C277" s="24">
        <f t="shared" si="36"/>
        <v>1</v>
      </c>
      <c r="D277" s="675"/>
      <c r="E277" s="24">
        <f t="shared" si="37"/>
        <v>1</v>
      </c>
      <c r="F277" s="675"/>
      <c r="G277" s="24">
        <f t="shared" si="38"/>
        <v>1</v>
      </c>
      <c r="H277" s="675"/>
      <c r="I277" s="24">
        <f t="shared" si="39"/>
        <v>1</v>
      </c>
      <c r="J277" s="675"/>
      <c r="K277" s="24">
        <f t="shared" si="40"/>
        <v>1</v>
      </c>
      <c r="L277" s="675"/>
      <c r="M277" s="24">
        <f t="shared" si="41"/>
        <v>1</v>
      </c>
      <c r="N277" s="675"/>
      <c r="O277" s="24">
        <f t="shared" si="42"/>
        <v>1</v>
      </c>
      <c r="P277" s="675"/>
      <c r="Q277" s="24">
        <f t="shared" si="43"/>
        <v>0</v>
      </c>
      <c r="R277" s="671">
        <f t="shared" si="44"/>
        <v>0</v>
      </c>
      <c r="S277" s="322">
        <f t="shared" si="35"/>
        <v>0</v>
      </c>
    </row>
    <row r="278" spans="1:19">
      <c r="A278" s="155"/>
      <c r="B278" s="57"/>
      <c r="C278" s="24">
        <f t="shared" si="36"/>
        <v>1</v>
      </c>
      <c r="D278" s="675"/>
      <c r="E278" s="24">
        <f t="shared" si="37"/>
        <v>1</v>
      </c>
      <c r="F278" s="675"/>
      <c r="G278" s="24">
        <f t="shared" si="38"/>
        <v>1</v>
      </c>
      <c r="H278" s="675"/>
      <c r="I278" s="24">
        <f t="shared" si="39"/>
        <v>1</v>
      </c>
      <c r="J278" s="675"/>
      <c r="K278" s="24">
        <f t="shared" si="40"/>
        <v>1</v>
      </c>
      <c r="L278" s="675"/>
      <c r="M278" s="24">
        <f t="shared" si="41"/>
        <v>1</v>
      </c>
      <c r="N278" s="675"/>
      <c r="O278" s="24">
        <f t="shared" si="42"/>
        <v>1</v>
      </c>
      <c r="P278" s="675"/>
      <c r="Q278" s="24">
        <f t="shared" si="43"/>
        <v>0</v>
      </c>
      <c r="R278" s="671">
        <f t="shared" si="44"/>
        <v>0</v>
      </c>
      <c r="S278" s="322">
        <f t="shared" si="35"/>
        <v>0</v>
      </c>
    </row>
    <row r="279" spans="1:19">
      <c r="A279" s="155"/>
      <c r="B279" s="57"/>
      <c r="C279" s="24">
        <f t="shared" si="36"/>
        <v>1</v>
      </c>
      <c r="D279" s="675"/>
      <c r="E279" s="24">
        <f t="shared" si="37"/>
        <v>1</v>
      </c>
      <c r="F279" s="675"/>
      <c r="G279" s="24">
        <f t="shared" si="38"/>
        <v>1</v>
      </c>
      <c r="H279" s="675"/>
      <c r="I279" s="24">
        <f t="shared" si="39"/>
        <v>1</v>
      </c>
      <c r="J279" s="675"/>
      <c r="K279" s="24">
        <f t="shared" si="40"/>
        <v>1</v>
      </c>
      <c r="L279" s="675"/>
      <c r="M279" s="24">
        <f t="shared" si="41"/>
        <v>1</v>
      </c>
      <c r="N279" s="675"/>
      <c r="O279" s="24">
        <f t="shared" si="42"/>
        <v>1</v>
      </c>
      <c r="P279" s="675"/>
      <c r="Q279" s="24">
        <f t="shared" si="43"/>
        <v>0</v>
      </c>
      <c r="R279" s="671">
        <f t="shared" si="44"/>
        <v>0</v>
      </c>
      <c r="S279" s="322">
        <f t="shared" si="35"/>
        <v>0</v>
      </c>
    </row>
    <row r="280" spans="1:19">
      <c r="A280" s="155"/>
      <c r="B280" s="57"/>
      <c r="C280" s="24">
        <f t="shared" si="36"/>
        <v>1</v>
      </c>
      <c r="D280" s="675"/>
      <c r="E280" s="24">
        <f t="shared" si="37"/>
        <v>1</v>
      </c>
      <c r="F280" s="675"/>
      <c r="G280" s="24">
        <f t="shared" si="38"/>
        <v>1</v>
      </c>
      <c r="H280" s="675"/>
      <c r="I280" s="24">
        <f t="shared" si="39"/>
        <v>1</v>
      </c>
      <c r="J280" s="675"/>
      <c r="K280" s="24">
        <f t="shared" si="40"/>
        <v>1</v>
      </c>
      <c r="L280" s="675"/>
      <c r="M280" s="24">
        <f t="shared" si="41"/>
        <v>1</v>
      </c>
      <c r="N280" s="675"/>
      <c r="O280" s="24">
        <f t="shared" si="42"/>
        <v>1</v>
      </c>
      <c r="P280" s="675"/>
      <c r="Q280" s="24">
        <f t="shared" si="43"/>
        <v>0</v>
      </c>
      <c r="R280" s="671">
        <f t="shared" si="44"/>
        <v>0</v>
      </c>
      <c r="S280" s="322">
        <f t="shared" ref="S280:S343" si="45">ROUND(R280*B280/10000,0)</f>
        <v>0</v>
      </c>
    </row>
    <row r="281" spans="1:19">
      <c r="A281" s="155"/>
      <c r="B281" s="57"/>
      <c r="C281" s="24">
        <f t="shared" si="36"/>
        <v>1</v>
      </c>
      <c r="D281" s="675"/>
      <c r="E281" s="24">
        <f t="shared" si="37"/>
        <v>1</v>
      </c>
      <c r="F281" s="675"/>
      <c r="G281" s="24">
        <f t="shared" si="38"/>
        <v>1</v>
      </c>
      <c r="H281" s="675"/>
      <c r="I281" s="24">
        <f t="shared" si="39"/>
        <v>1</v>
      </c>
      <c r="J281" s="675"/>
      <c r="K281" s="24">
        <f t="shared" si="40"/>
        <v>1</v>
      </c>
      <c r="L281" s="675"/>
      <c r="M281" s="24">
        <f t="shared" si="41"/>
        <v>1</v>
      </c>
      <c r="N281" s="675"/>
      <c r="O281" s="24">
        <f t="shared" si="42"/>
        <v>1</v>
      </c>
      <c r="P281" s="675"/>
      <c r="Q281" s="24">
        <f t="shared" si="43"/>
        <v>0</v>
      </c>
      <c r="R281" s="671">
        <f t="shared" si="44"/>
        <v>0</v>
      </c>
      <c r="S281" s="322">
        <f t="shared" si="45"/>
        <v>0</v>
      </c>
    </row>
    <row r="282" spans="1:19">
      <c r="A282" s="155"/>
      <c r="B282" s="57"/>
      <c r="C282" s="24">
        <f t="shared" ref="C282:C345" si="46">IF(B282="",1,(LOOKUP(B282,$3:$3,$4:$4)-LOOKUP($B$24,$3:$3,$4:$4)+100)/100)</f>
        <v>1</v>
      </c>
      <c r="D282" s="675"/>
      <c r="E282" s="24">
        <f t="shared" ref="E282:E345" si="47">(SUMIF($5:$5,D282,$6:$6)-SUMIF($5:$5,$D$24,$6:$6)+100)/100</f>
        <v>1</v>
      </c>
      <c r="F282" s="675"/>
      <c r="G282" s="24">
        <f t="shared" ref="G282:G345" si="48">(SUMIF($7:$7,F282,$8:$8)-SUMIF($7:$7,$F$24,$8:$8)+100)/100</f>
        <v>1</v>
      </c>
      <c r="H282" s="675"/>
      <c r="I282" s="24">
        <f t="shared" ref="I282:I345" si="49">(SUMIF($9:$9,H282,$10:$10)-SUMIF($9:$9,$H$24,$10:$10)+100)/100</f>
        <v>1</v>
      </c>
      <c r="J282" s="675"/>
      <c r="K282" s="24">
        <f t="shared" ref="K282:K345" si="50">(SUMIF($11:$11,J282,$12:$12)-SUMIF($11:$11,$J$24,$12:$12)+100)/100</f>
        <v>1</v>
      </c>
      <c r="L282" s="675"/>
      <c r="M282" s="24">
        <f t="shared" ref="M282:M345" si="51">(SUMIF($13:$13,L282,$14:$14)-SUMIF($13:$13,$L$24,$14:$14)+100)/100</f>
        <v>1</v>
      </c>
      <c r="N282" s="675"/>
      <c r="O282" s="24">
        <f t="shared" ref="O282:O345" si="52">(SUMIF($15:$15,N282,$16:$16)-SUMIF($15:$15,$N$24,$16:$16)+100)/100</f>
        <v>1</v>
      </c>
      <c r="P282" s="675"/>
      <c r="Q282" s="24">
        <f t="shared" ref="Q282:Q345" si="53">(SUMIF($17:$17,P282,$18:$18)-SUMIF($17:$17,$P$24,$18:$18)+100)/100</f>
        <v>0</v>
      </c>
      <c r="R282" s="671">
        <f t="shared" ref="R282:R345" si="54">IF(B282="",0,ROUND($R$24*C282*E282*G282*I282*K282*M282*O282*Q282,0))</f>
        <v>0</v>
      </c>
      <c r="S282" s="322">
        <f t="shared" si="45"/>
        <v>0</v>
      </c>
    </row>
    <row r="283" spans="1:19">
      <c r="A283" s="155"/>
      <c r="B283" s="57"/>
      <c r="C283" s="24">
        <f t="shared" si="46"/>
        <v>1</v>
      </c>
      <c r="D283" s="675"/>
      <c r="E283" s="24">
        <f t="shared" si="47"/>
        <v>1</v>
      </c>
      <c r="F283" s="675"/>
      <c r="G283" s="24">
        <f t="shared" si="48"/>
        <v>1</v>
      </c>
      <c r="H283" s="675"/>
      <c r="I283" s="24">
        <f t="shared" si="49"/>
        <v>1</v>
      </c>
      <c r="J283" s="675"/>
      <c r="K283" s="24">
        <f t="shared" si="50"/>
        <v>1</v>
      </c>
      <c r="L283" s="675"/>
      <c r="M283" s="24">
        <f t="shared" si="51"/>
        <v>1</v>
      </c>
      <c r="N283" s="675"/>
      <c r="O283" s="24">
        <f t="shared" si="52"/>
        <v>1</v>
      </c>
      <c r="P283" s="675"/>
      <c r="Q283" s="24">
        <f t="shared" si="53"/>
        <v>0</v>
      </c>
      <c r="R283" s="671">
        <f t="shared" si="54"/>
        <v>0</v>
      </c>
      <c r="S283" s="322">
        <f t="shared" si="45"/>
        <v>0</v>
      </c>
    </row>
    <row r="284" spans="1:19">
      <c r="A284" s="155"/>
      <c r="B284" s="57"/>
      <c r="C284" s="24">
        <f t="shared" si="46"/>
        <v>1</v>
      </c>
      <c r="D284" s="675"/>
      <c r="E284" s="24">
        <f t="shared" si="47"/>
        <v>1</v>
      </c>
      <c r="F284" s="675"/>
      <c r="G284" s="24">
        <f t="shared" si="48"/>
        <v>1</v>
      </c>
      <c r="H284" s="675"/>
      <c r="I284" s="24">
        <f t="shared" si="49"/>
        <v>1</v>
      </c>
      <c r="J284" s="675"/>
      <c r="K284" s="24">
        <f t="shared" si="50"/>
        <v>1</v>
      </c>
      <c r="L284" s="675"/>
      <c r="M284" s="24">
        <f t="shared" si="51"/>
        <v>1</v>
      </c>
      <c r="N284" s="675"/>
      <c r="O284" s="24">
        <f t="shared" si="52"/>
        <v>1</v>
      </c>
      <c r="P284" s="675"/>
      <c r="Q284" s="24">
        <f t="shared" si="53"/>
        <v>0</v>
      </c>
      <c r="R284" s="671">
        <f t="shared" si="54"/>
        <v>0</v>
      </c>
      <c r="S284" s="322">
        <f t="shared" si="45"/>
        <v>0</v>
      </c>
    </row>
    <row r="285" spans="1:19">
      <c r="A285" s="155"/>
      <c r="B285" s="57"/>
      <c r="C285" s="24">
        <f t="shared" si="46"/>
        <v>1</v>
      </c>
      <c r="D285" s="675"/>
      <c r="E285" s="24">
        <f t="shared" si="47"/>
        <v>1</v>
      </c>
      <c r="F285" s="675"/>
      <c r="G285" s="24">
        <f t="shared" si="48"/>
        <v>1</v>
      </c>
      <c r="H285" s="675"/>
      <c r="I285" s="24">
        <f t="shared" si="49"/>
        <v>1</v>
      </c>
      <c r="J285" s="675"/>
      <c r="K285" s="24">
        <f t="shared" si="50"/>
        <v>1</v>
      </c>
      <c r="L285" s="675"/>
      <c r="M285" s="24">
        <f t="shared" si="51"/>
        <v>1</v>
      </c>
      <c r="N285" s="675"/>
      <c r="O285" s="24">
        <f t="shared" si="52"/>
        <v>1</v>
      </c>
      <c r="P285" s="675"/>
      <c r="Q285" s="24">
        <f t="shared" si="53"/>
        <v>0</v>
      </c>
      <c r="R285" s="671">
        <f t="shared" si="54"/>
        <v>0</v>
      </c>
      <c r="S285" s="322">
        <f t="shared" si="45"/>
        <v>0</v>
      </c>
    </row>
    <row r="286" spans="1:19">
      <c r="A286" s="155"/>
      <c r="B286" s="57"/>
      <c r="C286" s="24">
        <f t="shared" si="46"/>
        <v>1</v>
      </c>
      <c r="D286" s="675"/>
      <c r="E286" s="24">
        <f t="shared" si="47"/>
        <v>1</v>
      </c>
      <c r="F286" s="675"/>
      <c r="G286" s="24">
        <f t="shared" si="48"/>
        <v>1</v>
      </c>
      <c r="H286" s="675"/>
      <c r="I286" s="24">
        <f t="shared" si="49"/>
        <v>1</v>
      </c>
      <c r="J286" s="675"/>
      <c r="K286" s="24">
        <f t="shared" si="50"/>
        <v>1</v>
      </c>
      <c r="L286" s="675"/>
      <c r="M286" s="24">
        <f t="shared" si="51"/>
        <v>1</v>
      </c>
      <c r="N286" s="675"/>
      <c r="O286" s="24">
        <f t="shared" si="52"/>
        <v>1</v>
      </c>
      <c r="P286" s="675"/>
      <c r="Q286" s="24">
        <f t="shared" si="53"/>
        <v>0</v>
      </c>
      <c r="R286" s="671">
        <f t="shared" si="54"/>
        <v>0</v>
      </c>
      <c r="S286" s="322">
        <f t="shared" si="45"/>
        <v>0</v>
      </c>
    </row>
    <row r="287" spans="1:19">
      <c r="A287" s="155"/>
      <c r="B287" s="57"/>
      <c r="C287" s="24">
        <f t="shared" si="46"/>
        <v>1</v>
      </c>
      <c r="D287" s="675"/>
      <c r="E287" s="24">
        <f t="shared" si="47"/>
        <v>1</v>
      </c>
      <c r="F287" s="675"/>
      <c r="G287" s="24">
        <f t="shared" si="48"/>
        <v>1</v>
      </c>
      <c r="H287" s="675"/>
      <c r="I287" s="24">
        <f t="shared" si="49"/>
        <v>1</v>
      </c>
      <c r="J287" s="675"/>
      <c r="K287" s="24">
        <f t="shared" si="50"/>
        <v>1</v>
      </c>
      <c r="L287" s="675"/>
      <c r="M287" s="24">
        <f t="shared" si="51"/>
        <v>1</v>
      </c>
      <c r="N287" s="675"/>
      <c r="O287" s="24">
        <f t="shared" si="52"/>
        <v>1</v>
      </c>
      <c r="P287" s="675"/>
      <c r="Q287" s="24">
        <f t="shared" si="53"/>
        <v>0</v>
      </c>
      <c r="R287" s="671">
        <f t="shared" si="54"/>
        <v>0</v>
      </c>
      <c r="S287" s="322">
        <f t="shared" si="45"/>
        <v>0</v>
      </c>
    </row>
    <row r="288" spans="1:19">
      <c r="A288" s="155"/>
      <c r="B288" s="57"/>
      <c r="C288" s="24">
        <f t="shared" si="46"/>
        <v>1</v>
      </c>
      <c r="D288" s="675"/>
      <c r="E288" s="24">
        <f t="shared" si="47"/>
        <v>1</v>
      </c>
      <c r="F288" s="675"/>
      <c r="G288" s="24">
        <f t="shared" si="48"/>
        <v>1</v>
      </c>
      <c r="H288" s="675"/>
      <c r="I288" s="24">
        <f t="shared" si="49"/>
        <v>1</v>
      </c>
      <c r="J288" s="675"/>
      <c r="K288" s="24">
        <f t="shared" si="50"/>
        <v>1</v>
      </c>
      <c r="L288" s="675"/>
      <c r="M288" s="24">
        <f t="shared" si="51"/>
        <v>1</v>
      </c>
      <c r="N288" s="675"/>
      <c r="O288" s="24">
        <f t="shared" si="52"/>
        <v>1</v>
      </c>
      <c r="P288" s="675"/>
      <c r="Q288" s="24">
        <f t="shared" si="53"/>
        <v>0</v>
      </c>
      <c r="R288" s="671">
        <f t="shared" si="54"/>
        <v>0</v>
      </c>
      <c r="S288" s="322">
        <f t="shared" si="45"/>
        <v>0</v>
      </c>
    </row>
    <row r="289" spans="1:19">
      <c r="A289" s="155"/>
      <c r="B289" s="57"/>
      <c r="C289" s="24">
        <f t="shared" si="46"/>
        <v>1</v>
      </c>
      <c r="D289" s="675"/>
      <c r="E289" s="24">
        <f t="shared" si="47"/>
        <v>1</v>
      </c>
      <c r="F289" s="675"/>
      <c r="G289" s="24">
        <f t="shared" si="48"/>
        <v>1</v>
      </c>
      <c r="H289" s="675"/>
      <c r="I289" s="24">
        <f t="shared" si="49"/>
        <v>1</v>
      </c>
      <c r="J289" s="675"/>
      <c r="K289" s="24">
        <f t="shared" si="50"/>
        <v>1</v>
      </c>
      <c r="L289" s="675"/>
      <c r="M289" s="24">
        <f t="shared" si="51"/>
        <v>1</v>
      </c>
      <c r="N289" s="675"/>
      <c r="O289" s="24">
        <f t="shared" si="52"/>
        <v>1</v>
      </c>
      <c r="P289" s="675"/>
      <c r="Q289" s="24">
        <f t="shared" si="53"/>
        <v>0</v>
      </c>
      <c r="R289" s="671">
        <f t="shared" si="54"/>
        <v>0</v>
      </c>
      <c r="S289" s="322">
        <f t="shared" si="45"/>
        <v>0</v>
      </c>
    </row>
    <row r="290" spans="1:19">
      <c r="A290" s="155"/>
      <c r="B290" s="57"/>
      <c r="C290" s="24">
        <f t="shared" si="46"/>
        <v>1</v>
      </c>
      <c r="D290" s="675"/>
      <c r="E290" s="24">
        <f t="shared" si="47"/>
        <v>1</v>
      </c>
      <c r="F290" s="675"/>
      <c r="G290" s="24">
        <f t="shared" si="48"/>
        <v>1</v>
      </c>
      <c r="H290" s="675"/>
      <c r="I290" s="24">
        <f t="shared" si="49"/>
        <v>1</v>
      </c>
      <c r="J290" s="675"/>
      <c r="K290" s="24">
        <f t="shared" si="50"/>
        <v>1</v>
      </c>
      <c r="L290" s="675"/>
      <c r="M290" s="24">
        <f t="shared" si="51"/>
        <v>1</v>
      </c>
      <c r="N290" s="675"/>
      <c r="O290" s="24">
        <f t="shared" si="52"/>
        <v>1</v>
      </c>
      <c r="P290" s="675"/>
      <c r="Q290" s="24">
        <f t="shared" si="53"/>
        <v>0</v>
      </c>
      <c r="R290" s="671">
        <f t="shared" si="54"/>
        <v>0</v>
      </c>
      <c r="S290" s="322">
        <f t="shared" si="45"/>
        <v>0</v>
      </c>
    </row>
    <row r="291" spans="1:19">
      <c r="A291" s="155"/>
      <c r="B291" s="57"/>
      <c r="C291" s="24">
        <f t="shared" si="46"/>
        <v>1</v>
      </c>
      <c r="D291" s="675"/>
      <c r="E291" s="24">
        <f t="shared" si="47"/>
        <v>1</v>
      </c>
      <c r="F291" s="675"/>
      <c r="G291" s="24">
        <f t="shared" si="48"/>
        <v>1</v>
      </c>
      <c r="H291" s="675"/>
      <c r="I291" s="24">
        <f t="shared" si="49"/>
        <v>1</v>
      </c>
      <c r="J291" s="675"/>
      <c r="K291" s="24">
        <f t="shared" si="50"/>
        <v>1</v>
      </c>
      <c r="L291" s="675"/>
      <c r="M291" s="24">
        <f t="shared" si="51"/>
        <v>1</v>
      </c>
      <c r="N291" s="675"/>
      <c r="O291" s="24">
        <f t="shared" si="52"/>
        <v>1</v>
      </c>
      <c r="P291" s="675"/>
      <c r="Q291" s="24">
        <f t="shared" si="53"/>
        <v>0</v>
      </c>
      <c r="R291" s="671">
        <f t="shared" si="54"/>
        <v>0</v>
      </c>
      <c r="S291" s="322">
        <f t="shared" si="45"/>
        <v>0</v>
      </c>
    </row>
    <row r="292" spans="1:19">
      <c r="A292" s="155"/>
      <c r="B292" s="57"/>
      <c r="C292" s="24">
        <f t="shared" si="46"/>
        <v>1</v>
      </c>
      <c r="D292" s="675"/>
      <c r="E292" s="24">
        <f t="shared" si="47"/>
        <v>1</v>
      </c>
      <c r="F292" s="675"/>
      <c r="G292" s="24">
        <f t="shared" si="48"/>
        <v>1</v>
      </c>
      <c r="H292" s="675"/>
      <c r="I292" s="24">
        <f t="shared" si="49"/>
        <v>1</v>
      </c>
      <c r="J292" s="675"/>
      <c r="K292" s="24">
        <f t="shared" si="50"/>
        <v>1</v>
      </c>
      <c r="L292" s="675"/>
      <c r="M292" s="24">
        <f t="shared" si="51"/>
        <v>1</v>
      </c>
      <c r="N292" s="675"/>
      <c r="O292" s="24">
        <f t="shared" si="52"/>
        <v>1</v>
      </c>
      <c r="P292" s="675"/>
      <c r="Q292" s="24">
        <f t="shared" si="53"/>
        <v>0</v>
      </c>
      <c r="R292" s="671">
        <f t="shared" si="54"/>
        <v>0</v>
      </c>
      <c r="S292" s="322">
        <f t="shared" si="45"/>
        <v>0</v>
      </c>
    </row>
    <row r="293" spans="1:19">
      <c r="A293" s="155"/>
      <c r="B293" s="57"/>
      <c r="C293" s="24">
        <f t="shared" si="46"/>
        <v>1</v>
      </c>
      <c r="D293" s="675"/>
      <c r="E293" s="24">
        <f t="shared" si="47"/>
        <v>1</v>
      </c>
      <c r="F293" s="675"/>
      <c r="G293" s="24">
        <f t="shared" si="48"/>
        <v>1</v>
      </c>
      <c r="H293" s="675"/>
      <c r="I293" s="24">
        <f t="shared" si="49"/>
        <v>1</v>
      </c>
      <c r="J293" s="675"/>
      <c r="K293" s="24">
        <f t="shared" si="50"/>
        <v>1</v>
      </c>
      <c r="L293" s="675"/>
      <c r="M293" s="24">
        <f t="shared" si="51"/>
        <v>1</v>
      </c>
      <c r="N293" s="675"/>
      <c r="O293" s="24">
        <f t="shared" si="52"/>
        <v>1</v>
      </c>
      <c r="P293" s="675"/>
      <c r="Q293" s="24">
        <f t="shared" si="53"/>
        <v>0</v>
      </c>
      <c r="R293" s="671">
        <f t="shared" si="54"/>
        <v>0</v>
      </c>
      <c r="S293" s="322">
        <f t="shared" si="45"/>
        <v>0</v>
      </c>
    </row>
    <row r="294" spans="1:19">
      <c r="A294" s="155"/>
      <c r="B294" s="57"/>
      <c r="C294" s="24">
        <f t="shared" si="46"/>
        <v>1</v>
      </c>
      <c r="D294" s="675"/>
      <c r="E294" s="24">
        <f t="shared" si="47"/>
        <v>1</v>
      </c>
      <c r="F294" s="675"/>
      <c r="G294" s="24">
        <f t="shared" si="48"/>
        <v>1</v>
      </c>
      <c r="H294" s="675"/>
      <c r="I294" s="24">
        <f t="shared" si="49"/>
        <v>1</v>
      </c>
      <c r="J294" s="675"/>
      <c r="K294" s="24">
        <f t="shared" si="50"/>
        <v>1</v>
      </c>
      <c r="L294" s="675"/>
      <c r="M294" s="24">
        <f t="shared" si="51"/>
        <v>1</v>
      </c>
      <c r="N294" s="675"/>
      <c r="O294" s="24">
        <f t="shared" si="52"/>
        <v>1</v>
      </c>
      <c r="P294" s="675"/>
      <c r="Q294" s="24">
        <f t="shared" si="53"/>
        <v>0</v>
      </c>
      <c r="R294" s="671">
        <f t="shared" si="54"/>
        <v>0</v>
      </c>
      <c r="S294" s="322">
        <f t="shared" si="45"/>
        <v>0</v>
      </c>
    </row>
    <row r="295" spans="1:19">
      <c r="A295" s="155"/>
      <c r="B295" s="57"/>
      <c r="C295" s="24">
        <f t="shared" si="46"/>
        <v>1</v>
      </c>
      <c r="D295" s="675"/>
      <c r="E295" s="24">
        <f t="shared" si="47"/>
        <v>1</v>
      </c>
      <c r="F295" s="675"/>
      <c r="G295" s="24">
        <f t="shared" si="48"/>
        <v>1</v>
      </c>
      <c r="H295" s="675"/>
      <c r="I295" s="24">
        <f t="shared" si="49"/>
        <v>1</v>
      </c>
      <c r="J295" s="675"/>
      <c r="K295" s="24">
        <f t="shared" si="50"/>
        <v>1</v>
      </c>
      <c r="L295" s="675"/>
      <c r="M295" s="24">
        <f t="shared" si="51"/>
        <v>1</v>
      </c>
      <c r="N295" s="675"/>
      <c r="O295" s="24">
        <f t="shared" si="52"/>
        <v>1</v>
      </c>
      <c r="P295" s="675"/>
      <c r="Q295" s="24">
        <f t="shared" si="53"/>
        <v>0</v>
      </c>
      <c r="R295" s="671">
        <f t="shared" si="54"/>
        <v>0</v>
      </c>
      <c r="S295" s="322">
        <f t="shared" si="45"/>
        <v>0</v>
      </c>
    </row>
    <row r="296" spans="1:19">
      <c r="A296" s="155"/>
      <c r="B296" s="57"/>
      <c r="C296" s="24">
        <f t="shared" si="46"/>
        <v>1</v>
      </c>
      <c r="D296" s="675"/>
      <c r="E296" s="24">
        <f t="shared" si="47"/>
        <v>1</v>
      </c>
      <c r="F296" s="675"/>
      <c r="G296" s="24">
        <f t="shared" si="48"/>
        <v>1</v>
      </c>
      <c r="H296" s="675"/>
      <c r="I296" s="24">
        <f t="shared" si="49"/>
        <v>1</v>
      </c>
      <c r="J296" s="675"/>
      <c r="K296" s="24">
        <f t="shared" si="50"/>
        <v>1</v>
      </c>
      <c r="L296" s="675"/>
      <c r="M296" s="24">
        <f t="shared" si="51"/>
        <v>1</v>
      </c>
      <c r="N296" s="675"/>
      <c r="O296" s="24">
        <f t="shared" si="52"/>
        <v>1</v>
      </c>
      <c r="P296" s="675"/>
      <c r="Q296" s="24">
        <f t="shared" si="53"/>
        <v>0</v>
      </c>
      <c r="R296" s="671">
        <f t="shared" si="54"/>
        <v>0</v>
      </c>
      <c r="S296" s="322">
        <f t="shared" si="45"/>
        <v>0</v>
      </c>
    </row>
    <row r="297" spans="1:19">
      <c r="A297" s="155"/>
      <c r="B297" s="57"/>
      <c r="C297" s="24">
        <f t="shared" si="46"/>
        <v>1</v>
      </c>
      <c r="D297" s="675"/>
      <c r="E297" s="24">
        <f t="shared" si="47"/>
        <v>1</v>
      </c>
      <c r="F297" s="675"/>
      <c r="G297" s="24">
        <f t="shared" si="48"/>
        <v>1</v>
      </c>
      <c r="H297" s="675"/>
      <c r="I297" s="24">
        <f t="shared" si="49"/>
        <v>1</v>
      </c>
      <c r="J297" s="675"/>
      <c r="K297" s="24">
        <f t="shared" si="50"/>
        <v>1</v>
      </c>
      <c r="L297" s="675"/>
      <c r="M297" s="24">
        <f t="shared" si="51"/>
        <v>1</v>
      </c>
      <c r="N297" s="675"/>
      <c r="O297" s="24">
        <f t="shared" si="52"/>
        <v>1</v>
      </c>
      <c r="P297" s="675"/>
      <c r="Q297" s="24">
        <f t="shared" si="53"/>
        <v>0</v>
      </c>
      <c r="R297" s="671">
        <f t="shared" si="54"/>
        <v>0</v>
      </c>
      <c r="S297" s="322">
        <f t="shared" si="45"/>
        <v>0</v>
      </c>
    </row>
    <row r="298" spans="1:19">
      <c r="A298" s="155"/>
      <c r="B298" s="57"/>
      <c r="C298" s="24">
        <f t="shared" si="46"/>
        <v>1</v>
      </c>
      <c r="D298" s="675"/>
      <c r="E298" s="24">
        <f t="shared" si="47"/>
        <v>1</v>
      </c>
      <c r="F298" s="675"/>
      <c r="G298" s="24">
        <f t="shared" si="48"/>
        <v>1</v>
      </c>
      <c r="H298" s="675"/>
      <c r="I298" s="24">
        <f t="shared" si="49"/>
        <v>1</v>
      </c>
      <c r="J298" s="675"/>
      <c r="K298" s="24">
        <f t="shared" si="50"/>
        <v>1</v>
      </c>
      <c r="L298" s="675"/>
      <c r="M298" s="24">
        <f t="shared" si="51"/>
        <v>1</v>
      </c>
      <c r="N298" s="675"/>
      <c r="O298" s="24">
        <f t="shared" si="52"/>
        <v>1</v>
      </c>
      <c r="P298" s="675"/>
      <c r="Q298" s="24">
        <f t="shared" si="53"/>
        <v>0</v>
      </c>
      <c r="R298" s="671">
        <f t="shared" si="54"/>
        <v>0</v>
      </c>
      <c r="S298" s="322">
        <f t="shared" si="45"/>
        <v>0</v>
      </c>
    </row>
    <row r="299" spans="1:19">
      <c r="A299" s="155"/>
      <c r="B299" s="57"/>
      <c r="C299" s="24">
        <f t="shared" si="46"/>
        <v>1</v>
      </c>
      <c r="D299" s="675"/>
      <c r="E299" s="24">
        <f t="shared" si="47"/>
        <v>1</v>
      </c>
      <c r="F299" s="675"/>
      <c r="G299" s="24">
        <f t="shared" si="48"/>
        <v>1</v>
      </c>
      <c r="H299" s="675"/>
      <c r="I299" s="24">
        <f t="shared" si="49"/>
        <v>1</v>
      </c>
      <c r="J299" s="675"/>
      <c r="K299" s="24">
        <f t="shared" si="50"/>
        <v>1</v>
      </c>
      <c r="L299" s="675"/>
      <c r="M299" s="24">
        <f t="shared" si="51"/>
        <v>1</v>
      </c>
      <c r="N299" s="675"/>
      <c r="O299" s="24">
        <f t="shared" si="52"/>
        <v>1</v>
      </c>
      <c r="P299" s="675"/>
      <c r="Q299" s="24">
        <f t="shared" si="53"/>
        <v>0</v>
      </c>
      <c r="R299" s="671">
        <f t="shared" si="54"/>
        <v>0</v>
      </c>
      <c r="S299" s="322">
        <f t="shared" si="45"/>
        <v>0</v>
      </c>
    </row>
    <row r="300" spans="1:19">
      <c r="A300" s="155"/>
      <c r="B300" s="57"/>
      <c r="C300" s="24">
        <f t="shared" si="46"/>
        <v>1</v>
      </c>
      <c r="D300" s="675"/>
      <c r="E300" s="24">
        <f t="shared" si="47"/>
        <v>1</v>
      </c>
      <c r="F300" s="675"/>
      <c r="G300" s="24">
        <f t="shared" si="48"/>
        <v>1</v>
      </c>
      <c r="H300" s="675"/>
      <c r="I300" s="24">
        <f t="shared" si="49"/>
        <v>1</v>
      </c>
      <c r="J300" s="675"/>
      <c r="K300" s="24">
        <f t="shared" si="50"/>
        <v>1</v>
      </c>
      <c r="L300" s="675"/>
      <c r="M300" s="24">
        <f t="shared" si="51"/>
        <v>1</v>
      </c>
      <c r="N300" s="675"/>
      <c r="O300" s="24">
        <f t="shared" si="52"/>
        <v>1</v>
      </c>
      <c r="P300" s="675"/>
      <c r="Q300" s="24">
        <f t="shared" si="53"/>
        <v>0</v>
      </c>
      <c r="R300" s="671">
        <f t="shared" si="54"/>
        <v>0</v>
      </c>
      <c r="S300" s="322">
        <f t="shared" si="45"/>
        <v>0</v>
      </c>
    </row>
    <row r="301" spans="1:19">
      <c r="A301" s="155"/>
      <c r="B301" s="57"/>
      <c r="C301" s="24">
        <f t="shared" si="46"/>
        <v>1</v>
      </c>
      <c r="D301" s="675"/>
      <c r="E301" s="24">
        <f t="shared" si="47"/>
        <v>1</v>
      </c>
      <c r="F301" s="675"/>
      <c r="G301" s="24">
        <f t="shared" si="48"/>
        <v>1</v>
      </c>
      <c r="H301" s="675"/>
      <c r="I301" s="24">
        <f t="shared" si="49"/>
        <v>1</v>
      </c>
      <c r="J301" s="675"/>
      <c r="K301" s="24">
        <f t="shared" si="50"/>
        <v>1</v>
      </c>
      <c r="L301" s="675"/>
      <c r="M301" s="24">
        <f t="shared" si="51"/>
        <v>1</v>
      </c>
      <c r="N301" s="675"/>
      <c r="O301" s="24">
        <f t="shared" si="52"/>
        <v>1</v>
      </c>
      <c r="P301" s="675"/>
      <c r="Q301" s="24">
        <f t="shared" si="53"/>
        <v>0</v>
      </c>
      <c r="R301" s="671">
        <f t="shared" si="54"/>
        <v>0</v>
      </c>
      <c r="S301" s="322">
        <f t="shared" si="45"/>
        <v>0</v>
      </c>
    </row>
    <row r="302" spans="1:19">
      <c r="A302" s="155"/>
      <c r="B302" s="57"/>
      <c r="C302" s="24">
        <f t="shared" si="46"/>
        <v>1</v>
      </c>
      <c r="D302" s="675"/>
      <c r="E302" s="24">
        <f t="shared" si="47"/>
        <v>1</v>
      </c>
      <c r="F302" s="675"/>
      <c r="G302" s="24">
        <f t="shared" si="48"/>
        <v>1</v>
      </c>
      <c r="H302" s="675"/>
      <c r="I302" s="24">
        <f t="shared" si="49"/>
        <v>1</v>
      </c>
      <c r="J302" s="675"/>
      <c r="K302" s="24">
        <f t="shared" si="50"/>
        <v>1</v>
      </c>
      <c r="L302" s="675"/>
      <c r="M302" s="24">
        <f t="shared" si="51"/>
        <v>1</v>
      </c>
      <c r="N302" s="675"/>
      <c r="O302" s="24">
        <f t="shared" si="52"/>
        <v>1</v>
      </c>
      <c r="P302" s="675"/>
      <c r="Q302" s="24">
        <f t="shared" si="53"/>
        <v>0</v>
      </c>
      <c r="R302" s="671">
        <f t="shared" si="54"/>
        <v>0</v>
      </c>
      <c r="S302" s="322">
        <f t="shared" si="45"/>
        <v>0</v>
      </c>
    </row>
    <row r="303" spans="1:19">
      <c r="A303" s="155"/>
      <c r="B303" s="57"/>
      <c r="C303" s="24">
        <f t="shared" si="46"/>
        <v>1</v>
      </c>
      <c r="D303" s="675"/>
      <c r="E303" s="24">
        <f t="shared" si="47"/>
        <v>1</v>
      </c>
      <c r="F303" s="675"/>
      <c r="G303" s="24">
        <f t="shared" si="48"/>
        <v>1</v>
      </c>
      <c r="H303" s="675"/>
      <c r="I303" s="24">
        <f t="shared" si="49"/>
        <v>1</v>
      </c>
      <c r="J303" s="675"/>
      <c r="K303" s="24">
        <f t="shared" si="50"/>
        <v>1</v>
      </c>
      <c r="L303" s="675"/>
      <c r="M303" s="24">
        <f t="shared" si="51"/>
        <v>1</v>
      </c>
      <c r="N303" s="675"/>
      <c r="O303" s="24">
        <f t="shared" si="52"/>
        <v>1</v>
      </c>
      <c r="P303" s="675"/>
      <c r="Q303" s="24">
        <f t="shared" si="53"/>
        <v>0</v>
      </c>
      <c r="R303" s="671">
        <f t="shared" si="54"/>
        <v>0</v>
      </c>
      <c r="S303" s="322">
        <f t="shared" si="45"/>
        <v>0</v>
      </c>
    </row>
    <row r="304" spans="1:19">
      <c r="A304" s="155"/>
      <c r="B304" s="57"/>
      <c r="C304" s="24">
        <f t="shared" si="46"/>
        <v>1</v>
      </c>
      <c r="D304" s="675"/>
      <c r="E304" s="24">
        <f t="shared" si="47"/>
        <v>1</v>
      </c>
      <c r="F304" s="675"/>
      <c r="G304" s="24">
        <f t="shared" si="48"/>
        <v>1</v>
      </c>
      <c r="H304" s="675"/>
      <c r="I304" s="24">
        <f t="shared" si="49"/>
        <v>1</v>
      </c>
      <c r="J304" s="675"/>
      <c r="K304" s="24">
        <f t="shared" si="50"/>
        <v>1</v>
      </c>
      <c r="L304" s="675"/>
      <c r="M304" s="24">
        <f t="shared" si="51"/>
        <v>1</v>
      </c>
      <c r="N304" s="675"/>
      <c r="O304" s="24">
        <f t="shared" si="52"/>
        <v>1</v>
      </c>
      <c r="P304" s="675"/>
      <c r="Q304" s="24">
        <f t="shared" si="53"/>
        <v>0</v>
      </c>
      <c r="R304" s="671">
        <f t="shared" si="54"/>
        <v>0</v>
      </c>
      <c r="S304" s="322">
        <f t="shared" si="45"/>
        <v>0</v>
      </c>
    </row>
    <row r="305" spans="1:19">
      <c r="A305" s="155"/>
      <c r="B305" s="57"/>
      <c r="C305" s="24">
        <f t="shared" si="46"/>
        <v>1</v>
      </c>
      <c r="D305" s="675"/>
      <c r="E305" s="24">
        <f t="shared" si="47"/>
        <v>1</v>
      </c>
      <c r="F305" s="675"/>
      <c r="G305" s="24">
        <f t="shared" si="48"/>
        <v>1</v>
      </c>
      <c r="H305" s="675"/>
      <c r="I305" s="24">
        <f t="shared" si="49"/>
        <v>1</v>
      </c>
      <c r="J305" s="675"/>
      <c r="K305" s="24">
        <f t="shared" si="50"/>
        <v>1</v>
      </c>
      <c r="L305" s="675"/>
      <c r="M305" s="24">
        <f t="shared" si="51"/>
        <v>1</v>
      </c>
      <c r="N305" s="675"/>
      <c r="O305" s="24">
        <f t="shared" si="52"/>
        <v>1</v>
      </c>
      <c r="P305" s="675"/>
      <c r="Q305" s="24">
        <f t="shared" si="53"/>
        <v>0</v>
      </c>
      <c r="R305" s="671">
        <f t="shared" si="54"/>
        <v>0</v>
      </c>
      <c r="S305" s="322">
        <f t="shared" si="45"/>
        <v>0</v>
      </c>
    </row>
    <row r="306" spans="1:19">
      <c r="A306" s="155"/>
      <c r="B306" s="57"/>
      <c r="C306" s="24">
        <f t="shared" si="46"/>
        <v>1</v>
      </c>
      <c r="D306" s="675"/>
      <c r="E306" s="24">
        <f t="shared" si="47"/>
        <v>1</v>
      </c>
      <c r="F306" s="675"/>
      <c r="G306" s="24">
        <f t="shared" si="48"/>
        <v>1</v>
      </c>
      <c r="H306" s="675"/>
      <c r="I306" s="24">
        <f t="shared" si="49"/>
        <v>1</v>
      </c>
      <c r="J306" s="675"/>
      <c r="K306" s="24">
        <f t="shared" si="50"/>
        <v>1</v>
      </c>
      <c r="L306" s="675"/>
      <c r="M306" s="24">
        <f t="shared" si="51"/>
        <v>1</v>
      </c>
      <c r="N306" s="675"/>
      <c r="O306" s="24">
        <f t="shared" si="52"/>
        <v>1</v>
      </c>
      <c r="P306" s="675"/>
      <c r="Q306" s="24">
        <f t="shared" si="53"/>
        <v>0</v>
      </c>
      <c r="R306" s="671">
        <f t="shared" si="54"/>
        <v>0</v>
      </c>
      <c r="S306" s="322">
        <f t="shared" si="45"/>
        <v>0</v>
      </c>
    </row>
    <row r="307" spans="1:19">
      <c r="A307" s="155"/>
      <c r="B307" s="57"/>
      <c r="C307" s="24">
        <f t="shared" si="46"/>
        <v>1</v>
      </c>
      <c r="D307" s="675"/>
      <c r="E307" s="24">
        <f t="shared" si="47"/>
        <v>1</v>
      </c>
      <c r="F307" s="675"/>
      <c r="G307" s="24">
        <f t="shared" si="48"/>
        <v>1</v>
      </c>
      <c r="H307" s="675"/>
      <c r="I307" s="24">
        <f t="shared" si="49"/>
        <v>1</v>
      </c>
      <c r="J307" s="675"/>
      <c r="K307" s="24">
        <f t="shared" si="50"/>
        <v>1</v>
      </c>
      <c r="L307" s="675"/>
      <c r="M307" s="24">
        <f t="shared" si="51"/>
        <v>1</v>
      </c>
      <c r="N307" s="675"/>
      <c r="O307" s="24">
        <f t="shared" si="52"/>
        <v>1</v>
      </c>
      <c r="P307" s="675"/>
      <c r="Q307" s="24">
        <f t="shared" si="53"/>
        <v>0</v>
      </c>
      <c r="R307" s="671">
        <f t="shared" si="54"/>
        <v>0</v>
      </c>
      <c r="S307" s="322">
        <f t="shared" si="45"/>
        <v>0</v>
      </c>
    </row>
    <row r="308" spans="1:19">
      <c r="A308" s="155"/>
      <c r="B308" s="57"/>
      <c r="C308" s="24">
        <f t="shared" si="46"/>
        <v>1</v>
      </c>
      <c r="D308" s="675"/>
      <c r="E308" s="24">
        <f t="shared" si="47"/>
        <v>1</v>
      </c>
      <c r="F308" s="675"/>
      <c r="G308" s="24">
        <f t="shared" si="48"/>
        <v>1</v>
      </c>
      <c r="H308" s="675"/>
      <c r="I308" s="24">
        <f t="shared" si="49"/>
        <v>1</v>
      </c>
      <c r="J308" s="675"/>
      <c r="K308" s="24">
        <f t="shared" si="50"/>
        <v>1</v>
      </c>
      <c r="L308" s="675"/>
      <c r="M308" s="24">
        <f t="shared" si="51"/>
        <v>1</v>
      </c>
      <c r="N308" s="675"/>
      <c r="O308" s="24">
        <f t="shared" si="52"/>
        <v>1</v>
      </c>
      <c r="P308" s="675"/>
      <c r="Q308" s="24">
        <f t="shared" si="53"/>
        <v>0</v>
      </c>
      <c r="R308" s="671">
        <f t="shared" si="54"/>
        <v>0</v>
      </c>
      <c r="S308" s="322">
        <f t="shared" si="45"/>
        <v>0</v>
      </c>
    </row>
    <row r="309" spans="1:19">
      <c r="A309" s="155"/>
      <c r="B309" s="57"/>
      <c r="C309" s="24">
        <f t="shared" si="46"/>
        <v>1</v>
      </c>
      <c r="D309" s="675"/>
      <c r="E309" s="24">
        <f t="shared" si="47"/>
        <v>1</v>
      </c>
      <c r="F309" s="675"/>
      <c r="G309" s="24">
        <f t="shared" si="48"/>
        <v>1</v>
      </c>
      <c r="H309" s="675"/>
      <c r="I309" s="24">
        <f t="shared" si="49"/>
        <v>1</v>
      </c>
      <c r="J309" s="675"/>
      <c r="K309" s="24">
        <f t="shared" si="50"/>
        <v>1</v>
      </c>
      <c r="L309" s="675"/>
      <c r="M309" s="24">
        <f t="shared" si="51"/>
        <v>1</v>
      </c>
      <c r="N309" s="675"/>
      <c r="O309" s="24">
        <f t="shared" si="52"/>
        <v>1</v>
      </c>
      <c r="P309" s="675"/>
      <c r="Q309" s="24">
        <f t="shared" si="53"/>
        <v>0</v>
      </c>
      <c r="R309" s="671">
        <f t="shared" si="54"/>
        <v>0</v>
      </c>
      <c r="S309" s="322">
        <f t="shared" si="45"/>
        <v>0</v>
      </c>
    </row>
    <row r="310" spans="1:19">
      <c r="A310" s="155"/>
      <c r="B310" s="57"/>
      <c r="C310" s="24">
        <f t="shared" si="46"/>
        <v>1</v>
      </c>
      <c r="D310" s="675"/>
      <c r="E310" s="24">
        <f t="shared" si="47"/>
        <v>1</v>
      </c>
      <c r="F310" s="675"/>
      <c r="G310" s="24">
        <f t="shared" si="48"/>
        <v>1</v>
      </c>
      <c r="H310" s="675"/>
      <c r="I310" s="24">
        <f t="shared" si="49"/>
        <v>1</v>
      </c>
      <c r="J310" s="675"/>
      <c r="K310" s="24">
        <f t="shared" si="50"/>
        <v>1</v>
      </c>
      <c r="L310" s="675"/>
      <c r="M310" s="24">
        <f t="shared" si="51"/>
        <v>1</v>
      </c>
      <c r="N310" s="675"/>
      <c r="O310" s="24">
        <f t="shared" si="52"/>
        <v>1</v>
      </c>
      <c r="P310" s="675"/>
      <c r="Q310" s="24">
        <f t="shared" si="53"/>
        <v>0</v>
      </c>
      <c r="R310" s="671">
        <f t="shared" si="54"/>
        <v>0</v>
      </c>
      <c r="S310" s="322">
        <f t="shared" si="45"/>
        <v>0</v>
      </c>
    </row>
    <row r="311" spans="1:19">
      <c r="A311" s="155"/>
      <c r="B311" s="57"/>
      <c r="C311" s="24">
        <f t="shared" si="46"/>
        <v>1</v>
      </c>
      <c r="D311" s="675"/>
      <c r="E311" s="24">
        <f t="shared" si="47"/>
        <v>1</v>
      </c>
      <c r="F311" s="675"/>
      <c r="G311" s="24">
        <f t="shared" si="48"/>
        <v>1</v>
      </c>
      <c r="H311" s="675"/>
      <c r="I311" s="24">
        <f t="shared" si="49"/>
        <v>1</v>
      </c>
      <c r="J311" s="675"/>
      <c r="K311" s="24">
        <f t="shared" si="50"/>
        <v>1</v>
      </c>
      <c r="L311" s="675"/>
      <c r="M311" s="24">
        <f t="shared" si="51"/>
        <v>1</v>
      </c>
      <c r="N311" s="675"/>
      <c r="O311" s="24">
        <f t="shared" si="52"/>
        <v>1</v>
      </c>
      <c r="P311" s="675"/>
      <c r="Q311" s="24">
        <f t="shared" si="53"/>
        <v>0</v>
      </c>
      <c r="R311" s="671">
        <f t="shared" si="54"/>
        <v>0</v>
      </c>
      <c r="S311" s="322">
        <f t="shared" si="45"/>
        <v>0</v>
      </c>
    </row>
    <row r="312" spans="1:19">
      <c r="A312" s="155"/>
      <c r="B312" s="57"/>
      <c r="C312" s="24">
        <f t="shared" si="46"/>
        <v>1</v>
      </c>
      <c r="D312" s="675"/>
      <c r="E312" s="24">
        <f t="shared" si="47"/>
        <v>1</v>
      </c>
      <c r="F312" s="675"/>
      <c r="G312" s="24">
        <f t="shared" si="48"/>
        <v>1</v>
      </c>
      <c r="H312" s="675"/>
      <c r="I312" s="24">
        <f t="shared" si="49"/>
        <v>1</v>
      </c>
      <c r="J312" s="675"/>
      <c r="K312" s="24">
        <f t="shared" si="50"/>
        <v>1</v>
      </c>
      <c r="L312" s="675"/>
      <c r="M312" s="24">
        <f t="shared" si="51"/>
        <v>1</v>
      </c>
      <c r="N312" s="675"/>
      <c r="O312" s="24">
        <f t="shared" si="52"/>
        <v>1</v>
      </c>
      <c r="P312" s="675"/>
      <c r="Q312" s="24">
        <f t="shared" si="53"/>
        <v>0</v>
      </c>
      <c r="R312" s="671">
        <f t="shared" si="54"/>
        <v>0</v>
      </c>
      <c r="S312" s="322">
        <f t="shared" si="45"/>
        <v>0</v>
      </c>
    </row>
    <row r="313" spans="1:19">
      <c r="A313" s="155"/>
      <c r="B313" s="57"/>
      <c r="C313" s="24">
        <f t="shared" si="46"/>
        <v>1</v>
      </c>
      <c r="D313" s="675"/>
      <c r="E313" s="24">
        <f t="shared" si="47"/>
        <v>1</v>
      </c>
      <c r="F313" s="675"/>
      <c r="G313" s="24">
        <f t="shared" si="48"/>
        <v>1</v>
      </c>
      <c r="H313" s="675"/>
      <c r="I313" s="24">
        <f t="shared" si="49"/>
        <v>1</v>
      </c>
      <c r="J313" s="675"/>
      <c r="K313" s="24">
        <f t="shared" si="50"/>
        <v>1</v>
      </c>
      <c r="L313" s="675"/>
      <c r="M313" s="24">
        <f t="shared" si="51"/>
        <v>1</v>
      </c>
      <c r="N313" s="675"/>
      <c r="O313" s="24">
        <f t="shared" si="52"/>
        <v>1</v>
      </c>
      <c r="P313" s="675"/>
      <c r="Q313" s="24">
        <f t="shared" si="53"/>
        <v>0</v>
      </c>
      <c r="R313" s="671">
        <f t="shared" si="54"/>
        <v>0</v>
      </c>
      <c r="S313" s="322">
        <f t="shared" si="45"/>
        <v>0</v>
      </c>
    </row>
    <row r="314" spans="1:19">
      <c r="A314" s="155"/>
      <c r="B314" s="57"/>
      <c r="C314" s="24">
        <f t="shared" si="46"/>
        <v>1</v>
      </c>
      <c r="D314" s="675"/>
      <c r="E314" s="24">
        <f t="shared" si="47"/>
        <v>1</v>
      </c>
      <c r="F314" s="675"/>
      <c r="G314" s="24">
        <f t="shared" si="48"/>
        <v>1</v>
      </c>
      <c r="H314" s="675"/>
      <c r="I314" s="24">
        <f t="shared" si="49"/>
        <v>1</v>
      </c>
      <c r="J314" s="675"/>
      <c r="K314" s="24">
        <f t="shared" si="50"/>
        <v>1</v>
      </c>
      <c r="L314" s="675"/>
      <c r="M314" s="24">
        <f t="shared" si="51"/>
        <v>1</v>
      </c>
      <c r="N314" s="675"/>
      <c r="O314" s="24">
        <f t="shared" si="52"/>
        <v>1</v>
      </c>
      <c r="P314" s="675"/>
      <c r="Q314" s="24">
        <f t="shared" si="53"/>
        <v>0</v>
      </c>
      <c r="R314" s="671">
        <f t="shared" si="54"/>
        <v>0</v>
      </c>
      <c r="S314" s="322">
        <f t="shared" si="45"/>
        <v>0</v>
      </c>
    </row>
    <row r="315" spans="1:19">
      <c r="A315" s="155"/>
      <c r="B315" s="57"/>
      <c r="C315" s="24">
        <f t="shared" si="46"/>
        <v>1</v>
      </c>
      <c r="D315" s="675"/>
      <c r="E315" s="24">
        <f t="shared" si="47"/>
        <v>1</v>
      </c>
      <c r="F315" s="675"/>
      <c r="G315" s="24">
        <f t="shared" si="48"/>
        <v>1</v>
      </c>
      <c r="H315" s="675"/>
      <c r="I315" s="24">
        <f t="shared" si="49"/>
        <v>1</v>
      </c>
      <c r="J315" s="675"/>
      <c r="K315" s="24">
        <f t="shared" si="50"/>
        <v>1</v>
      </c>
      <c r="L315" s="675"/>
      <c r="M315" s="24">
        <f t="shared" si="51"/>
        <v>1</v>
      </c>
      <c r="N315" s="675"/>
      <c r="O315" s="24">
        <f t="shared" si="52"/>
        <v>1</v>
      </c>
      <c r="P315" s="675"/>
      <c r="Q315" s="24">
        <f t="shared" si="53"/>
        <v>0</v>
      </c>
      <c r="R315" s="671">
        <f t="shared" si="54"/>
        <v>0</v>
      </c>
      <c r="S315" s="322">
        <f t="shared" si="45"/>
        <v>0</v>
      </c>
    </row>
    <row r="316" spans="1:19">
      <c r="A316" s="155"/>
      <c r="B316" s="57"/>
      <c r="C316" s="24">
        <f t="shared" si="46"/>
        <v>1</v>
      </c>
      <c r="D316" s="675"/>
      <c r="E316" s="24">
        <f t="shared" si="47"/>
        <v>1</v>
      </c>
      <c r="F316" s="675"/>
      <c r="G316" s="24">
        <f t="shared" si="48"/>
        <v>1</v>
      </c>
      <c r="H316" s="675"/>
      <c r="I316" s="24">
        <f t="shared" si="49"/>
        <v>1</v>
      </c>
      <c r="J316" s="675"/>
      <c r="K316" s="24">
        <f t="shared" si="50"/>
        <v>1</v>
      </c>
      <c r="L316" s="675"/>
      <c r="M316" s="24">
        <f t="shared" si="51"/>
        <v>1</v>
      </c>
      <c r="N316" s="675"/>
      <c r="O316" s="24">
        <f t="shared" si="52"/>
        <v>1</v>
      </c>
      <c r="P316" s="675"/>
      <c r="Q316" s="24">
        <f t="shared" si="53"/>
        <v>0</v>
      </c>
      <c r="R316" s="671">
        <f t="shared" si="54"/>
        <v>0</v>
      </c>
      <c r="S316" s="322">
        <f t="shared" si="45"/>
        <v>0</v>
      </c>
    </row>
    <row r="317" spans="1:19">
      <c r="A317" s="155"/>
      <c r="B317" s="57"/>
      <c r="C317" s="24">
        <f t="shared" si="46"/>
        <v>1</v>
      </c>
      <c r="D317" s="675"/>
      <c r="E317" s="24">
        <f t="shared" si="47"/>
        <v>1</v>
      </c>
      <c r="F317" s="675"/>
      <c r="G317" s="24">
        <f t="shared" si="48"/>
        <v>1</v>
      </c>
      <c r="H317" s="675"/>
      <c r="I317" s="24">
        <f t="shared" si="49"/>
        <v>1</v>
      </c>
      <c r="J317" s="675"/>
      <c r="K317" s="24">
        <f t="shared" si="50"/>
        <v>1</v>
      </c>
      <c r="L317" s="675"/>
      <c r="M317" s="24">
        <f t="shared" si="51"/>
        <v>1</v>
      </c>
      <c r="N317" s="675"/>
      <c r="O317" s="24">
        <f t="shared" si="52"/>
        <v>1</v>
      </c>
      <c r="P317" s="675"/>
      <c r="Q317" s="24">
        <f t="shared" si="53"/>
        <v>0</v>
      </c>
      <c r="R317" s="671">
        <f t="shared" si="54"/>
        <v>0</v>
      </c>
      <c r="S317" s="322">
        <f t="shared" si="45"/>
        <v>0</v>
      </c>
    </row>
    <row r="318" spans="1:19">
      <c r="A318" s="155"/>
      <c r="B318" s="57"/>
      <c r="C318" s="24">
        <f t="shared" si="46"/>
        <v>1</v>
      </c>
      <c r="D318" s="675"/>
      <c r="E318" s="24">
        <f t="shared" si="47"/>
        <v>1</v>
      </c>
      <c r="F318" s="675"/>
      <c r="G318" s="24">
        <f t="shared" si="48"/>
        <v>1</v>
      </c>
      <c r="H318" s="675"/>
      <c r="I318" s="24">
        <f t="shared" si="49"/>
        <v>1</v>
      </c>
      <c r="J318" s="675"/>
      <c r="K318" s="24">
        <f t="shared" si="50"/>
        <v>1</v>
      </c>
      <c r="L318" s="675"/>
      <c r="M318" s="24">
        <f t="shared" si="51"/>
        <v>1</v>
      </c>
      <c r="N318" s="675"/>
      <c r="O318" s="24">
        <f t="shared" si="52"/>
        <v>1</v>
      </c>
      <c r="P318" s="675"/>
      <c r="Q318" s="24">
        <f t="shared" si="53"/>
        <v>0</v>
      </c>
      <c r="R318" s="671">
        <f t="shared" si="54"/>
        <v>0</v>
      </c>
      <c r="S318" s="322">
        <f t="shared" si="45"/>
        <v>0</v>
      </c>
    </row>
    <row r="319" spans="1:19">
      <c r="A319" s="155"/>
      <c r="B319" s="57"/>
      <c r="C319" s="24">
        <f t="shared" si="46"/>
        <v>1</v>
      </c>
      <c r="D319" s="675"/>
      <c r="E319" s="24">
        <f t="shared" si="47"/>
        <v>1</v>
      </c>
      <c r="F319" s="675"/>
      <c r="G319" s="24">
        <f t="shared" si="48"/>
        <v>1</v>
      </c>
      <c r="H319" s="675"/>
      <c r="I319" s="24">
        <f t="shared" si="49"/>
        <v>1</v>
      </c>
      <c r="J319" s="675"/>
      <c r="K319" s="24">
        <f t="shared" si="50"/>
        <v>1</v>
      </c>
      <c r="L319" s="675"/>
      <c r="M319" s="24">
        <f t="shared" si="51"/>
        <v>1</v>
      </c>
      <c r="N319" s="675"/>
      <c r="O319" s="24">
        <f t="shared" si="52"/>
        <v>1</v>
      </c>
      <c r="P319" s="675"/>
      <c r="Q319" s="24">
        <f t="shared" si="53"/>
        <v>0</v>
      </c>
      <c r="R319" s="671">
        <f t="shared" si="54"/>
        <v>0</v>
      </c>
      <c r="S319" s="322">
        <f t="shared" si="45"/>
        <v>0</v>
      </c>
    </row>
    <row r="320" spans="1:19">
      <c r="A320" s="155"/>
      <c r="B320" s="57"/>
      <c r="C320" s="24">
        <f t="shared" si="46"/>
        <v>1</v>
      </c>
      <c r="D320" s="675"/>
      <c r="E320" s="24">
        <f t="shared" si="47"/>
        <v>1</v>
      </c>
      <c r="F320" s="675"/>
      <c r="G320" s="24">
        <f t="shared" si="48"/>
        <v>1</v>
      </c>
      <c r="H320" s="675"/>
      <c r="I320" s="24">
        <f t="shared" si="49"/>
        <v>1</v>
      </c>
      <c r="J320" s="675"/>
      <c r="K320" s="24">
        <f t="shared" si="50"/>
        <v>1</v>
      </c>
      <c r="L320" s="675"/>
      <c r="M320" s="24">
        <f t="shared" si="51"/>
        <v>1</v>
      </c>
      <c r="N320" s="675"/>
      <c r="O320" s="24">
        <f t="shared" si="52"/>
        <v>1</v>
      </c>
      <c r="P320" s="675"/>
      <c r="Q320" s="24">
        <f t="shared" si="53"/>
        <v>0</v>
      </c>
      <c r="R320" s="671">
        <f t="shared" si="54"/>
        <v>0</v>
      </c>
      <c r="S320" s="322">
        <f t="shared" si="45"/>
        <v>0</v>
      </c>
    </row>
    <row r="321" spans="1:19">
      <c r="A321" s="155"/>
      <c r="B321" s="57"/>
      <c r="C321" s="24">
        <f t="shared" si="46"/>
        <v>1</v>
      </c>
      <c r="D321" s="675"/>
      <c r="E321" s="24">
        <f t="shared" si="47"/>
        <v>1</v>
      </c>
      <c r="F321" s="675"/>
      <c r="G321" s="24">
        <f t="shared" si="48"/>
        <v>1</v>
      </c>
      <c r="H321" s="675"/>
      <c r="I321" s="24">
        <f t="shared" si="49"/>
        <v>1</v>
      </c>
      <c r="J321" s="675"/>
      <c r="K321" s="24">
        <f t="shared" si="50"/>
        <v>1</v>
      </c>
      <c r="L321" s="675"/>
      <c r="M321" s="24">
        <f t="shared" si="51"/>
        <v>1</v>
      </c>
      <c r="N321" s="675"/>
      <c r="O321" s="24">
        <f t="shared" si="52"/>
        <v>1</v>
      </c>
      <c r="P321" s="675"/>
      <c r="Q321" s="24">
        <f t="shared" si="53"/>
        <v>0</v>
      </c>
      <c r="R321" s="671">
        <f t="shared" si="54"/>
        <v>0</v>
      </c>
      <c r="S321" s="322">
        <f t="shared" si="45"/>
        <v>0</v>
      </c>
    </row>
    <row r="322" spans="1:19">
      <c r="A322" s="155"/>
      <c r="B322" s="57"/>
      <c r="C322" s="24">
        <f t="shared" si="46"/>
        <v>1</v>
      </c>
      <c r="D322" s="675"/>
      <c r="E322" s="24">
        <f t="shared" si="47"/>
        <v>1</v>
      </c>
      <c r="F322" s="675"/>
      <c r="G322" s="24">
        <f t="shared" si="48"/>
        <v>1</v>
      </c>
      <c r="H322" s="675"/>
      <c r="I322" s="24">
        <f t="shared" si="49"/>
        <v>1</v>
      </c>
      <c r="J322" s="675"/>
      <c r="K322" s="24">
        <f t="shared" si="50"/>
        <v>1</v>
      </c>
      <c r="L322" s="675"/>
      <c r="M322" s="24">
        <f t="shared" si="51"/>
        <v>1</v>
      </c>
      <c r="N322" s="675"/>
      <c r="O322" s="24">
        <f t="shared" si="52"/>
        <v>1</v>
      </c>
      <c r="P322" s="675"/>
      <c r="Q322" s="24">
        <f t="shared" si="53"/>
        <v>0</v>
      </c>
      <c r="R322" s="671">
        <f t="shared" si="54"/>
        <v>0</v>
      </c>
      <c r="S322" s="322">
        <f t="shared" si="45"/>
        <v>0</v>
      </c>
    </row>
    <row r="323" spans="1:19">
      <c r="A323" s="155"/>
      <c r="B323" s="57"/>
      <c r="C323" s="24">
        <f t="shared" si="46"/>
        <v>1</v>
      </c>
      <c r="D323" s="675"/>
      <c r="E323" s="24">
        <f t="shared" si="47"/>
        <v>1</v>
      </c>
      <c r="F323" s="675"/>
      <c r="G323" s="24">
        <f t="shared" si="48"/>
        <v>1</v>
      </c>
      <c r="H323" s="675"/>
      <c r="I323" s="24">
        <f t="shared" si="49"/>
        <v>1</v>
      </c>
      <c r="J323" s="675"/>
      <c r="K323" s="24">
        <f t="shared" si="50"/>
        <v>1</v>
      </c>
      <c r="L323" s="675"/>
      <c r="M323" s="24">
        <f t="shared" si="51"/>
        <v>1</v>
      </c>
      <c r="N323" s="675"/>
      <c r="O323" s="24">
        <f t="shared" si="52"/>
        <v>1</v>
      </c>
      <c r="P323" s="675"/>
      <c r="Q323" s="24">
        <f t="shared" si="53"/>
        <v>0</v>
      </c>
      <c r="R323" s="671">
        <f t="shared" si="54"/>
        <v>0</v>
      </c>
      <c r="S323" s="322">
        <f t="shared" si="45"/>
        <v>0</v>
      </c>
    </row>
    <row r="324" spans="1:19">
      <c r="A324" s="155"/>
      <c r="B324" s="57"/>
      <c r="C324" s="24">
        <f t="shared" si="46"/>
        <v>1</v>
      </c>
      <c r="D324" s="675"/>
      <c r="E324" s="24">
        <f t="shared" si="47"/>
        <v>1</v>
      </c>
      <c r="F324" s="675"/>
      <c r="G324" s="24">
        <f t="shared" si="48"/>
        <v>1</v>
      </c>
      <c r="H324" s="675"/>
      <c r="I324" s="24">
        <f t="shared" si="49"/>
        <v>1</v>
      </c>
      <c r="J324" s="675"/>
      <c r="K324" s="24">
        <f t="shared" si="50"/>
        <v>1</v>
      </c>
      <c r="L324" s="675"/>
      <c r="M324" s="24">
        <f t="shared" si="51"/>
        <v>1</v>
      </c>
      <c r="N324" s="675"/>
      <c r="O324" s="24">
        <f t="shared" si="52"/>
        <v>1</v>
      </c>
      <c r="P324" s="675"/>
      <c r="Q324" s="24">
        <f t="shared" si="53"/>
        <v>0</v>
      </c>
      <c r="R324" s="671">
        <f t="shared" si="54"/>
        <v>0</v>
      </c>
      <c r="S324" s="322">
        <f t="shared" si="45"/>
        <v>0</v>
      </c>
    </row>
    <row r="325" spans="1:19">
      <c r="A325" s="155"/>
      <c r="B325" s="57"/>
      <c r="C325" s="24">
        <f t="shared" si="46"/>
        <v>1</v>
      </c>
      <c r="D325" s="675"/>
      <c r="E325" s="24">
        <f t="shared" si="47"/>
        <v>1</v>
      </c>
      <c r="F325" s="675"/>
      <c r="G325" s="24">
        <f t="shared" si="48"/>
        <v>1</v>
      </c>
      <c r="H325" s="675"/>
      <c r="I325" s="24">
        <f t="shared" si="49"/>
        <v>1</v>
      </c>
      <c r="J325" s="675"/>
      <c r="K325" s="24">
        <f t="shared" si="50"/>
        <v>1</v>
      </c>
      <c r="L325" s="675"/>
      <c r="M325" s="24">
        <f t="shared" si="51"/>
        <v>1</v>
      </c>
      <c r="N325" s="675"/>
      <c r="O325" s="24">
        <f t="shared" si="52"/>
        <v>1</v>
      </c>
      <c r="P325" s="675"/>
      <c r="Q325" s="24">
        <f t="shared" si="53"/>
        <v>0</v>
      </c>
      <c r="R325" s="671">
        <f t="shared" si="54"/>
        <v>0</v>
      </c>
      <c r="S325" s="322">
        <f t="shared" si="45"/>
        <v>0</v>
      </c>
    </row>
    <row r="326" spans="1:19">
      <c r="A326" s="155"/>
      <c r="B326" s="57"/>
      <c r="C326" s="24">
        <f t="shared" si="46"/>
        <v>1</v>
      </c>
      <c r="D326" s="675"/>
      <c r="E326" s="24">
        <f t="shared" si="47"/>
        <v>1</v>
      </c>
      <c r="F326" s="675"/>
      <c r="G326" s="24">
        <f t="shared" si="48"/>
        <v>1</v>
      </c>
      <c r="H326" s="675"/>
      <c r="I326" s="24">
        <f t="shared" si="49"/>
        <v>1</v>
      </c>
      <c r="J326" s="675"/>
      <c r="K326" s="24">
        <f t="shared" si="50"/>
        <v>1</v>
      </c>
      <c r="L326" s="675"/>
      <c r="M326" s="24">
        <f t="shared" si="51"/>
        <v>1</v>
      </c>
      <c r="N326" s="675"/>
      <c r="O326" s="24">
        <f t="shared" si="52"/>
        <v>1</v>
      </c>
      <c r="P326" s="675"/>
      <c r="Q326" s="24">
        <f t="shared" si="53"/>
        <v>0</v>
      </c>
      <c r="R326" s="671">
        <f t="shared" si="54"/>
        <v>0</v>
      </c>
      <c r="S326" s="322">
        <f t="shared" si="45"/>
        <v>0</v>
      </c>
    </row>
    <row r="327" spans="1:19">
      <c r="A327" s="155"/>
      <c r="B327" s="57"/>
      <c r="C327" s="24">
        <f t="shared" si="46"/>
        <v>1</v>
      </c>
      <c r="D327" s="675"/>
      <c r="E327" s="24">
        <f t="shared" si="47"/>
        <v>1</v>
      </c>
      <c r="F327" s="675"/>
      <c r="G327" s="24">
        <f t="shared" si="48"/>
        <v>1</v>
      </c>
      <c r="H327" s="675"/>
      <c r="I327" s="24">
        <f t="shared" si="49"/>
        <v>1</v>
      </c>
      <c r="J327" s="675"/>
      <c r="K327" s="24">
        <f t="shared" si="50"/>
        <v>1</v>
      </c>
      <c r="L327" s="675"/>
      <c r="M327" s="24">
        <f t="shared" si="51"/>
        <v>1</v>
      </c>
      <c r="N327" s="675"/>
      <c r="O327" s="24">
        <f t="shared" si="52"/>
        <v>1</v>
      </c>
      <c r="P327" s="675"/>
      <c r="Q327" s="24">
        <f t="shared" si="53"/>
        <v>0</v>
      </c>
      <c r="R327" s="671">
        <f t="shared" si="54"/>
        <v>0</v>
      </c>
      <c r="S327" s="322">
        <f t="shared" si="45"/>
        <v>0</v>
      </c>
    </row>
    <row r="328" spans="1:19">
      <c r="A328" s="155"/>
      <c r="B328" s="57"/>
      <c r="C328" s="24">
        <f t="shared" si="46"/>
        <v>1</v>
      </c>
      <c r="D328" s="675"/>
      <c r="E328" s="24">
        <f t="shared" si="47"/>
        <v>1</v>
      </c>
      <c r="F328" s="675"/>
      <c r="G328" s="24">
        <f t="shared" si="48"/>
        <v>1</v>
      </c>
      <c r="H328" s="675"/>
      <c r="I328" s="24">
        <f t="shared" si="49"/>
        <v>1</v>
      </c>
      <c r="J328" s="675"/>
      <c r="K328" s="24">
        <f t="shared" si="50"/>
        <v>1</v>
      </c>
      <c r="L328" s="675"/>
      <c r="M328" s="24">
        <f t="shared" si="51"/>
        <v>1</v>
      </c>
      <c r="N328" s="675"/>
      <c r="O328" s="24">
        <f t="shared" si="52"/>
        <v>1</v>
      </c>
      <c r="P328" s="675"/>
      <c r="Q328" s="24">
        <f t="shared" si="53"/>
        <v>0</v>
      </c>
      <c r="R328" s="671">
        <f t="shared" si="54"/>
        <v>0</v>
      </c>
      <c r="S328" s="322">
        <f t="shared" si="45"/>
        <v>0</v>
      </c>
    </row>
    <row r="329" spans="1:19">
      <c r="A329" s="155"/>
      <c r="B329" s="57"/>
      <c r="C329" s="24">
        <f t="shared" si="46"/>
        <v>1</v>
      </c>
      <c r="D329" s="675"/>
      <c r="E329" s="24">
        <f t="shared" si="47"/>
        <v>1</v>
      </c>
      <c r="F329" s="675"/>
      <c r="G329" s="24">
        <f t="shared" si="48"/>
        <v>1</v>
      </c>
      <c r="H329" s="675"/>
      <c r="I329" s="24">
        <f t="shared" si="49"/>
        <v>1</v>
      </c>
      <c r="J329" s="675"/>
      <c r="K329" s="24">
        <f t="shared" si="50"/>
        <v>1</v>
      </c>
      <c r="L329" s="675"/>
      <c r="M329" s="24">
        <f t="shared" si="51"/>
        <v>1</v>
      </c>
      <c r="N329" s="675"/>
      <c r="O329" s="24">
        <f t="shared" si="52"/>
        <v>1</v>
      </c>
      <c r="P329" s="675"/>
      <c r="Q329" s="24">
        <f t="shared" si="53"/>
        <v>0</v>
      </c>
      <c r="R329" s="671">
        <f t="shared" si="54"/>
        <v>0</v>
      </c>
      <c r="S329" s="322">
        <f t="shared" si="45"/>
        <v>0</v>
      </c>
    </row>
    <row r="330" spans="1:19">
      <c r="A330" s="155"/>
      <c r="B330" s="57"/>
      <c r="C330" s="24">
        <f t="shared" si="46"/>
        <v>1</v>
      </c>
      <c r="D330" s="675"/>
      <c r="E330" s="24">
        <f t="shared" si="47"/>
        <v>1</v>
      </c>
      <c r="F330" s="675"/>
      <c r="G330" s="24">
        <f t="shared" si="48"/>
        <v>1</v>
      </c>
      <c r="H330" s="675"/>
      <c r="I330" s="24">
        <f t="shared" si="49"/>
        <v>1</v>
      </c>
      <c r="J330" s="675"/>
      <c r="K330" s="24">
        <f t="shared" si="50"/>
        <v>1</v>
      </c>
      <c r="L330" s="675"/>
      <c r="M330" s="24">
        <f t="shared" si="51"/>
        <v>1</v>
      </c>
      <c r="N330" s="675"/>
      <c r="O330" s="24">
        <f t="shared" si="52"/>
        <v>1</v>
      </c>
      <c r="P330" s="675"/>
      <c r="Q330" s="24">
        <f t="shared" si="53"/>
        <v>0</v>
      </c>
      <c r="R330" s="671">
        <f t="shared" si="54"/>
        <v>0</v>
      </c>
      <c r="S330" s="322">
        <f t="shared" si="45"/>
        <v>0</v>
      </c>
    </row>
    <row r="331" spans="1:19">
      <c r="A331" s="155"/>
      <c r="B331" s="57"/>
      <c r="C331" s="24">
        <f t="shared" si="46"/>
        <v>1</v>
      </c>
      <c r="D331" s="675"/>
      <c r="E331" s="24">
        <f t="shared" si="47"/>
        <v>1</v>
      </c>
      <c r="F331" s="675"/>
      <c r="G331" s="24">
        <f t="shared" si="48"/>
        <v>1</v>
      </c>
      <c r="H331" s="675"/>
      <c r="I331" s="24">
        <f t="shared" si="49"/>
        <v>1</v>
      </c>
      <c r="J331" s="675"/>
      <c r="K331" s="24">
        <f t="shared" si="50"/>
        <v>1</v>
      </c>
      <c r="L331" s="675"/>
      <c r="M331" s="24">
        <f t="shared" si="51"/>
        <v>1</v>
      </c>
      <c r="N331" s="675"/>
      <c r="O331" s="24">
        <f t="shared" si="52"/>
        <v>1</v>
      </c>
      <c r="P331" s="675"/>
      <c r="Q331" s="24">
        <f t="shared" si="53"/>
        <v>0</v>
      </c>
      <c r="R331" s="671">
        <f t="shared" si="54"/>
        <v>0</v>
      </c>
      <c r="S331" s="322">
        <f t="shared" si="45"/>
        <v>0</v>
      </c>
    </row>
    <row r="332" spans="1:19">
      <c r="A332" s="155"/>
      <c r="B332" s="57"/>
      <c r="C332" s="24">
        <f t="shared" si="46"/>
        <v>1</v>
      </c>
      <c r="D332" s="675"/>
      <c r="E332" s="24">
        <f t="shared" si="47"/>
        <v>1</v>
      </c>
      <c r="F332" s="675"/>
      <c r="G332" s="24">
        <f t="shared" si="48"/>
        <v>1</v>
      </c>
      <c r="H332" s="675"/>
      <c r="I332" s="24">
        <f t="shared" si="49"/>
        <v>1</v>
      </c>
      <c r="J332" s="675"/>
      <c r="K332" s="24">
        <f t="shared" si="50"/>
        <v>1</v>
      </c>
      <c r="L332" s="675"/>
      <c r="M332" s="24">
        <f t="shared" si="51"/>
        <v>1</v>
      </c>
      <c r="N332" s="675"/>
      <c r="O332" s="24">
        <f t="shared" si="52"/>
        <v>1</v>
      </c>
      <c r="P332" s="675"/>
      <c r="Q332" s="24">
        <f t="shared" si="53"/>
        <v>0</v>
      </c>
      <c r="R332" s="671">
        <f t="shared" si="54"/>
        <v>0</v>
      </c>
      <c r="S332" s="322">
        <f t="shared" si="45"/>
        <v>0</v>
      </c>
    </row>
    <row r="333" spans="1:19">
      <c r="A333" s="155"/>
      <c r="B333" s="57"/>
      <c r="C333" s="24">
        <f t="shared" si="46"/>
        <v>1</v>
      </c>
      <c r="D333" s="675"/>
      <c r="E333" s="24">
        <f t="shared" si="47"/>
        <v>1</v>
      </c>
      <c r="F333" s="675"/>
      <c r="G333" s="24">
        <f t="shared" si="48"/>
        <v>1</v>
      </c>
      <c r="H333" s="675"/>
      <c r="I333" s="24">
        <f t="shared" si="49"/>
        <v>1</v>
      </c>
      <c r="J333" s="675"/>
      <c r="K333" s="24">
        <f t="shared" si="50"/>
        <v>1</v>
      </c>
      <c r="L333" s="675"/>
      <c r="M333" s="24">
        <f t="shared" si="51"/>
        <v>1</v>
      </c>
      <c r="N333" s="675"/>
      <c r="O333" s="24">
        <f t="shared" si="52"/>
        <v>1</v>
      </c>
      <c r="P333" s="675"/>
      <c r="Q333" s="24">
        <f t="shared" si="53"/>
        <v>0</v>
      </c>
      <c r="R333" s="671">
        <f t="shared" si="54"/>
        <v>0</v>
      </c>
      <c r="S333" s="322">
        <f t="shared" si="45"/>
        <v>0</v>
      </c>
    </row>
    <row r="334" spans="1:19">
      <c r="A334" s="155"/>
      <c r="B334" s="57"/>
      <c r="C334" s="24">
        <f t="shared" si="46"/>
        <v>1</v>
      </c>
      <c r="D334" s="675"/>
      <c r="E334" s="24">
        <f t="shared" si="47"/>
        <v>1</v>
      </c>
      <c r="F334" s="675"/>
      <c r="G334" s="24">
        <f t="shared" si="48"/>
        <v>1</v>
      </c>
      <c r="H334" s="675"/>
      <c r="I334" s="24">
        <f t="shared" si="49"/>
        <v>1</v>
      </c>
      <c r="J334" s="675"/>
      <c r="K334" s="24">
        <f t="shared" si="50"/>
        <v>1</v>
      </c>
      <c r="L334" s="675"/>
      <c r="M334" s="24">
        <f t="shared" si="51"/>
        <v>1</v>
      </c>
      <c r="N334" s="675"/>
      <c r="O334" s="24">
        <f t="shared" si="52"/>
        <v>1</v>
      </c>
      <c r="P334" s="675"/>
      <c r="Q334" s="24">
        <f t="shared" si="53"/>
        <v>0</v>
      </c>
      <c r="R334" s="671">
        <f t="shared" si="54"/>
        <v>0</v>
      </c>
      <c r="S334" s="322">
        <f t="shared" si="45"/>
        <v>0</v>
      </c>
    </row>
    <row r="335" spans="1:19">
      <c r="A335" s="155"/>
      <c r="B335" s="57"/>
      <c r="C335" s="24">
        <f t="shared" si="46"/>
        <v>1</v>
      </c>
      <c r="D335" s="675"/>
      <c r="E335" s="24">
        <f t="shared" si="47"/>
        <v>1</v>
      </c>
      <c r="F335" s="675"/>
      <c r="G335" s="24">
        <f t="shared" si="48"/>
        <v>1</v>
      </c>
      <c r="H335" s="675"/>
      <c r="I335" s="24">
        <f t="shared" si="49"/>
        <v>1</v>
      </c>
      <c r="J335" s="675"/>
      <c r="K335" s="24">
        <f t="shared" si="50"/>
        <v>1</v>
      </c>
      <c r="L335" s="675"/>
      <c r="M335" s="24">
        <f t="shared" si="51"/>
        <v>1</v>
      </c>
      <c r="N335" s="675"/>
      <c r="O335" s="24">
        <f t="shared" si="52"/>
        <v>1</v>
      </c>
      <c r="P335" s="675"/>
      <c r="Q335" s="24">
        <f t="shared" si="53"/>
        <v>0</v>
      </c>
      <c r="R335" s="671">
        <f t="shared" si="54"/>
        <v>0</v>
      </c>
      <c r="S335" s="322">
        <f t="shared" si="45"/>
        <v>0</v>
      </c>
    </row>
    <row r="336" spans="1:19">
      <c r="A336" s="155"/>
      <c r="B336" s="57"/>
      <c r="C336" s="24">
        <f t="shared" si="46"/>
        <v>1</v>
      </c>
      <c r="D336" s="675"/>
      <c r="E336" s="24">
        <f t="shared" si="47"/>
        <v>1</v>
      </c>
      <c r="F336" s="675"/>
      <c r="G336" s="24">
        <f t="shared" si="48"/>
        <v>1</v>
      </c>
      <c r="H336" s="675"/>
      <c r="I336" s="24">
        <f t="shared" si="49"/>
        <v>1</v>
      </c>
      <c r="J336" s="675"/>
      <c r="K336" s="24">
        <f t="shared" si="50"/>
        <v>1</v>
      </c>
      <c r="L336" s="675"/>
      <c r="M336" s="24">
        <f t="shared" si="51"/>
        <v>1</v>
      </c>
      <c r="N336" s="675"/>
      <c r="O336" s="24">
        <f t="shared" si="52"/>
        <v>1</v>
      </c>
      <c r="P336" s="675"/>
      <c r="Q336" s="24">
        <f t="shared" si="53"/>
        <v>0</v>
      </c>
      <c r="R336" s="671">
        <f t="shared" si="54"/>
        <v>0</v>
      </c>
      <c r="S336" s="322">
        <f t="shared" si="45"/>
        <v>0</v>
      </c>
    </row>
    <row r="337" spans="1:19">
      <c r="A337" s="155"/>
      <c r="B337" s="57"/>
      <c r="C337" s="24">
        <f t="shared" si="46"/>
        <v>1</v>
      </c>
      <c r="D337" s="675"/>
      <c r="E337" s="24">
        <f t="shared" si="47"/>
        <v>1</v>
      </c>
      <c r="F337" s="675"/>
      <c r="G337" s="24">
        <f t="shared" si="48"/>
        <v>1</v>
      </c>
      <c r="H337" s="675"/>
      <c r="I337" s="24">
        <f t="shared" si="49"/>
        <v>1</v>
      </c>
      <c r="J337" s="675"/>
      <c r="K337" s="24">
        <f t="shared" si="50"/>
        <v>1</v>
      </c>
      <c r="L337" s="675"/>
      <c r="M337" s="24">
        <f t="shared" si="51"/>
        <v>1</v>
      </c>
      <c r="N337" s="675"/>
      <c r="O337" s="24">
        <f t="shared" si="52"/>
        <v>1</v>
      </c>
      <c r="P337" s="675"/>
      <c r="Q337" s="24">
        <f t="shared" si="53"/>
        <v>0</v>
      </c>
      <c r="R337" s="671">
        <f t="shared" si="54"/>
        <v>0</v>
      </c>
      <c r="S337" s="322">
        <f t="shared" si="45"/>
        <v>0</v>
      </c>
    </row>
    <row r="338" spans="1:19">
      <c r="A338" s="155"/>
      <c r="B338" s="57"/>
      <c r="C338" s="24">
        <f t="shared" si="46"/>
        <v>1</v>
      </c>
      <c r="D338" s="675"/>
      <c r="E338" s="24">
        <f t="shared" si="47"/>
        <v>1</v>
      </c>
      <c r="F338" s="675"/>
      <c r="G338" s="24">
        <f t="shared" si="48"/>
        <v>1</v>
      </c>
      <c r="H338" s="675"/>
      <c r="I338" s="24">
        <f t="shared" si="49"/>
        <v>1</v>
      </c>
      <c r="J338" s="675"/>
      <c r="K338" s="24">
        <f t="shared" si="50"/>
        <v>1</v>
      </c>
      <c r="L338" s="675"/>
      <c r="M338" s="24">
        <f t="shared" si="51"/>
        <v>1</v>
      </c>
      <c r="N338" s="675"/>
      <c r="O338" s="24">
        <f t="shared" si="52"/>
        <v>1</v>
      </c>
      <c r="P338" s="675"/>
      <c r="Q338" s="24">
        <f t="shared" si="53"/>
        <v>0</v>
      </c>
      <c r="R338" s="671">
        <f t="shared" si="54"/>
        <v>0</v>
      </c>
      <c r="S338" s="322">
        <f t="shared" si="45"/>
        <v>0</v>
      </c>
    </row>
    <row r="339" spans="1:19">
      <c r="A339" s="155"/>
      <c r="B339" s="57"/>
      <c r="C339" s="24">
        <f t="shared" si="46"/>
        <v>1</v>
      </c>
      <c r="D339" s="675"/>
      <c r="E339" s="24">
        <f t="shared" si="47"/>
        <v>1</v>
      </c>
      <c r="F339" s="675"/>
      <c r="G339" s="24">
        <f t="shared" si="48"/>
        <v>1</v>
      </c>
      <c r="H339" s="675"/>
      <c r="I339" s="24">
        <f t="shared" si="49"/>
        <v>1</v>
      </c>
      <c r="J339" s="675"/>
      <c r="K339" s="24">
        <f t="shared" si="50"/>
        <v>1</v>
      </c>
      <c r="L339" s="675"/>
      <c r="M339" s="24">
        <f t="shared" si="51"/>
        <v>1</v>
      </c>
      <c r="N339" s="675"/>
      <c r="O339" s="24">
        <f t="shared" si="52"/>
        <v>1</v>
      </c>
      <c r="P339" s="675"/>
      <c r="Q339" s="24">
        <f t="shared" si="53"/>
        <v>0</v>
      </c>
      <c r="R339" s="671">
        <f t="shared" si="54"/>
        <v>0</v>
      </c>
      <c r="S339" s="322">
        <f t="shared" si="45"/>
        <v>0</v>
      </c>
    </row>
    <row r="340" spans="1:19">
      <c r="A340" s="155"/>
      <c r="B340" s="57"/>
      <c r="C340" s="24">
        <f t="shared" si="46"/>
        <v>1</v>
      </c>
      <c r="D340" s="675"/>
      <c r="E340" s="24">
        <f t="shared" si="47"/>
        <v>1</v>
      </c>
      <c r="F340" s="675"/>
      <c r="G340" s="24">
        <f t="shared" si="48"/>
        <v>1</v>
      </c>
      <c r="H340" s="675"/>
      <c r="I340" s="24">
        <f t="shared" si="49"/>
        <v>1</v>
      </c>
      <c r="J340" s="675"/>
      <c r="K340" s="24">
        <f t="shared" si="50"/>
        <v>1</v>
      </c>
      <c r="L340" s="675"/>
      <c r="M340" s="24">
        <f t="shared" si="51"/>
        <v>1</v>
      </c>
      <c r="N340" s="675"/>
      <c r="O340" s="24">
        <f t="shared" si="52"/>
        <v>1</v>
      </c>
      <c r="P340" s="675"/>
      <c r="Q340" s="24">
        <f t="shared" si="53"/>
        <v>0</v>
      </c>
      <c r="R340" s="671">
        <f t="shared" si="54"/>
        <v>0</v>
      </c>
      <c r="S340" s="322">
        <f t="shared" si="45"/>
        <v>0</v>
      </c>
    </row>
    <row r="341" spans="1:19">
      <c r="A341" s="155"/>
      <c r="B341" s="57"/>
      <c r="C341" s="24">
        <f t="shared" si="46"/>
        <v>1</v>
      </c>
      <c r="D341" s="675"/>
      <c r="E341" s="24">
        <f t="shared" si="47"/>
        <v>1</v>
      </c>
      <c r="F341" s="675"/>
      <c r="G341" s="24">
        <f t="shared" si="48"/>
        <v>1</v>
      </c>
      <c r="H341" s="675"/>
      <c r="I341" s="24">
        <f t="shared" si="49"/>
        <v>1</v>
      </c>
      <c r="J341" s="675"/>
      <c r="K341" s="24">
        <f t="shared" si="50"/>
        <v>1</v>
      </c>
      <c r="L341" s="675"/>
      <c r="M341" s="24">
        <f t="shared" si="51"/>
        <v>1</v>
      </c>
      <c r="N341" s="675"/>
      <c r="O341" s="24">
        <f t="shared" si="52"/>
        <v>1</v>
      </c>
      <c r="P341" s="675"/>
      <c r="Q341" s="24">
        <f t="shared" si="53"/>
        <v>0</v>
      </c>
      <c r="R341" s="671">
        <f t="shared" si="54"/>
        <v>0</v>
      </c>
      <c r="S341" s="322">
        <f t="shared" si="45"/>
        <v>0</v>
      </c>
    </row>
    <row r="342" spans="1:19">
      <c r="A342" s="155"/>
      <c r="B342" s="57"/>
      <c r="C342" s="24">
        <f t="shared" si="46"/>
        <v>1</v>
      </c>
      <c r="D342" s="675"/>
      <c r="E342" s="24">
        <f t="shared" si="47"/>
        <v>1</v>
      </c>
      <c r="F342" s="675"/>
      <c r="G342" s="24">
        <f t="shared" si="48"/>
        <v>1</v>
      </c>
      <c r="H342" s="675"/>
      <c r="I342" s="24">
        <f t="shared" si="49"/>
        <v>1</v>
      </c>
      <c r="J342" s="675"/>
      <c r="K342" s="24">
        <f t="shared" si="50"/>
        <v>1</v>
      </c>
      <c r="L342" s="675"/>
      <c r="M342" s="24">
        <f t="shared" si="51"/>
        <v>1</v>
      </c>
      <c r="N342" s="675"/>
      <c r="O342" s="24">
        <f t="shared" si="52"/>
        <v>1</v>
      </c>
      <c r="P342" s="675"/>
      <c r="Q342" s="24">
        <f t="shared" si="53"/>
        <v>0</v>
      </c>
      <c r="R342" s="671">
        <f t="shared" si="54"/>
        <v>0</v>
      </c>
      <c r="S342" s="322">
        <f t="shared" si="45"/>
        <v>0</v>
      </c>
    </row>
    <row r="343" spans="1:19">
      <c r="A343" s="155"/>
      <c r="B343" s="57"/>
      <c r="C343" s="24">
        <f t="shared" si="46"/>
        <v>1</v>
      </c>
      <c r="D343" s="675"/>
      <c r="E343" s="24">
        <f t="shared" si="47"/>
        <v>1</v>
      </c>
      <c r="F343" s="675"/>
      <c r="G343" s="24">
        <f t="shared" si="48"/>
        <v>1</v>
      </c>
      <c r="H343" s="675"/>
      <c r="I343" s="24">
        <f t="shared" si="49"/>
        <v>1</v>
      </c>
      <c r="J343" s="675"/>
      <c r="K343" s="24">
        <f t="shared" si="50"/>
        <v>1</v>
      </c>
      <c r="L343" s="675"/>
      <c r="M343" s="24">
        <f t="shared" si="51"/>
        <v>1</v>
      </c>
      <c r="N343" s="675"/>
      <c r="O343" s="24">
        <f t="shared" si="52"/>
        <v>1</v>
      </c>
      <c r="P343" s="675"/>
      <c r="Q343" s="24">
        <f t="shared" si="53"/>
        <v>0</v>
      </c>
      <c r="R343" s="671">
        <f t="shared" si="54"/>
        <v>0</v>
      </c>
      <c r="S343" s="322">
        <f t="shared" si="45"/>
        <v>0</v>
      </c>
    </row>
    <row r="344" spans="1:19">
      <c r="A344" s="155"/>
      <c r="B344" s="57"/>
      <c r="C344" s="24">
        <f t="shared" si="46"/>
        <v>1</v>
      </c>
      <c r="D344" s="675"/>
      <c r="E344" s="24">
        <f t="shared" si="47"/>
        <v>1</v>
      </c>
      <c r="F344" s="675"/>
      <c r="G344" s="24">
        <f t="shared" si="48"/>
        <v>1</v>
      </c>
      <c r="H344" s="675"/>
      <c r="I344" s="24">
        <f t="shared" si="49"/>
        <v>1</v>
      </c>
      <c r="J344" s="675"/>
      <c r="K344" s="24">
        <f t="shared" si="50"/>
        <v>1</v>
      </c>
      <c r="L344" s="675"/>
      <c r="M344" s="24">
        <f t="shared" si="51"/>
        <v>1</v>
      </c>
      <c r="N344" s="675"/>
      <c r="O344" s="24">
        <f t="shared" si="52"/>
        <v>1</v>
      </c>
      <c r="P344" s="675"/>
      <c r="Q344" s="24">
        <f t="shared" si="53"/>
        <v>0</v>
      </c>
      <c r="R344" s="671">
        <f t="shared" si="54"/>
        <v>0</v>
      </c>
      <c r="S344" s="322">
        <f t="shared" ref="S344:S407" si="55">ROUND(R344*B344/10000,0)</f>
        <v>0</v>
      </c>
    </row>
    <row r="345" spans="1:19">
      <c r="A345" s="155"/>
      <c r="B345" s="57"/>
      <c r="C345" s="24">
        <f t="shared" si="46"/>
        <v>1</v>
      </c>
      <c r="D345" s="675"/>
      <c r="E345" s="24">
        <f t="shared" si="47"/>
        <v>1</v>
      </c>
      <c r="F345" s="675"/>
      <c r="G345" s="24">
        <f t="shared" si="48"/>
        <v>1</v>
      </c>
      <c r="H345" s="675"/>
      <c r="I345" s="24">
        <f t="shared" si="49"/>
        <v>1</v>
      </c>
      <c r="J345" s="675"/>
      <c r="K345" s="24">
        <f t="shared" si="50"/>
        <v>1</v>
      </c>
      <c r="L345" s="675"/>
      <c r="M345" s="24">
        <f t="shared" si="51"/>
        <v>1</v>
      </c>
      <c r="N345" s="675"/>
      <c r="O345" s="24">
        <f t="shared" si="52"/>
        <v>1</v>
      </c>
      <c r="P345" s="675"/>
      <c r="Q345" s="24">
        <f t="shared" si="53"/>
        <v>0</v>
      </c>
      <c r="R345" s="671">
        <f t="shared" si="54"/>
        <v>0</v>
      </c>
      <c r="S345" s="322">
        <f t="shared" si="55"/>
        <v>0</v>
      </c>
    </row>
    <row r="346" spans="1:19">
      <c r="A346" s="155"/>
      <c r="B346" s="57"/>
      <c r="C346" s="24">
        <f t="shared" ref="C346:C409" si="56">IF(B346="",1,(LOOKUP(B346,$3:$3,$4:$4)-LOOKUP($B$24,$3:$3,$4:$4)+100)/100)</f>
        <v>1</v>
      </c>
      <c r="D346" s="675"/>
      <c r="E346" s="24">
        <f t="shared" ref="E346:E409" si="57">(SUMIF($5:$5,D346,$6:$6)-SUMIF($5:$5,$D$24,$6:$6)+100)/100</f>
        <v>1</v>
      </c>
      <c r="F346" s="675"/>
      <c r="G346" s="24">
        <f t="shared" ref="G346:G409" si="58">(SUMIF($7:$7,F346,$8:$8)-SUMIF($7:$7,$F$24,$8:$8)+100)/100</f>
        <v>1</v>
      </c>
      <c r="H346" s="675"/>
      <c r="I346" s="24">
        <f t="shared" ref="I346:I409" si="59">(SUMIF($9:$9,H346,$10:$10)-SUMIF($9:$9,$H$24,$10:$10)+100)/100</f>
        <v>1</v>
      </c>
      <c r="J346" s="675"/>
      <c r="K346" s="24">
        <f t="shared" ref="K346:K409" si="60">(SUMIF($11:$11,J346,$12:$12)-SUMIF($11:$11,$J$24,$12:$12)+100)/100</f>
        <v>1</v>
      </c>
      <c r="L346" s="675"/>
      <c r="M346" s="24">
        <f t="shared" ref="M346:M409" si="61">(SUMIF($13:$13,L346,$14:$14)-SUMIF($13:$13,$L$24,$14:$14)+100)/100</f>
        <v>1</v>
      </c>
      <c r="N346" s="675"/>
      <c r="O346" s="24">
        <f t="shared" ref="O346:O409" si="62">(SUMIF($15:$15,N346,$16:$16)-SUMIF($15:$15,$N$24,$16:$16)+100)/100</f>
        <v>1</v>
      </c>
      <c r="P346" s="675"/>
      <c r="Q346" s="24">
        <f t="shared" ref="Q346:Q409" si="63">(SUMIF($17:$17,P346,$18:$18)-SUMIF($17:$17,$P$24,$18:$18)+100)/100</f>
        <v>0</v>
      </c>
      <c r="R346" s="671">
        <f t="shared" ref="R346:R409" si="64">IF(B346="",0,ROUND($R$24*C346*E346*G346*I346*K346*M346*O346*Q346,0))</f>
        <v>0</v>
      </c>
      <c r="S346" s="322">
        <f t="shared" si="55"/>
        <v>0</v>
      </c>
    </row>
    <row r="347" spans="1:19">
      <c r="A347" s="155"/>
      <c r="B347" s="57"/>
      <c r="C347" s="24">
        <f t="shared" si="56"/>
        <v>1</v>
      </c>
      <c r="D347" s="675"/>
      <c r="E347" s="24">
        <f t="shared" si="57"/>
        <v>1</v>
      </c>
      <c r="F347" s="675"/>
      <c r="G347" s="24">
        <f t="shared" si="58"/>
        <v>1</v>
      </c>
      <c r="H347" s="675"/>
      <c r="I347" s="24">
        <f t="shared" si="59"/>
        <v>1</v>
      </c>
      <c r="J347" s="675"/>
      <c r="K347" s="24">
        <f t="shared" si="60"/>
        <v>1</v>
      </c>
      <c r="L347" s="675"/>
      <c r="M347" s="24">
        <f t="shared" si="61"/>
        <v>1</v>
      </c>
      <c r="N347" s="675"/>
      <c r="O347" s="24">
        <f t="shared" si="62"/>
        <v>1</v>
      </c>
      <c r="P347" s="675"/>
      <c r="Q347" s="24">
        <f t="shared" si="63"/>
        <v>0</v>
      </c>
      <c r="R347" s="671">
        <f t="shared" si="64"/>
        <v>0</v>
      </c>
      <c r="S347" s="322">
        <f t="shared" si="55"/>
        <v>0</v>
      </c>
    </row>
    <row r="348" spans="1:19">
      <c r="A348" s="155"/>
      <c r="B348" s="57"/>
      <c r="C348" s="24">
        <f t="shared" si="56"/>
        <v>1</v>
      </c>
      <c r="D348" s="675"/>
      <c r="E348" s="24">
        <f t="shared" si="57"/>
        <v>1</v>
      </c>
      <c r="F348" s="675"/>
      <c r="G348" s="24">
        <f t="shared" si="58"/>
        <v>1</v>
      </c>
      <c r="H348" s="675"/>
      <c r="I348" s="24">
        <f t="shared" si="59"/>
        <v>1</v>
      </c>
      <c r="J348" s="675"/>
      <c r="K348" s="24">
        <f t="shared" si="60"/>
        <v>1</v>
      </c>
      <c r="L348" s="675"/>
      <c r="M348" s="24">
        <f t="shared" si="61"/>
        <v>1</v>
      </c>
      <c r="N348" s="675"/>
      <c r="O348" s="24">
        <f t="shared" si="62"/>
        <v>1</v>
      </c>
      <c r="P348" s="675"/>
      <c r="Q348" s="24">
        <f t="shared" si="63"/>
        <v>0</v>
      </c>
      <c r="R348" s="671">
        <f t="shared" si="64"/>
        <v>0</v>
      </c>
      <c r="S348" s="322">
        <f t="shared" si="55"/>
        <v>0</v>
      </c>
    </row>
    <row r="349" spans="1:19">
      <c r="A349" s="155"/>
      <c r="B349" s="57"/>
      <c r="C349" s="24">
        <f t="shared" si="56"/>
        <v>1</v>
      </c>
      <c r="D349" s="675"/>
      <c r="E349" s="24">
        <f t="shared" si="57"/>
        <v>1</v>
      </c>
      <c r="F349" s="675"/>
      <c r="G349" s="24">
        <f t="shared" si="58"/>
        <v>1</v>
      </c>
      <c r="H349" s="675"/>
      <c r="I349" s="24">
        <f t="shared" si="59"/>
        <v>1</v>
      </c>
      <c r="J349" s="675"/>
      <c r="K349" s="24">
        <f t="shared" si="60"/>
        <v>1</v>
      </c>
      <c r="L349" s="675"/>
      <c r="M349" s="24">
        <f t="shared" si="61"/>
        <v>1</v>
      </c>
      <c r="N349" s="675"/>
      <c r="O349" s="24">
        <f t="shared" si="62"/>
        <v>1</v>
      </c>
      <c r="P349" s="675"/>
      <c r="Q349" s="24">
        <f t="shared" si="63"/>
        <v>0</v>
      </c>
      <c r="R349" s="671">
        <f t="shared" si="64"/>
        <v>0</v>
      </c>
      <c r="S349" s="322">
        <f t="shared" si="55"/>
        <v>0</v>
      </c>
    </row>
    <row r="350" spans="1:19">
      <c r="A350" s="155"/>
      <c r="B350" s="57"/>
      <c r="C350" s="24">
        <f t="shared" si="56"/>
        <v>1</v>
      </c>
      <c r="D350" s="675"/>
      <c r="E350" s="24">
        <f t="shared" si="57"/>
        <v>1</v>
      </c>
      <c r="F350" s="675"/>
      <c r="G350" s="24">
        <f t="shared" si="58"/>
        <v>1</v>
      </c>
      <c r="H350" s="675"/>
      <c r="I350" s="24">
        <f t="shared" si="59"/>
        <v>1</v>
      </c>
      <c r="J350" s="675"/>
      <c r="K350" s="24">
        <f t="shared" si="60"/>
        <v>1</v>
      </c>
      <c r="L350" s="675"/>
      <c r="M350" s="24">
        <f t="shared" si="61"/>
        <v>1</v>
      </c>
      <c r="N350" s="675"/>
      <c r="O350" s="24">
        <f t="shared" si="62"/>
        <v>1</v>
      </c>
      <c r="P350" s="675"/>
      <c r="Q350" s="24">
        <f t="shared" si="63"/>
        <v>0</v>
      </c>
      <c r="R350" s="671">
        <f t="shared" si="64"/>
        <v>0</v>
      </c>
      <c r="S350" s="322">
        <f t="shared" si="55"/>
        <v>0</v>
      </c>
    </row>
    <row r="351" spans="1:19">
      <c r="A351" s="155"/>
      <c r="B351" s="57"/>
      <c r="C351" s="24">
        <f t="shared" si="56"/>
        <v>1</v>
      </c>
      <c r="D351" s="675"/>
      <c r="E351" s="24">
        <f t="shared" si="57"/>
        <v>1</v>
      </c>
      <c r="F351" s="675"/>
      <c r="G351" s="24">
        <f t="shared" si="58"/>
        <v>1</v>
      </c>
      <c r="H351" s="675"/>
      <c r="I351" s="24">
        <f t="shared" si="59"/>
        <v>1</v>
      </c>
      <c r="J351" s="675"/>
      <c r="K351" s="24">
        <f t="shared" si="60"/>
        <v>1</v>
      </c>
      <c r="L351" s="675"/>
      <c r="M351" s="24">
        <f t="shared" si="61"/>
        <v>1</v>
      </c>
      <c r="N351" s="675"/>
      <c r="O351" s="24">
        <f t="shared" si="62"/>
        <v>1</v>
      </c>
      <c r="P351" s="675"/>
      <c r="Q351" s="24">
        <f t="shared" si="63"/>
        <v>0</v>
      </c>
      <c r="R351" s="671">
        <f t="shared" si="64"/>
        <v>0</v>
      </c>
      <c r="S351" s="322">
        <f t="shared" si="55"/>
        <v>0</v>
      </c>
    </row>
    <row r="352" spans="1:19">
      <c r="A352" s="155"/>
      <c r="B352" s="57"/>
      <c r="C352" s="24">
        <f t="shared" si="56"/>
        <v>1</v>
      </c>
      <c r="D352" s="675"/>
      <c r="E352" s="24">
        <f t="shared" si="57"/>
        <v>1</v>
      </c>
      <c r="F352" s="675"/>
      <c r="G352" s="24">
        <f t="shared" si="58"/>
        <v>1</v>
      </c>
      <c r="H352" s="675"/>
      <c r="I352" s="24">
        <f t="shared" si="59"/>
        <v>1</v>
      </c>
      <c r="J352" s="675"/>
      <c r="K352" s="24">
        <f t="shared" si="60"/>
        <v>1</v>
      </c>
      <c r="L352" s="675"/>
      <c r="M352" s="24">
        <f t="shared" si="61"/>
        <v>1</v>
      </c>
      <c r="N352" s="675"/>
      <c r="O352" s="24">
        <f t="shared" si="62"/>
        <v>1</v>
      </c>
      <c r="P352" s="675"/>
      <c r="Q352" s="24">
        <f t="shared" si="63"/>
        <v>0</v>
      </c>
      <c r="R352" s="671">
        <f t="shared" si="64"/>
        <v>0</v>
      </c>
      <c r="S352" s="322">
        <f t="shared" si="55"/>
        <v>0</v>
      </c>
    </row>
    <row r="353" spans="1:19">
      <c r="A353" s="155"/>
      <c r="B353" s="57"/>
      <c r="C353" s="24">
        <f t="shared" si="56"/>
        <v>1</v>
      </c>
      <c r="D353" s="675"/>
      <c r="E353" s="24">
        <f t="shared" si="57"/>
        <v>1</v>
      </c>
      <c r="F353" s="675"/>
      <c r="G353" s="24">
        <f t="shared" si="58"/>
        <v>1</v>
      </c>
      <c r="H353" s="675"/>
      <c r="I353" s="24">
        <f t="shared" si="59"/>
        <v>1</v>
      </c>
      <c r="J353" s="675"/>
      <c r="K353" s="24">
        <f t="shared" si="60"/>
        <v>1</v>
      </c>
      <c r="L353" s="675"/>
      <c r="M353" s="24">
        <f t="shared" si="61"/>
        <v>1</v>
      </c>
      <c r="N353" s="675"/>
      <c r="O353" s="24">
        <f t="shared" si="62"/>
        <v>1</v>
      </c>
      <c r="P353" s="675"/>
      <c r="Q353" s="24">
        <f t="shared" si="63"/>
        <v>0</v>
      </c>
      <c r="R353" s="671">
        <f t="shared" si="64"/>
        <v>0</v>
      </c>
      <c r="S353" s="322">
        <f t="shared" si="55"/>
        <v>0</v>
      </c>
    </row>
    <row r="354" spans="1:19">
      <c r="A354" s="155"/>
      <c r="B354" s="57"/>
      <c r="C354" s="24">
        <f t="shared" si="56"/>
        <v>1</v>
      </c>
      <c r="D354" s="675"/>
      <c r="E354" s="24">
        <f t="shared" si="57"/>
        <v>1</v>
      </c>
      <c r="F354" s="675"/>
      <c r="G354" s="24">
        <f t="shared" si="58"/>
        <v>1</v>
      </c>
      <c r="H354" s="675"/>
      <c r="I354" s="24">
        <f t="shared" si="59"/>
        <v>1</v>
      </c>
      <c r="J354" s="675"/>
      <c r="K354" s="24">
        <f t="shared" si="60"/>
        <v>1</v>
      </c>
      <c r="L354" s="675"/>
      <c r="M354" s="24">
        <f t="shared" si="61"/>
        <v>1</v>
      </c>
      <c r="N354" s="675"/>
      <c r="O354" s="24">
        <f t="shared" si="62"/>
        <v>1</v>
      </c>
      <c r="P354" s="675"/>
      <c r="Q354" s="24">
        <f t="shared" si="63"/>
        <v>0</v>
      </c>
      <c r="R354" s="671">
        <f t="shared" si="64"/>
        <v>0</v>
      </c>
      <c r="S354" s="322">
        <f t="shared" si="55"/>
        <v>0</v>
      </c>
    </row>
    <row r="355" spans="1:19">
      <c r="A355" s="155"/>
      <c r="B355" s="57"/>
      <c r="C355" s="24">
        <f t="shared" si="56"/>
        <v>1</v>
      </c>
      <c r="D355" s="675"/>
      <c r="E355" s="24">
        <f t="shared" si="57"/>
        <v>1</v>
      </c>
      <c r="F355" s="675"/>
      <c r="G355" s="24">
        <f t="shared" si="58"/>
        <v>1</v>
      </c>
      <c r="H355" s="675"/>
      <c r="I355" s="24">
        <f t="shared" si="59"/>
        <v>1</v>
      </c>
      <c r="J355" s="675"/>
      <c r="K355" s="24">
        <f t="shared" si="60"/>
        <v>1</v>
      </c>
      <c r="L355" s="675"/>
      <c r="M355" s="24">
        <f t="shared" si="61"/>
        <v>1</v>
      </c>
      <c r="N355" s="675"/>
      <c r="O355" s="24">
        <f t="shared" si="62"/>
        <v>1</v>
      </c>
      <c r="P355" s="675"/>
      <c r="Q355" s="24">
        <f t="shared" si="63"/>
        <v>0</v>
      </c>
      <c r="R355" s="671">
        <f t="shared" si="64"/>
        <v>0</v>
      </c>
      <c r="S355" s="322">
        <f t="shared" si="55"/>
        <v>0</v>
      </c>
    </row>
    <row r="356" spans="1:19">
      <c r="A356" s="155"/>
      <c r="B356" s="57"/>
      <c r="C356" s="24">
        <f t="shared" si="56"/>
        <v>1</v>
      </c>
      <c r="D356" s="675"/>
      <c r="E356" s="24">
        <f t="shared" si="57"/>
        <v>1</v>
      </c>
      <c r="F356" s="675"/>
      <c r="G356" s="24">
        <f t="shared" si="58"/>
        <v>1</v>
      </c>
      <c r="H356" s="675"/>
      <c r="I356" s="24">
        <f t="shared" si="59"/>
        <v>1</v>
      </c>
      <c r="J356" s="675"/>
      <c r="K356" s="24">
        <f t="shared" si="60"/>
        <v>1</v>
      </c>
      <c r="L356" s="675"/>
      <c r="M356" s="24">
        <f t="shared" si="61"/>
        <v>1</v>
      </c>
      <c r="N356" s="675"/>
      <c r="O356" s="24">
        <f t="shared" si="62"/>
        <v>1</v>
      </c>
      <c r="P356" s="675"/>
      <c r="Q356" s="24">
        <f t="shared" si="63"/>
        <v>0</v>
      </c>
      <c r="R356" s="671">
        <f t="shared" si="64"/>
        <v>0</v>
      </c>
      <c r="S356" s="322">
        <f t="shared" si="55"/>
        <v>0</v>
      </c>
    </row>
    <row r="357" spans="1:19">
      <c r="A357" s="155"/>
      <c r="B357" s="57"/>
      <c r="C357" s="24">
        <f t="shared" si="56"/>
        <v>1</v>
      </c>
      <c r="D357" s="675"/>
      <c r="E357" s="24">
        <f t="shared" si="57"/>
        <v>1</v>
      </c>
      <c r="F357" s="675"/>
      <c r="G357" s="24">
        <f t="shared" si="58"/>
        <v>1</v>
      </c>
      <c r="H357" s="675"/>
      <c r="I357" s="24">
        <f t="shared" si="59"/>
        <v>1</v>
      </c>
      <c r="J357" s="675"/>
      <c r="K357" s="24">
        <f t="shared" si="60"/>
        <v>1</v>
      </c>
      <c r="L357" s="675"/>
      <c r="M357" s="24">
        <f t="shared" si="61"/>
        <v>1</v>
      </c>
      <c r="N357" s="675"/>
      <c r="O357" s="24">
        <f t="shared" si="62"/>
        <v>1</v>
      </c>
      <c r="P357" s="675"/>
      <c r="Q357" s="24">
        <f t="shared" si="63"/>
        <v>0</v>
      </c>
      <c r="R357" s="671">
        <f t="shared" si="64"/>
        <v>0</v>
      </c>
      <c r="S357" s="322">
        <f t="shared" si="55"/>
        <v>0</v>
      </c>
    </row>
    <row r="358" spans="1:19">
      <c r="A358" s="155"/>
      <c r="B358" s="57"/>
      <c r="C358" s="24">
        <f t="shared" si="56"/>
        <v>1</v>
      </c>
      <c r="D358" s="675"/>
      <c r="E358" s="24">
        <f t="shared" si="57"/>
        <v>1</v>
      </c>
      <c r="F358" s="675"/>
      <c r="G358" s="24">
        <f t="shared" si="58"/>
        <v>1</v>
      </c>
      <c r="H358" s="675"/>
      <c r="I358" s="24">
        <f t="shared" si="59"/>
        <v>1</v>
      </c>
      <c r="J358" s="675"/>
      <c r="K358" s="24">
        <f t="shared" si="60"/>
        <v>1</v>
      </c>
      <c r="L358" s="675"/>
      <c r="M358" s="24">
        <f t="shared" si="61"/>
        <v>1</v>
      </c>
      <c r="N358" s="675"/>
      <c r="O358" s="24">
        <f t="shared" si="62"/>
        <v>1</v>
      </c>
      <c r="P358" s="675"/>
      <c r="Q358" s="24">
        <f t="shared" si="63"/>
        <v>0</v>
      </c>
      <c r="R358" s="671">
        <f t="shared" si="64"/>
        <v>0</v>
      </c>
      <c r="S358" s="322">
        <f t="shared" si="55"/>
        <v>0</v>
      </c>
    </row>
    <row r="359" spans="1:19">
      <c r="A359" s="155"/>
      <c r="B359" s="57"/>
      <c r="C359" s="24">
        <f t="shared" si="56"/>
        <v>1</v>
      </c>
      <c r="D359" s="675"/>
      <c r="E359" s="24">
        <f t="shared" si="57"/>
        <v>1</v>
      </c>
      <c r="F359" s="675"/>
      <c r="G359" s="24">
        <f t="shared" si="58"/>
        <v>1</v>
      </c>
      <c r="H359" s="675"/>
      <c r="I359" s="24">
        <f t="shared" si="59"/>
        <v>1</v>
      </c>
      <c r="J359" s="675"/>
      <c r="K359" s="24">
        <f t="shared" si="60"/>
        <v>1</v>
      </c>
      <c r="L359" s="675"/>
      <c r="M359" s="24">
        <f t="shared" si="61"/>
        <v>1</v>
      </c>
      <c r="N359" s="675"/>
      <c r="O359" s="24">
        <f t="shared" si="62"/>
        <v>1</v>
      </c>
      <c r="P359" s="675"/>
      <c r="Q359" s="24">
        <f t="shared" si="63"/>
        <v>0</v>
      </c>
      <c r="R359" s="671">
        <f t="shared" si="64"/>
        <v>0</v>
      </c>
      <c r="S359" s="322">
        <f t="shared" si="55"/>
        <v>0</v>
      </c>
    </row>
    <row r="360" spans="1:19">
      <c r="A360" s="155"/>
      <c r="B360" s="57"/>
      <c r="C360" s="24">
        <f t="shared" si="56"/>
        <v>1</v>
      </c>
      <c r="D360" s="675"/>
      <c r="E360" s="24">
        <f t="shared" si="57"/>
        <v>1</v>
      </c>
      <c r="F360" s="675"/>
      <c r="G360" s="24">
        <f t="shared" si="58"/>
        <v>1</v>
      </c>
      <c r="H360" s="675"/>
      <c r="I360" s="24">
        <f t="shared" si="59"/>
        <v>1</v>
      </c>
      <c r="J360" s="675"/>
      <c r="K360" s="24">
        <f t="shared" si="60"/>
        <v>1</v>
      </c>
      <c r="L360" s="675"/>
      <c r="M360" s="24">
        <f t="shared" si="61"/>
        <v>1</v>
      </c>
      <c r="N360" s="675"/>
      <c r="O360" s="24">
        <f t="shared" si="62"/>
        <v>1</v>
      </c>
      <c r="P360" s="675"/>
      <c r="Q360" s="24">
        <f t="shared" si="63"/>
        <v>0</v>
      </c>
      <c r="R360" s="671">
        <f t="shared" si="64"/>
        <v>0</v>
      </c>
      <c r="S360" s="322">
        <f t="shared" si="55"/>
        <v>0</v>
      </c>
    </row>
    <row r="361" spans="1:19">
      <c r="A361" s="155"/>
      <c r="B361" s="57"/>
      <c r="C361" s="24">
        <f t="shared" si="56"/>
        <v>1</v>
      </c>
      <c r="D361" s="675"/>
      <c r="E361" s="24">
        <f t="shared" si="57"/>
        <v>1</v>
      </c>
      <c r="F361" s="675"/>
      <c r="G361" s="24">
        <f t="shared" si="58"/>
        <v>1</v>
      </c>
      <c r="H361" s="675"/>
      <c r="I361" s="24">
        <f t="shared" si="59"/>
        <v>1</v>
      </c>
      <c r="J361" s="675"/>
      <c r="K361" s="24">
        <f t="shared" si="60"/>
        <v>1</v>
      </c>
      <c r="L361" s="675"/>
      <c r="M361" s="24">
        <f t="shared" si="61"/>
        <v>1</v>
      </c>
      <c r="N361" s="675"/>
      <c r="O361" s="24">
        <f t="shared" si="62"/>
        <v>1</v>
      </c>
      <c r="P361" s="675"/>
      <c r="Q361" s="24">
        <f t="shared" si="63"/>
        <v>0</v>
      </c>
      <c r="R361" s="671">
        <f t="shared" si="64"/>
        <v>0</v>
      </c>
      <c r="S361" s="322">
        <f t="shared" si="55"/>
        <v>0</v>
      </c>
    </row>
    <row r="362" spans="1:19">
      <c r="A362" s="155"/>
      <c r="B362" s="57"/>
      <c r="C362" s="24">
        <f t="shared" si="56"/>
        <v>1</v>
      </c>
      <c r="D362" s="675"/>
      <c r="E362" s="24">
        <f t="shared" si="57"/>
        <v>1</v>
      </c>
      <c r="F362" s="675"/>
      <c r="G362" s="24">
        <f t="shared" si="58"/>
        <v>1</v>
      </c>
      <c r="H362" s="675"/>
      <c r="I362" s="24">
        <f t="shared" si="59"/>
        <v>1</v>
      </c>
      <c r="J362" s="675"/>
      <c r="K362" s="24">
        <f t="shared" si="60"/>
        <v>1</v>
      </c>
      <c r="L362" s="675"/>
      <c r="M362" s="24">
        <f t="shared" si="61"/>
        <v>1</v>
      </c>
      <c r="N362" s="675"/>
      <c r="O362" s="24">
        <f t="shared" si="62"/>
        <v>1</v>
      </c>
      <c r="P362" s="675"/>
      <c r="Q362" s="24">
        <f t="shared" si="63"/>
        <v>0</v>
      </c>
      <c r="R362" s="671">
        <f t="shared" si="64"/>
        <v>0</v>
      </c>
      <c r="S362" s="322">
        <f t="shared" si="55"/>
        <v>0</v>
      </c>
    </row>
    <row r="363" spans="1:19">
      <c r="A363" s="155"/>
      <c r="B363" s="57"/>
      <c r="C363" s="24">
        <f t="shared" si="56"/>
        <v>1</v>
      </c>
      <c r="D363" s="675"/>
      <c r="E363" s="24">
        <f t="shared" si="57"/>
        <v>1</v>
      </c>
      <c r="F363" s="675"/>
      <c r="G363" s="24">
        <f t="shared" si="58"/>
        <v>1</v>
      </c>
      <c r="H363" s="675"/>
      <c r="I363" s="24">
        <f t="shared" si="59"/>
        <v>1</v>
      </c>
      <c r="J363" s="675"/>
      <c r="K363" s="24">
        <f t="shared" si="60"/>
        <v>1</v>
      </c>
      <c r="L363" s="675"/>
      <c r="M363" s="24">
        <f t="shared" si="61"/>
        <v>1</v>
      </c>
      <c r="N363" s="675"/>
      <c r="O363" s="24">
        <f t="shared" si="62"/>
        <v>1</v>
      </c>
      <c r="P363" s="675"/>
      <c r="Q363" s="24">
        <f t="shared" si="63"/>
        <v>0</v>
      </c>
      <c r="R363" s="671">
        <f t="shared" si="64"/>
        <v>0</v>
      </c>
      <c r="S363" s="322">
        <f t="shared" si="55"/>
        <v>0</v>
      </c>
    </row>
    <row r="364" spans="1:19">
      <c r="A364" s="155"/>
      <c r="B364" s="57"/>
      <c r="C364" s="24">
        <f t="shared" si="56"/>
        <v>1</v>
      </c>
      <c r="D364" s="675"/>
      <c r="E364" s="24">
        <f t="shared" si="57"/>
        <v>1</v>
      </c>
      <c r="F364" s="675"/>
      <c r="G364" s="24">
        <f t="shared" si="58"/>
        <v>1</v>
      </c>
      <c r="H364" s="675"/>
      <c r="I364" s="24">
        <f t="shared" si="59"/>
        <v>1</v>
      </c>
      <c r="J364" s="675"/>
      <c r="K364" s="24">
        <f t="shared" si="60"/>
        <v>1</v>
      </c>
      <c r="L364" s="675"/>
      <c r="M364" s="24">
        <f t="shared" si="61"/>
        <v>1</v>
      </c>
      <c r="N364" s="675"/>
      <c r="O364" s="24">
        <f t="shared" si="62"/>
        <v>1</v>
      </c>
      <c r="P364" s="675"/>
      <c r="Q364" s="24">
        <f t="shared" si="63"/>
        <v>0</v>
      </c>
      <c r="R364" s="671">
        <f t="shared" si="64"/>
        <v>0</v>
      </c>
      <c r="S364" s="322">
        <f t="shared" si="55"/>
        <v>0</v>
      </c>
    </row>
    <row r="365" spans="1:19">
      <c r="A365" s="155"/>
      <c r="B365" s="57"/>
      <c r="C365" s="24">
        <f t="shared" si="56"/>
        <v>1</v>
      </c>
      <c r="D365" s="675"/>
      <c r="E365" s="24">
        <f t="shared" si="57"/>
        <v>1</v>
      </c>
      <c r="F365" s="675"/>
      <c r="G365" s="24">
        <f t="shared" si="58"/>
        <v>1</v>
      </c>
      <c r="H365" s="675"/>
      <c r="I365" s="24">
        <f t="shared" si="59"/>
        <v>1</v>
      </c>
      <c r="J365" s="675"/>
      <c r="K365" s="24">
        <f t="shared" si="60"/>
        <v>1</v>
      </c>
      <c r="L365" s="675"/>
      <c r="M365" s="24">
        <f t="shared" si="61"/>
        <v>1</v>
      </c>
      <c r="N365" s="675"/>
      <c r="O365" s="24">
        <f t="shared" si="62"/>
        <v>1</v>
      </c>
      <c r="P365" s="675"/>
      <c r="Q365" s="24">
        <f t="shared" si="63"/>
        <v>0</v>
      </c>
      <c r="R365" s="671">
        <f t="shared" si="64"/>
        <v>0</v>
      </c>
      <c r="S365" s="322">
        <f t="shared" si="55"/>
        <v>0</v>
      </c>
    </row>
    <row r="366" spans="1:19">
      <c r="A366" s="155"/>
      <c r="B366" s="57"/>
      <c r="C366" s="24">
        <f t="shared" si="56"/>
        <v>1</v>
      </c>
      <c r="D366" s="675"/>
      <c r="E366" s="24">
        <f t="shared" si="57"/>
        <v>1</v>
      </c>
      <c r="F366" s="675"/>
      <c r="G366" s="24">
        <f t="shared" si="58"/>
        <v>1</v>
      </c>
      <c r="H366" s="675"/>
      <c r="I366" s="24">
        <f t="shared" si="59"/>
        <v>1</v>
      </c>
      <c r="J366" s="675"/>
      <c r="K366" s="24">
        <f t="shared" si="60"/>
        <v>1</v>
      </c>
      <c r="L366" s="675"/>
      <c r="M366" s="24">
        <f t="shared" si="61"/>
        <v>1</v>
      </c>
      <c r="N366" s="675"/>
      <c r="O366" s="24">
        <f t="shared" si="62"/>
        <v>1</v>
      </c>
      <c r="P366" s="675"/>
      <c r="Q366" s="24">
        <f t="shared" si="63"/>
        <v>0</v>
      </c>
      <c r="R366" s="671">
        <f t="shared" si="64"/>
        <v>0</v>
      </c>
      <c r="S366" s="322">
        <f t="shared" si="55"/>
        <v>0</v>
      </c>
    </row>
    <row r="367" spans="1:19">
      <c r="A367" s="155"/>
      <c r="B367" s="57"/>
      <c r="C367" s="24">
        <f t="shared" si="56"/>
        <v>1</v>
      </c>
      <c r="D367" s="675"/>
      <c r="E367" s="24">
        <f t="shared" si="57"/>
        <v>1</v>
      </c>
      <c r="F367" s="675"/>
      <c r="G367" s="24">
        <f t="shared" si="58"/>
        <v>1</v>
      </c>
      <c r="H367" s="675"/>
      <c r="I367" s="24">
        <f t="shared" si="59"/>
        <v>1</v>
      </c>
      <c r="J367" s="675"/>
      <c r="K367" s="24">
        <f t="shared" si="60"/>
        <v>1</v>
      </c>
      <c r="L367" s="675"/>
      <c r="M367" s="24">
        <f t="shared" si="61"/>
        <v>1</v>
      </c>
      <c r="N367" s="675"/>
      <c r="O367" s="24">
        <f t="shared" si="62"/>
        <v>1</v>
      </c>
      <c r="P367" s="675"/>
      <c r="Q367" s="24">
        <f t="shared" si="63"/>
        <v>0</v>
      </c>
      <c r="R367" s="671">
        <f t="shared" si="64"/>
        <v>0</v>
      </c>
      <c r="S367" s="322">
        <f t="shared" si="55"/>
        <v>0</v>
      </c>
    </row>
    <row r="368" spans="1:19">
      <c r="A368" s="155"/>
      <c r="B368" s="57"/>
      <c r="C368" s="24">
        <f t="shared" si="56"/>
        <v>1</v>
      </c>
      <c r="D368" s="675"/>
      <c r="E368" s="24">
        <f t="shared" si="57"/>
        <v>1</v>
      </c>
      <c r="F368" s="675"/>
      <c r="G368" s="24">
        <f t="shared" si="58"/>
        <v>1</v>
      </c>
      <c r="H368" s="675"/>
      <c r="I368" s="24">
        <f t="shared" si="59"/>
        <v>1</v>
      </c>
      <c r="J368" s="675"/>
      <c r="K368" s="24">
        <f t="shared" si="60"/>
        <v>1</v>
      </c>
      <c r="L368" s="675"/>
      <c r="M368" s="24">
        <f t="shared" si="61"/>
        <v>1</v>
      </c>
      <c r="N368" s="675"/>
      <c r="O368" s="24">
        <f t="shared" si="62"/>
        <v>1</v>
      </c>
      <c r="P368" s="675"/>
      <c r="Q368" s="24">
        <f t="shared" si="63"/>
        <v>0</v>
      </c>
      <c r="R368" s="671">
        <f t="shared" si="64"/>
        <v>0</v>
      </c>
      <c r="S368" s="322">
        <f t="shared" si="55"/>
        <v>0</v>
      </c>
    </row>
    <row r="369" spans="1:19">
      <c r="A369" s="155"/>
      <c r="B369" s="57"/>
      <c r="C369" s="24">
        <f t="shared" si="56"/>
        <v>1</v>
      </c>
      <c r="D369" s="675"/>
      <c r="E369" s="24">
        <f t="shared" si="57"/>
        <v>1</v>
      </c>
      <c r="F369" s="675"/>
      <c r="G369" s="24">
        <f t="shared" si="58"/>
        <v>1</v>
      </c>
      <c r="H369" s="675"/>
      <c r="I369" s="24">
        <f t="shared" si="59"/>
        <v>1</v>
      </c>
      <c r="J369" s="675"/>
      <c r="K369" s="24">
        <f t="shared" si="60"/>
        <v>1</v>
      </c>
      <c r="L369" s="675"/>
      <c r="M369" s="24">
        <f t="shared" si="61"/>
        <v>1</v>
      </c>
      <c r="N369" s="675"/>
      <c r="O369" s="24">
        <f t="shared" si="62"/>
        <v>1</v>
      </c>
      <c r="P369" s="675"/>
      <c r="Q369" s="24">
        <f t="shared" si="63"/>
        <v>0</v>
      </c>
      <c r="R369" s="671">
        <f t="shared" si="64"/>
        <v>0</v>
      </c>
      <c r="S369" s="322">
        <f t="shared" si="55"/>
        <v>0</v>
      </c>
    </row>
    <row r="370" spans="1:19">
      <c r="A370" s="155"/>
      <c r="B370" s="57"/>
      <c r="C370" s="24">
        <f t="shared" si="56"/>
        <v>1</v>
      </c>
      <c r="D370" s="675"/>
      <c r="E370" s="24">
        <f t="shared" si="57"/>
        <v>1</v>
      </c>
      <c r="F370" s="675"/>
      <c r="G370" s="24">
        <f t="shared" si="58"/>
        <v>1</v>
      </c>
      <c r="H370" s="675"/>
      <c r="I370" s="24">
        <f t="shared" si="59"/>
        <v>1</v>
      </c>
      <c r="J370" s="675"/>
      <c r="K370" s="24">
        <f t="shared" si="60"/>
        <v>1</v>
      </c>
      <c r="L370" s="675"/>
      <c r="M370" s="24">
        <f t="shared" si="61"/>
        <v>1</v>
      </c>
      <c r="N370" s="675"/>
      <c r="O370" s="24">
        <f t="shared" si="62"/>
        <v>1</v>
      </c>
      <c r="P370" s="675"/>
      <c r="Q370" s="24">
        <f t="shared" si="63"/>
        <v>0</v>
      </c>
      <c r="R370" s="671">
        <f t="shared" si="64"/>
        <v>0</v>
      </c>
      <c r="S370" s="322">
        <f t="shared" si="55"/>
        <v>0</v>
      </c>
    </row>
    <row r="371" spans="1:19">
      <c r="A371" s="155"/>
      <c r="B371" s="57"/>
      <c r="C371" s="24">
        <f t="shared" si="56"/>
        <v>1</v>
      </c>
      <c r="D371" s="675"/>
      <c r="E371" s="24">
        <f t="shared" si="57"/>
        <v>1</v>
      </c>
      <c r="F371" s="675"/>
      <c r="G371" s="24">
        <f t="shared" si="58"/>
        <v>1</v>
      </c>
      <c r="H371" s="675"/>
      <c r="I371" s="24">
        <f t="shared" si="59"/>
        <v>1</v>
      </c>
      <c r="J371" s="675"/>
      <c r="K371" s="24">
        <f t="shared" si="60"/>
        <v>1</v>
      </c>
      <c r="L371" s="675"/>
      <c r="M371" s="24">
        <f t="shared" si="61"/>
        <v>1</v>
      </c>
      <c r="N371" s="675"/>
      <c r="O371" s="24">
        <f t="shared" si="62"/>
        <v>1</v>
      </c>
      <c r="P371" s="675"/>
      <c r="Q371" s="24">
        <f t="shared" si="63"/>
        <v>0</v>
      </c>
      <c r="R371" s="671">
        <f t="shared" si="64"/>
        <v>0</v>
      </c>
      <c r="S371" s="322">
        <f t="shared" si="55"/>
        <v>0</v>
      </c>
    </row>
    <row r="372" spans="1:19">
      <c r="A372" s="155"/>
      <c r="B372" s="57"/>
      <c r="C372" s="24">
        <f t="shared" si="56"/>
        <v>1</v>
      </c>
      <c r="D372" s="675"/>
      <c r="E372" s="24">
        <f t="shared" si="57"/>
        <v>1</v>
      </c>
      <c r="F372" s="675"/>
      <c r="G372" s="24">
        <f t="shared" si="58"/>
        <v>1</v>
      </c>
      <c r="H372" s="675"/>
      <c r="I372" s="24">
        <f t="shared" si="59"/>
        <v>1</v>
      </c>
      <c r="J372" s="675"/>
      <c r="K372" s="24">
        <f t="shared" si="60"/>
        <v>1</v>
      </c>
      <c r="L372" s="675"/>
      <c r="M372" s="24">
        <f t="shared" si="61"/>
        <v>1</v>
      </c>
      <c r="N372" s="675"/>
      <c r="O372" s="24">
        <f t="shared" si="62"/>
        <v>1</v>
      </c>
      <c r="P372" s="675"/>
      <c r="Q372" s="24">
        <f t="shared" si="63"/>
        <v>0</v>
      </c>
      <c r="R372" s="671">
        <f t="shared" si="64"/>
        <v>0</v>
      </c>
      <c r="S372" s="322">
        <f t="shared" si="55"/>
        <v>0</v>
      </c>
    </row>
    <row r="373" spans="1:19">
      <c r="A373" s="155"/>
      <c r="B373" s="57"/>
      <c r="C373" s="24">
        <f t="shared" si="56"/>
        <v>1</v>
      </c>
      <c r="D373" s="675"/>
      <c r="E373" s="24">
        <f t="shared" si="57"/>
        <v>1</v>
      </c>
      <c r="F373" s="675"/>
      <c r="G373" s="24">
        <f t="shared" si="58"/>
        <v>1</v>
      </c>
      <c r="H373" s="675"/>
      <c r="I373" s="24">
        <f t="shared" si="59"/>
        <v>1</v>
      </c>
      <c r="J373" s="675"/>
      <c r="K373" s="24">
        <f t="shared" si="60"/>
        <v>1</v>
      </c>
      <c r="L373" s="675"/>
      <c r="M373" s="24">
        <f t="shared" si="61"/>
        <v>1</v>
      </c>
      <c r="N373" s="675"/>
      <c r="O373" s="24">
        <f t="shared" si="62"/>
        <v>1</v>
      </c>
      <c r="P373" s="675"/>
      <c r="Q373" s="24">
        <f t="shared" si="63"/>
        <v>0</v>
      </c>
      <c r="R373" s="671">
        <f t="shared" si="64"/>
        <v>0</v>
      </c>
      <c r="S373" s="322">
        <f t="shared" si="55"/>
        <v>0</v>
      </c>
    </row>
    <row r="374" spans="1:19">
      <c r="A374" s="155"/>
      <c r="B374" s="57"/>
      <c r="C374" s="24">
        <f t="shared" si="56"/>
        <v>1</v>
      </c>
      <c r="D374" s="675"/>
      <c r="E374" s="24">
        <f t="shared" si="57"/>
        <v>1</v>
      </c>
      <c r="F374" s="675"/>
      <c r="G374" s="24">
        <f t="shared" si="58"/>
        <v>1</v>
      </c>
      <c r="H374" s="675"/>
      <c r="I374" s="24">
        <f t="shared" si="59"/>
        <v>1</v>
      </c>
      <c r="J374" s="675"/>
      <c r="K374" s="24">
        <f t="shared" si="60"/>
        <v>1</v>
      </c>
      <c r="L374" s="675"/>
      <c r="M374" s="24">
        <f t="shared" si="61"/>
        <v>1</v>
      </c>
      <c r="N374" s="675"/>
      <c r="O374" s="24">
        <f t="shared" si="62"/>
        <v>1</v>
      </c>
      <c r="P374" s="675"/>
      <c r="Q374" s="24">
        <f t="shared" si="63"/>
        <v>0</v>
      </c>
      <c r="R374" s="671">
        <f t="shared" si="64"/>
        <v>0</v>
      </c>
      <c r="S374" s="322">
        <f t="shared" si="55"/>
        <v>0</v>
      </c>
    </row>
    <row r="375" spans="1:19">
      <c r="A375" s="155"/>
      <c r="B375" s="57"/>
      <c r="C375" s="24">
        <f t="shared" si="56"/>
        <v>1</v>
      </c>
      <c r="D375" s="675"/>
      <c r="E375" s="24">
        <f t="shared" si="57"/>
        <v>1</v>
      </c>
      <c r="F375" s="675"/>
      <c r="G375" s="24">
        <f t="shared" si="58"/>
        <v>1</v>
      </c>
      <c r="H375" s="675"/>
      <c r="I375" s="24">
        <f t="shared" si="59"/>
        <v>1</v>
      </c>
      <c r="J375" s="675"/>
      <c r="K375" s="24">
        <f t="shared" si="60"/>
        <v>1</v>
      </c>
      <c r="L375" s="675"/>
      <c r="M375" s="24">
        <f t="shared" si="61"/>
        <v>1</v>
      </c>
      <c r="N375" s="675"/>
      <c r="O375" s="24">
        <f t="shared" si="62"/>
        <v>1</v>
      </c>
      <c r="P375" s="675"/>
      <c r="Q375" s="24">
        <f t="shared" si="63"/>
        <v>0</v>
      </c>
      <c r="R375" s="671">
        <f t="shared" si="64"/>
        <v>0</v>
      </c>
      <c r="S375" s="322">
        <f t="shared" si="55"/>
        <v>0</v>
      </c>
    </row>
    <row r="376" spans="1:19">
      <c r="A376" s="155"/>
      <c r="B376" s="57"/>
      <c r="C376" s="24">
        <f t="shared" si="56"/>
        <v>1</v>
      </c>
      <c r="D376" s="675"/>
      <c r="E376" s="24">
        <f t="shared" si="57"/>
        <v>1</v>
      </c>
      <c r="F376" s="675"/>
      <c r="G376" s="24">
        <f t="shared" si="58"/>
        <v>1</v>
      </c>
      <c r="H376" s="675"/>
      <c r="I376" s="24">
        <f t="shared" si="59"/>
        <v>1</v>
      </c>
      <c r="J376" s="675"/>
      <c r="K376" s="24">
        <f t="shared" si="60"/>
        <v>1</v>
      </c>
      <c r="L376" s="675"/>
      <c r="M376" s="24">
        <f t="shared" si="61"/>
        <v>1</v>
      </c>
      <c r="N376" s="675"/>
      <c r="O376" s="24">
        <f t="shared" si="62"/>
        <v>1</v>
      </c>
      <c r="P376" s="675"/>
      <c r="Q376" s="24">
        <f t="shared" si="63"/>
        <v>0</v>
      </c>
      <c r="R376" s="671">
        <f t="shared" si="64"/>
        <v>0</v>
      </c>
      <c r="S376" s="322">
        <f t="shared" si="55"/>
        <v>0</v>
      </c>
    </row>
    <row r="377" spans="1:19">
      <c r="A377" s="155"/>
      <c r="B377" s="57"/>
      <c r="C377" s="24">
        <f t="shared" si="56"/>
        <v>1</v>
      </c>
      <c r="D377" s="675"/>
      <c r="E377" s="24">
        <f t="shared" si="57"/>
        <v>1</v>
      </c>
      <c r="F377" s="675"/>
      <c r="G377" s="24">
        <f t="shared" si="58"/>
        <v>1</v>
      </c>
      <c r="H377" s="675"/>
      <c r="I377" s="24">
        <f t="shared" si="59"/>
        <v>1</v>
      </c>
      <c r="J377" s="675"/>
      <c r="K377" s="24">
        <f t="shared" si="60"/>
        <v>1</v>
      </c>
      <c r="L377" s="675"/>
      <c r="M377" s="24">
        <f t="shared" si="61"/>
        <v>1</v>
      </c>
      <c r="N377" s="675"/>
      <c r="O377" s="24">
        <f t="shared" si="62"/>
        <v>1</v>
      </c>
      <c r="P377" s="675"/>
      <c r="Q377" s="24">
        <f t="shared" si="63"/>
        <v>0</v>
      </c>
      <c r="R377" s="671">
        <f t="shared" si="64"/>
        <v>0</v>
      </c>
      <c r="S377" s="322">
        <f t="shared" si="55"/>
        <v>0</v>
      </c>
    </row>
    <row r="378" spans="1:19">
      <c r="A378" s="155"/>
      <c r="B378" s="57"/>
      <c r="C378" s="24">
        <f t="shared" si="56"/>
        <v>1</v>
      </c>
      <c r="D378" s="675"/>
      <c r="E378" s="24">
        <f t="shared" si="57"/>
        <v>1</v>
      </c>
      <c r="F378" s="675"/>
      <c r="G378" s="24">
        <f t="shared" si="58"/>
        <v>1</v>
      </c>
      <c r="H378" s="675"/>
      <c r="I378" s="24">
        <f t="shared" si="59"/>
        <v>1</v>
      </c>
      <c r="J378" s="675"/>
      <c r="K378" s="24">
        <f t="shared" si="60"/>
        <v>1</v>
      </c>
      <c r="L378" s="675"/>
      <c r="M378" s="24">
        <f t="shared" si="61"/>
        <v>1</v>
      </c>
      <c r="N378" s="675"/>
      <c r="O378" s="24">
        <f t="shared" si="62"/>
        <v>1</v>
      </c>
      <c r="P378" s="675"/>
      <c r="Q378" s="24">
        <f t="shared" si="63"/>
        <v>0</v>
      </c>
      <c r="R378" s="671">
        <f t="shared" si="64"/>
        <v>0</v>
      </c>
      <c r="S378" s="322">
        <f t="shared" si="55"/>
        <v>0</v>
      </c>
    </row>
    <row r="379" spans="1:19">
      <c r="A379" s="155"/>
      <c r="B379" s="57"/>
      <c r="C379" s="24">
        <f t="shared" si="56"/>
        <v>1</v>
      </c>
      <c r="D379" s="675"/>
      <c r="E379" s="24">
        <f t="shared" si="57"/>
        <v>1</v>
      </c>
      <c r="F379" s="675"/>
      <c r="G379" s="24">
        <f t="shared" si="58"/>
        <v>1</v>
      </c>
      <c r="H379" s="675"/>
      <c r="I379" s="24">
        <f t="shared" si="59"/>
        <v>1</v>
      </c>
      <c r="J379" s="675"/>
      <c r="K379" s="24">
        <f t="shared" si="60"/>
        <v>1</v>
      </c>
      <c r="L379" s="675"/>
      <c r="M379" s="24">
        <f t="shared" si="61"/>
        <v>1</v>
      </c>
      <c r="N379" s="675"/>
      <c r="O379" s="24">
        <f t="shared" si="62"/>
        <v>1</v>
      </c>
      <c r="P379" s="675"/>
      <c r="Q379" s="24">
        <f t="shared" si="63"/>
        <v>0</v>
      </c>
      <c r="R379" s="671">
        <f t="shared" si="64"/>
        <v>0</v>
      </c>
      <c r="S379" s="322">
        <f t="shared" si="55"/>
        <v>0</v>
      </c>
    </row>
    <row r="380" spans="1:19">
      <c r="A380" s="155"/>
      <c r="B380" s="57"/>
      <c r="C380" s="24">
        <f t="shared" si="56"/>
        <v>1</v>
      </c>
      <c r="D380" s="675"/>
      <c r="E380" s="24">
        <f t="shared" si="57"/>
        <v>1</v>
      </c>
      <c r="F380" s="675"/>
      <c r="G380" s="24">
        <f t="shared" si="58"/>
        <v>1</v>
      </c>
      <c r="H380" s="675"/>
      <c r="I380" s="24">
        <f t="shared" si="59"/>
        <v>1</v>
      </c>
      <c r="J380" s="675"/>
      <c r="K380" s="24">
        <f t="shared" si="60"/>
        <v>1</v>
      </c>
      <c r="L380" s="675"/>
      <c r="M380" s="24">
        <f t="shared" si="61"/>
        <v>1</v>
      </c>
      <c r="N380" s="675"/>
      <c r="O380" s="24">
        <f t="shared" si="62"/>
        <v>1</v>
      </c>
      <c r="P380" s="675"/>
      <c r="Q380" s="24">
        <f t="shared" si="63"/>
        <v>0</v>
      </c>
      <c r="R380" s="671">
        <f t="shared" si="64"/>
        <v>0</v>
      </c>
      <c r="S380" s="322">
        <f t="shared" si="55"/>
        <v>0</v>
      </c>
    </row>
    <row r="381" spans="1:19">
      <c r="A381" s="155"/>
      <c r="B381" s="57"/>
      <c r="C381" s="24">
        <f t="shared" si="56"/>
        <v>1</v>
      </c>
      <c r="D381" s="675"/>
      <c r="E381" s="24">
        <f t="shared" si="57"/>
        <v>1</v>
      </c>
      <c r="F381" s="675"/>
      <c r="G381" s="24">
        <f t="shared" si="58"/>
        <v>1</v>
      </c>
      <c r="H381" s="675"/>
      <c r="I381" s="24">
        <f t="shared" si="59"/>
        <v>1</v>
      </c>
      <c r="J381" s="675"/>
      <c r="K381" s="24">
        <f t="shared" si="60"/>
        <v>1</v>
      </c>
      <c r="L381" s="675"/>
      <c r="M381" s="24">
        <f t="shared" si="61"/>
        <v>1</v>
      </c>
      <c r="N381" s="675"/>
      <c r="O381" s="24">
        <f t="shared" si="62"/>
        <v>1</v>
      </c>
      <c r="P381" s="675"/>
      <c r="Q381" s="24">
        <f t="shared" si="63"/>
        <v>0</v>
      </c>
      <c r="R381" s="671">
        <f t="shared" si="64"/>
        <v>0</v>
      </c>
      <c r="S381" s="322">
        <f t="shared" si="55"/>
        <v>0</v>
      </c>
    </row>
    <row r="382" spans="1:19">
      <c r="A382" s="155"/>
      <c r="B382" s="57"/>
      <c r="C382" s="24">
        <f t="shared" si="56"/>
        <v>1</v>
      </c>
      <c r="D382" s="675"/>
      <c r="E382" s="24">
        <f t="shared" si="57"/>
        <v>1</v>
      </c>
      <c r="F382" s="675"/>
      <c r="G382" s="24">
        <f t="shared" si="58"/>
        <v>1</v>
      </c>
      <c r="H382" s="675"/>
      <c r="I382" s="24">
        <f t="shared" si="59"/>
        <v>1</v>
      </c>
      <c r="J382" s="675"/>
      <c r="K382" s="24">
        <f t="shared" si="60"/>
        <v>1</v>
      </c>
      <c r="L382" s="675"/>
      <c r="M382" s="24">
        <f t="shared" si="61"/>
        <v>1</v>
      </c>
      <c r="N382" s="675"/>
      <c r="O382" s="24">
        <f t="shared" si="62"/>
        <v>1</v>
      </c>
      <c r="P382" s="675"/>
      <c r="Q382" s="24">
        <f t="shared" si="63"/>
        <v>0</v>
      </c>
      <c r="R382" s="671">
        <f t="shared" si="64"/>
        <v>0</v>
      </c>
      <c r="S382" s="322">
        <f t="shared" si="55"/>
        <v>0</v>
      </c>
    </row>
    <row r="383" spans="1:19">
      <c r="A383" s="155"/>
      <c r="B383" s="57"/>
      <c r="C383" s="24">
        <f t="shared" si="56"/>
        <v>1</v>
      </c>
      <c r="D383" s="675"/>
      <c r="E383" s="24">
        <f t="shared" si="57"/>
        <v>1</v>
      </c>
      <c r="F383" s="675"/>
      <c r="G383" s="24">
        <f t="shared" si="58"/>
        <v>1</v>
      </c>
      <c r="H383" s="675"/>
      <c r="I383" s="24">
        <f t="shared" si="59"/>
        <v>1</v>
      </c>
      <c r="J383" s="675"/>
      <c r="K383" s="24">
        <f t="shared" si="60"/>
        <v>1</v>
      </c>
      <c r="L383" s="675"/>
      <c r="M383" s="24">
        <f t="shared" si="61"/>
        <v>1</v>
      </c>
      <c r="N383" s="675"/>
      <c r="O383" s="24">
        <f t="shared" si="62"/>
        <v>1</v>
      </c>
      <c r="P383" s="675"/>
      <c r="Q383" s="24">
        <f t="shared" si="63"/>
        <v>0</v>
      </c>
      <c r="R383" s="671">
        <f t="shared" si="64"/>
        <v>0</v>
      </c>
      <c r="S383" s="322">
        <f t="shared" si="55"/>
        <v>0</v>
      </c>
    </row>
    <row r="384" spans="1:19">
      <c r="A384" s="155"/>
      <c r="B384" s="57"/>
      <c r="C384" s="24">
        <f t="shared" si="56"/>
        <v>1</v>
      </c>
      <c r="D384" s="675"/>
      <c r="E384" s="24">
        <f t="shared" si="57"/>
        <v>1</v>
      </c>
      <c r="F384" s="675"/>
      <c r="G384" s="24">
        <f t="shared" si="58"/>
        <v>1</v>
      </c>
      <c r="H384" s="675"/>
      <c r="I384" s="24">
        <f t="shared" si="59"/>
        <v>1</v>
      </c>
      <c r="J384" s="675"/>
      <c r="K384" s="24">
        <f t="shared" si="60"/>
        <v>1</v>
      </c>
      <c r="L384" s="675"/>
      <c r="M384" s="24">
        <f t="shared" si="61"/>
        <v>1</v>
      </c>
      <c r="N384" s="675"/>
      <c r="O384" s="24">
        <f t="shared" si="62"/>
        <v>1</v>
      </c>
      <c r="P384" s="675"/>
      <c r="Q384" s="24">
        <f t="shared" si="63"/>
        <v>0</v>
      </c>
      <c r="R384" s="671">
        <f t="shared" si="64"/>
        <v>0</v>
      </c>
      <c r="S384" s="322">
        <f t="shared" si="55"/>
        <v>0</v>
      </c>
    </row>
    <row r="385" spans="1:19">
      <c r="A385" s="155"/>
      <c r="B385" s="57"/>
      <c r="C385" s="24">
        <f t="shared" si="56"/>
        <v>1</v>
      </c>
      <c r="D385" s="675"/>
      <c r="E385" s="24">
        <f t="shared" si="57"/>
        <v>1</v>
      </c>
      <c r="F385" s="675"/>
      <c r="G385" s="24">
        <f t="shared" si="58"/>
        <v>1</v>
      </c>
      <c r="H385" s="675"/>
      <c r="I385" s="24">
        <f t="shared" si="59"/>
        <v>1</v>
      </c>
      <c r="J385" s="675"/>
      <c r="K385" s="24">
        <f t="shared" si="60"/>
        <v>1</v>
      </c>
      <c r="L385" s="675"/>
      <c r="M385" s="24">
        <f t="shared" si="61"/>
        <v>1</v>
      </c>
      <c r="N385" s="675"/>
      <c r="O385" s="24">
        <f t="shared" si="62"/>
        <v>1</v>
      </c>
      <c r="P385" s="675"/>
      <c r="Q385" s="24">
        <f t="shared" si="63"/>
        <v>0</v>
      </c>
      <c r="R385" s="671">
        <f t="shared" si="64"/>
        <v>0</v>
      </c>
      <c r="S385" s="322">
        <f t="shared" si="55"/>
        <v>0</v>
      </c>
    </row>
    <row r="386" spans="1:19">
      <c r="A386" s="155"/>
      <c r="B386" s="57"/>
      <c r="C386" s="24">
        <f t="shared" si="56"/>
        <v>1</v>
      </c>
      <c r="D386" s="675"/>
      <c r="E386" s="24">
        <f t="shared" si="57"/>
        <v>1</v>
      </c>
      <c r="F386" s="675"/>
      <c r="G386" s="24">
        <f t="shared" si="58"/>
        <v>1</v>
      </c>
      <c r="H386" s="675"/>
      <c r="I386" s="24">
        <f t="shared" si="59"/>
        <v>1</v>
      </c>
      <c r="J386" s="675"/>
      <c r="K386" s="24">
        <f t="shared" si="60"/>
        <v>1</v>
      </c>
      <c r="L386" s="675"/>
      <c r="M386" s="24">
        <f t="shared" si="61"/>
        <v>1</v>
      </c>
      <c r="N386" s="675"/>
      <c r="O386" s="24">
        <f t="shared" si="62"/>
        <v>1</v>
      </c>
      <c r="P386" s="675"/>
      <c r="Q386" s="24">
        <f t="shared" si="63"/>
        <v>0</v>
      </c>
      <c r="R386" s="671">
        <f t="shared" si="64"/>
        <v>0</v>
      </c>
      <c r="S386" s="322">
        <f t="shared" si="55"/>
        <v>0</v>
      </c>
    </row>
    <row r="387" spans="1:19">
      <c r="A387" s="155"/>
      <c r="B387" s="57"/>
      <c r="C387" s="24">
        <f t="shared" si="56"/>
        <v>1</v>
      </c>
      <c r="D387" s="675"/>
      <c r="E387" s="24">
        <f t="shared" si="57"/>
        <v>1</v>
      </c>
      <c r="F387" s="675"/>
      <c r="G387" s="24">
        <f t="shared" si="58"/>
        <v>1</v>
      </c>
      <c r="H387" s="675"/>
      <c r="I387" s="24">
        <f t="shared" si="59"/>
        <v>1</v>
      </c>
      <c r="J387" s="675"/>
      <c r="K387" s="24">
        <f t="shared" si="60"/>
        <v>1</v>
      </c>
      <c r="L387" s="675"/>
      <c r="M387" s="24">
        <f t="shared" si="61"/>
        <v>1</v>
      </c>
      <c r="N387" s="675"/>
      <c r="O387" s="24">
        <f t="shared" si="62"/>
        <v>1</v>
      </c>
      <c r="P387" s="675"/>
      <c r="Q387" s="24">
        <f t="shared" si="63"/>
        <v>0</v>
      </c>
      <c r="R387" s="671">
        <f t="shared" si="64"/>
        <v>0</v>
      </c>
      <c r="S387" s="322">
        <f t="shared" si="55"/>
        <v>0</v>
      </c>
    </row>
    <row r="388" spans="1:19">
      <c r="A388" s="155"/>
      <c r="B388" s="57"/>
      <c r="C388" s="24">
        <f t="shared" si="56"/>
        <v>1</v>
      </c>
      <c r="D388" s="675"/>
      <c r="E388" s="24">
        <f t="shared" si="57"/>
        <v>1</v>
      </c>
      <c r="F388" s="675"/>
      <c r="G388" s="24">
        <f t="shared" si="58"/>
        <v>1</v>
      </c>
      <c r="H388" s="675"/>
      <c r="I388" s="24">
        <f t="shared" si="59"/>
        <v>1</v>
      </c>
      <c r="J388" s="675"/>
      <c r="K388" s="24">
        <f t="shared" si="60"/>
        <v>1</v>
      </c>
      <c r="L388" s="675"/>
      <c r="M388" s="24">
        <f t="shared" si="61"/>
        <v>1</v>
      </c>
      <c r="N388" s="675"/>
      <c r="O388" s="24">
        <f t="shared" si="62"/>
        <v>1</v>
      </c>
      <c r="P388" s="675"/>
      <c r="Q388" s="24">
        <f t="shared" si="63"/>
        <v>0</v>
      </c>
      <c r="R388" s="671">
        <f t="shared" si="64"/>
        <v>0</v>
      </c>
      <c r="S388" s="322">
        <f t="shared" si="55"/>
        <v>0</v>
      </c>
    </row>
    <row r="389" spans="1:19">
      <c r="A389" s="155"/>
      <c r="B389" s="57"/>
      <c r="C389" s="24">
        <f t="shared" si="56"/>
        <v>1</v>
      </c>
      <c r="D389" s="675"/>
      <c r="E389" s="24">
        <f t="shared" si="57"/>
        <v>1</v>
      </c>
      <c r="F389" s="675"/>
      <c r="G389" s="24">
        <f t="shared" si="58"/>
        <v>1</v>
      </c>
      <c r="H389" s="675"/>
      <c r="I389" s="24">
        <f t="shared" si="59"/>
        <v>1</v>
      </c>
      <c r="J389" s="675"/>
      <c r="K389" s="24">
        <f t="shared" si="60"/>
        <v>1</v>
      </c>
      <c r="L389" s="675"/>
      <c r="M389" s="24">
        <f t="shared" si="61"/>
        <v>1</v>
      </c>
      <c r="N389" s="675"/>
      <c r="O389" s="24">
        <f t="shared" si="62"/>
        <v>1</v>
      </c>
      <c r="P389" s="675"/>
      <c r="Q389" s="24">
        <f t="shared" si="63"/>
        <v>0</v>
      </c>
      <c r="R389" s="671">
        <f t="shared" si="64"/>
        <v>0</v>
      </c>
      <c r="S389" s="322">
        <f t="shared" si="55"/>
        <v>0</v>
      </c>
    </row>
    <row r="390" spans="1:19">
      <c r="A390" s="155"/>
      <c r="B390" s="57"/>
      <c r="C390" s="24">
        <f t="shared" si="56"/>
        <v>1</v>
      </c>
      <c r="D390" s="675"/>
      <c r="E390" s="24">
        <f t="shared" si="57"/>
        <v>1</v>
      </c>
      <c r="F390" s="675"/>
      <c r="G390" s="24">
        <f t="shared" si="58"/>
        <v>1</v>
      </c>
      <c r="H390" s="675"/>
      <c r="I390" s="24">
        <f t="shared" si="59"/>
        <v>1</v>
      </c>
      <c r="J390" s="675"/>
      <c r="K390" s="24">
        <f t="shared" si="60"/>
        <v>1</v>
      </c>
      <c r="L390" s="675"/>
      <c r="M390" s="24">
        <f t="shared" si="61"/>
        <v>1</v>
      </c>
      <c r="N390" s="675"/>
      <c r="O390" s="24">
        <f t="shared" si="62"/>
        <v>1</v>
      </c>
      <c r="P390" s="675"/>
      <c r="Q390" s="24">
        <f t="shared" si="63"/>
        <v>0</v>
      </c>
      <c r="R390" s="671">
        <f t="shared" si="64"/>
        <v>0</v>
      </c>
      <c r="S390" s="322">
        <f t="shared" si="55"/>
        <v>0</v>
      </c>
    </row>
    <row r="391" spans="1:19">
      <c r="A391" s="155"/>
      <c r="B391" s="57"/>
      <c r="C391" s="24">
        <f t="shared" si="56"/>
        <v>1</v>
      </c>
      <c r="D391" s="675"/>
      <c r="E391" s="24">
        <f t="shared" si="57"/>
        <v>1</v>
      </c>
      <c r="F391" s="675"/>
      <c r="G391" s="24">
        <f t="shared" si="58"/>
        <v>1</v>
      </c>
      <c r="H391" s="675"/>
      <c r="I391" s="24">
        <f t="shared" si="59"/>
        <v>1</v>
      </c>
      <c r="J391" s="675"/>
      <c r="K391" s="24">
        <f t="shared" si="60"/>
        <v>1</v>
      </c>
      <c r="L391" s="675"/>
      <c r="M391" s="24">
        <f t="shared" si="61"/>
        <v>1</v>
      </c>
      <c r="N391" s="675"/>
      <c r="O391" s="24">
        <f t="shared" si="62"/>
        <v>1</v>
      </c>
      <c r="P391" s="675"/>
      <c r="Q391" s="24">
        <f t="shared" si="63"/>
        <v>0</v>
      </c>
      <c r="R391" s="671">
        <f t="shared" si="64"/>
        <v>0</v>
      </c>
      <c r="S391" s="322">
        <f t="shared" si="55"/>
        <v>0</v>
      </c>
    </row>
    <row r="392" spans="1:19">
      <c r="A392" s="155"/>
      <c r="B392" s="57"/>
      <c r="C392" s="24">
        <f t="shared" si="56"/>
        <v>1</v>
      </c>
      <c r="D392" s="675"/>
      <c r="E392" s="24">
        <f t="shared" si="57"/>
        <v>1</v>
      </c>
      <c r="F392" s="675"/>
      <c r="G392" s="24">
        <f t="shared" si="58"/>
        <v>1</v>
      </c>
      <c r="H392" s="675"/>
      <c r="I392" s="24">
        <f t="shared" si="59"/>
        <v>1</v>
      </c>
      <c r="J392" s="675"/>
      <c r="K392" s="24">
        <f t="shared" si="60"/>
        <v>1</v>
      </c>
      <c r="L392" s="675"/>
      <c r="M392" s="24">
        <f t="shared" si="61"/>
        <v>1</v>
      </c>
      <c r="N392" s="675"/>
      <c r="O392" s="24">
        <f t="shared" si="62"/>
        <v>1</v>
      </c>
      <c r="P392" s="675"/>
      <c r="Q392" s="24">
        <f t="shared" si="63"/>
        <v>0</v>
      </c>
      <c r="R392" s="671">
        <f t="shared" si="64"/>
        <v>0</v>
      </c>
      <c r="S392" s="322">
        <f t="shared" si="55"/>
        <v>0</v>
      </c>
    </row>
    <row r="393" spans="1:19">
      <c r="A393" s="155"/>
      <c r="B393" s="57"/>
      <c r="C393" s="24">
        <f t="shared" si="56"/>
        <v>1</v>
      </c>
      <c r="D393" s="675"/>
      <c r="E393" s="24">
        <f t="shared" si="57"/>
        <v>1</v>
      </c>
      <c r="F393" s="675"/>
      <c r="G393" s="24">
        <f t="shared" si="58"/>
        <v>1</v>
      </c>
      <c r="H393" s="675"/>
      <c r="I393" s="24">
        <f t="shared" si="59"/>
        <v>1</v>
      </c>
      <c r="J393" s="675"/>
      <c r="K393" s="24">
        <f t="shared" si="60"/>
        <v>1</v>
      </c>
      <c r="L393" s="675"/>
      <c r="M393" s="24">
        <f t="shared" si="61"/>
        <v>1</v>
      </c>
      <c r="N393" s="675"/>
      <c r="O393" s="24">
        <f t="shared" si="62"/>
        <v>1</v>
      </c>
      <c r="P393" s="675"/>
      <c r="Q393" s="24">
        <f t="shared" si="63"/>
        <v>0</v>
      </c>
      <c r="R393" s="671">
        <f t="shared" si="64"/>
        <v>0</v>
      </c>
      <c r="S393" s="322">
        <f t="shared" si="55"/>
        <v>0</v>
      </c>
    </row>
    <row r="394" spans="1:19">
      <c r="A394" s="155"/>
      <c r="B394" s="57"/>
      <c r="C394" s="24">
        <f t="shared" si="56"/>
        <v>1</v>
      </c>
      <c r="D394" s="675"/>
      <c r="E394" s="24">
        <f t="shared" si="57"/>
        <v>1</v>
      </c>
      <c r="F394" s="675"/>
      <c r="G394" s="24">
        <f t="shared" si="58"/>
        <v>1</v>
      </c>
      <c r="H394" s="675"/>
      <c r="I394" s="24">
        <f t="shared" si="59"/>
        <v>1</v>
      </c>
      <c r="J394" s="675"/>
      <c r="K394" s="24">
        <f t="shared" si="60"/>
        <v>1</v>
      </c>
      <c r="L394" s="675"/>
      <c r="M394" s="24">
        <f t="shared" si="61"/>
        <v>1</v>
      </c>
      <c r="N394" s="675"/>
      <c r="O394" s="24">
        <f t="shared" si="62"/>
        <v>1</v>
      </c>
      <c r="P394" s="675"/>
      <c r="Q394" s="24">
        <f t="shared" si="63"/>
        <v>0</v>
      </c>
      <c r="R394" s="671">
        <f t="shared" si="64"/>
        <v>0</v>
      </c>
      <c r="S394" s="322">
        <f t="shared" si="55"/>
        <v>0</v>
      </c>
    </row>
    <row r="395" spans="1:19">
      <c r="A395" s="155"/>
      <c r="B395" s="57"/>
      <c r="C395" s="24">
        <f t="shared" si="56"/>
        <v>1</v>
      </c>
      <c r="D395" s="675"/>
      <c r="E395" s="24">
        <f t="shared" si="57"/>
        <v>1</v>
      </c>
      <c r="F395" s="675"/>
      <c r="G395" s="24">
        <f t="shared" si="58"/>
        <v>1</v>
      </c>
      <c r="H395" s="675"/>
      <c r="I395" s="24">
        <f t="shared" si="59"/>
        <v>1</v>
      </c>
      <c r="J395" s="675"/>
      <c r="K395" s="24">
        <f t="shared" si="60"/>
        <v>1</v>
      </c>
      <c r="L395" s="675"/>
      <c r="M395" s="24">
        <f t="shared" si="61"/>
        <v>1</v>
      </c>
      <c r="N395" s="675"/>
      <c r="O395" s="24">
        <f t="shared" si="62"/>
        <v>1</v>
      </c>
      <c r="P395" s="675"/>
      <c r="Q395" s="24">
        <f t="shared" si="63"/>
        <v>0</v>
      </c>
      <c r="R395" s="671">
        <f t="shared" si="64"/>
        <v>0</v>
      </c>
      <c r="S395" s="322">
        <f t="shared" si="55"/>
        <v>0</v>
      </c>
    </row>
    <row r="396" spans="1:19">
      <c r="A396" s="155"/>
      <c r="B396" s="57"/>
      <c r="C396" s="24">
        <f t="shared" si="56"/>
        <v>1</v>
      </c>
      <c r="D396" s="675"/>
      <c r="E396" s="24">
        <f t="shared" si="57"/>
        <v>1</v>
      </c>
      <c r="F396" s="675"/>
      <c r="G396" s="24">
        <f t="shared" si="58"/>
        <v>1</v>
      </c>
      <c r="H396" s="675"/>
      <c r="I396" s="24">
        <f t="shared" si="59"/>
        <v>1</v>
      </c>
      <c r="J396" s="675"/>
      <c r="K396" s="24">
        <f t="shared" si="60"/>
        <v>1</v>
      </c>
      <c r="L396" s="675"/>
      <c r="M396" s="24">
        <f t="shared" si="61"/>
        <v>1</v>
      </c>
      <c r="N396" s="675"/>
      <c r="O396" s="24">
        <f t="shared" si="62"/>
        <v>1</v>
      </c>
      <c r="P396" s="675"/>
      <c r="Q396" s="24">
        <f t="shared" si="63"/>
        <v>0</v>
      </c>
      <c r="R396" s="671">
        <f t="shared" si="64"/>
        <v>0</v>
      </c>
      <c r="S396" s="322">
        <f t="shared" si="55"/>
        <v>0</v>
      </c>
    </row>
    <row r="397" spans="1:19">
      <c r="A397" s="155"/>
      <c r="B397" s="57"/>
      <c r="C397" s="24">
        <f t="shared" si="56"/>
        <v>1</v>
      </c>
      <c r="D397" s="675"/>
      <c r="E397" s="24">
        <f t="shared" si="57"/>
        <v>1</v>
      </c>
      <c r="F397" s="675"/>
      <c r="G397" s="24">
        <f t="shared" si="58"/>
        <v>1</v>
      </c>
      <c r="H397" s="675"/>
      <c r="I397" s="24">
        <f t="shared" si="59"/>
        <v>1</v>
      </c>
      <c r="J397" s="675"/>
      <c r="K397" s="24">
        <f t="shared" si="60"/>
        <v>1</v>
      </c>
      <c r="L397" s="675"/>
      <c r="M397" s="24">
        <f t="shared" si="61"/>
        <v>1</v>
      </c>
      <c r="N397" s="675"/>
      <c r="O397" s="24">
        <f t="shared" si="62"/>
        <v>1</v>
      </c>
      <c r="P397" s="675"/>
      <c r="Q397" s="24">
        <f t="shared" si="63"/>
        <v>0</v>
      </c>
      <c r="R397" s="671">
        <f t="shared" si="64"/>
        <v>0</v>
      </c>
      <c r="S397" s="322">
        <f t="shared" si="55"/>
        <v>0</v>
      </c>
    </row>
    <row r="398" spans="1:19">
      <c r="A398" s="155"/>
      <c r="B398" s="57"/>
      <c r="C398" s="24">
        <f t="shared" si="56"/>
        <v>1</v>
      </c>
      <c r="D398" s="675"/>
      <c r="E398" s="24">
        <f t="shared" si="57"/>
        <v>1</v>
      </c>
      <c r="F398" s="675"/>
      <c r="G398" s="24">
        <f t="shared" si="58"/>
        <v>1</v>
      </c>
      <c r="H398" s="675"/>
      <c r="I398" s="24">
        <f t="shared" si="59"/>
        <v>1</v>
      </c>
      <c r="J398" s="675"/>
      <c r="K398" s="24">
        <f t="shared" si="60"/>
        <v>1</v>
      </c>
      <c r="L398" s="675"/>
      <c r="M398" s="24">
        <f t="shared" si="61"/>
        <v>1</v>
      </c>
      <c r="N398" s="675"/>
      <c r="O398" s="24">
        <f t="shared" si="62"/>
        <v>1</v>
      </c>
      <c r="P398" s="675"/>
      <c r="Q398" s="24">
        <f t="shared" si="63"/>
        <v>0</v>
      </c>
      <c r="R398" s="671">
        <f t="shared" si="64"/>
        <v>0</v>
      </c>
      <c r="S398" s="322">
        <f t="shared" si="55"/>
        <v>0</v>
      </c>
    </row>
    <row r="399" spans="1:19">
      <c r="A399" s="155"/>
      <c r="B399" s="57"/>
      <c r="C399" s="24">
        <f t="shared" si="56"/>
        <v>1</v>
      </c>
      <c r="D399" s="675"/>
      <c r="E399" s="24">
        <f t="shared" si="57"/>
        <v>1</v>
      </c>
      <c r="F399" s="675"/>
      <c r="G399" s="24">
        <f t="shared" si="58"/>
        <v>1</v>
      </c>
      <c r="H399" s="675"/>
      <c r="I399" s="24">
        <f t="shared" si="59"/>
        <v>1</v>
      </c>
      <c r="J399" s="675"/>
      <c r="K399" s="24">
        <f t="shared" si="60"/>
        <v>1</v>
      </c>
      <c r="L399" s="675"/>
      <c r="M399" s="24">
        <f t="shared" si="61"/>
        <v>1</v>
      </c>
      <c r="N399" s="675"/>
      <c r="O399" s="24">
        <f t="shared" si="62"/>
        <v>1</v>
      </c>
      <c r="P399" s="675"/>
      <c r="Q399" s="24">
        <f t="shared" si="63"/>
        <v>0</v>
      </c>
      <c r="R399" s="671">
        <f t="shared" si="64"/>
        <v>0</v>
      </c>
      <c r="S399" s="322">
        <f t="shared" si="55"/>
        <v>0</v>
      </c>
    </row>
    <row r="400" spans="1:19">
      <c r="A400" s="155"/>
      <c r="B400" s="57"/>
      <c r="C400" s="24">
        <f t="shared" si="56"/>
        <v>1</v>
      </c>
      <c r="D400" s="675"/>
      <c r="E400" s="24">
        <f t="shared" si="57"/>
        <v>1</v>
      </c>
      <c r="F400" s="675"/>
      <c r="G400" s="24">
        <f t="shared" si="58"/>
        <v>1</v>
      </c>
      <c r="H400" s="675"/>
      <c r="I400" s="24">
        <f t="shared" si="59"/>
        <v>1</v>
      </c>
      <c r="J400" s="675"/>
      <c r="K400" s="24">
        <f t="shared" si="60"/>
        <v>1</v>
      </c>
      <c r="L400" s="675"/>
      <c r="M400" s="24">
        <f t="shared" si="61"/>
        <v>1</v>
      </c>
      <c r="N400" s="675"/>
      <c r="O400" s="24">
        <f t="shared" si="62"/>
        <v>1</v>
      </c>
      <c r="P400" s="675"/>
      <c r="Q400" s="24">
        <f t="shared" si="63"/>
        <v>0</v>
      </c>
      <c r="R400" s="671">
        <f t="shared" si="64"/>
        <v>0</v>
      </c>
      <c r="S400" s="322">
        <f t="shared" si="55"/>
        <v>0</v>
      </c>
    </row>
    <row r="401" spans="1:19">
      <c r="A401" s="155"/>
      <c r="B401" s="57"/>
      <c r="C401" s="24">
        <f t="shared" si="56"/>
        <v>1</v>
      </c>
      <c r="D401" s="675"/>
      <c r="E401" s="24">
        <f t="shared" si="57"/>
        <v>1</v>
      </c>
      <c r="F401" s="675"/>
      <c r="G401" s="24">
        <f t="shared" si="58"/>
        <v>1</v>
      </c>
      <c r="H401" s="675"/>
      <c r="I401" s="24">
        <f t="shared" si="59"/>
        <v>1</v>
      </c>
      <c r="J401" s="675"/>
      <c r="K401" s="24">
        <f t="shared" si="60"/>
        <v>1</v>
      </c>
      <c r="L401" s="675"/>
      <c r="M401" s="24">
        <f t="shared" si="61"/>
        <v>1</v>
      </c>
      <c r="N401" s="675"/>
      <c r="O401" s="24">
        <f t="shared" si="62"/>
        <v>1</v>
      </c>
      <c r="P401" s="675"/>
      <c r="Q401" s="24">
        <f t="shared" si="63"/>
        <v>0</v>
      </c>
      <c r="R401" s="671">
        <f t="shared" si="64"/>
        <v>0</v>
      </c>
      <c r="S401" s="322">
        <f t="shared" si="55"/>
        <v>0</v>
      </c>
    </row>
    <row r="402" spans="1:19">
      <c r="A402" s="155"/>
      <c r="B402" s="57"/>
      <c r="C402" s="24">
        <f t="shared" si="56"/>
        <v>1</v>
      </c>
      <c r="D402" s="675"/>
      <c r="E402" s="24">
        <f t="shared" si="57"/>
        <v>1</v>
      </c>
      <c r="F402" s="675"/>
      <c r="G402" s="24">
        <f t="shared" si="58"/>
        <v>1</v>
      </c>
      <c r="H402" s="675"/>
      <c r="I402" s="24">
        <f t="shared" si="59"/>
        <v>1</v>
      </c>
      <c r="J402" s="675"/>
      <c r="K402" s="24">
        <f t="shared" si="60"/>
        <v>1</v>
      </c>
      <c r="L402" s="675"/>
      <c r="M402" s="24">
        <f t="shared" si="61"/>
        <v>1</v>
      </c>
      <c r="N402" s="675"/>
      <c r="O402" s="24">
        <f t="shared" si="62"/>
        <v>1</v>
      </c>
      <c r="P402" s="675"/>
      <c r="Q402" s="24">
        <f t="shared" si="63"/>
        <v>0</v>
      </c>
      <c r="R402" s="671">
        <f t="shared" si="64"/>
        <v>0</v>
      </c>
      <c r="S402" s="322">
        <f t="shared" si="55"/>
        <v>0</v>
      </c>
    </row>
    <row r="403" spans="1:19">
      <c r="A403" s="155"/>
      <c r="B403" s="57"/>
      <c r="C403" s="24">
        <f t="shared" si="56"/>
        <v>1</v>
      </c>
      <c r="D403" s="675"/>
      <c r="E403" s="24">
        <f t="shared" si="57"/>
        <v>1</v>
      </c>
      <c r="F403" s="675"/>
      <c r="G403" s="24">
        <f t="shared" si="58"/>
        <v>1</v>
      </c>
      <c r="H403" s="675"/>
      <c r="I403" s="24">
        <f t="shared" si="59"/>
        <v>1</v>
      </c>
      <c r="J403" s="675"/>
      <c r="K403" s="24">
        <f t="shared" si="60"/>
        <v>1</v>
      </c>
      <c r="L403" s="675"/>
      <c r="M403" s="24">
        <f t="shared" si="61"/>
        <v>1</v>
      </c>
      <c r="N403" s="675"/>
      <c r="O403" s="24">
        <f t="shared" si="62"/>
        <v>1</v>
      </c>
      <c r="P403" s="675"/>
      <c r="Q403" s="24">
        <f t="shared" si="63"/>
        <v>0</v>
      </c>
      <c r="R403" s="671">
        <f t="shared" si="64"/>
        <v>0</v>
      </c>
      <c r="S403" s="322">
        <f t="shared" si="55"/>
        <v>0</v>
      </c>
    </row>
    <row r="404" spans="1:19">
      <c r="A404" s="155"/>
      <c r="B404" s="57"/>
      <c r="C404" s="24">
        <f t="shared" si="56"/>
        <v>1</v>
      </c>
      <c r="D404" s="675"/>
      <c r="E404" s="24">
        <f t="shared" si="57"/>
        <v>1</v>
      </c>
      <c r="F404" s="675"/>
      <c r="G404" s="24">
        <f t="shared" si="58"/>
        <v>1</v>
      </c>
      <c r="H404" s="675"/>
      <c r="I404" s="24">
        <f t="shared" si="59"/>
        <v>1</v>
      </c>
      <c r="J404" s="675"/>
      <c r="K404" s="24">
        <f t="shared" si="60"/>
        <v>1</v>
      </c>
      <c r="L404" s="675"/>
      <c r="M404" s="24">
        <f t="shared" si="61"/>
        <v>1</v>
      </c>
      <c r="N404" s="675"/>
      <c r="O404" s="24">
        <f t="shared" si="62"/>
        <v>1</v>
      </c>
      <c r="P404" s="675"/>
      <c r="Q404" s="24">
        <f t="shared" si="63"/>
        <v>0</v>
      </c>
      <c r="R404" s="671">
        <f t="shared" si="64"/>
        <v>0</v>
      </c>
      <c r="S404" s="322">
        <f t="shared" si="55"/>
        <v>0</v>
      </c>
    </row>
    <row r="405" spans="1:19">
      <c r="A405" s="155"/>
      <c r="B405" s="57"/>
      <c r="C405" s="24">
        <f t="shared" si="56"/>
        <v>1</v>
      </c>
      <c r="D405" s="675"/>
      <c r="E405" s="24">
        <f t="shared" si="57"/>
        <v>1</v>
      </c>
      <c r="F405" s="675"/>
      <c r="G405" s="24">
        <f t="shared" si="58"/>
        <v>1</v>
      </c>
      <c r="H405" s="675"/>
      <c r="I405" s="24">
        <f t="shared" si="59"/>
        <v>1</v>
      </c>
      <c r="J405" s="675"/>
      <c r="K405" s="24">
        <f t="shared" si="60"/>
        <v>1</v>
      </c>
      <c r="L405" s="675"/>
      <c r="M405" s="24">
        <f t="shared" si="61"/>
        <v>1</v>
      </c>
      <c r="N405" s="675"/>
      <c r="O405" s="24">
        <f t="shared" si="62"/>
        <v>1</v>
      </c>
      <c r="P405" s="675"/>
      <c r="Q405" s="24">
        <f t="shared" si="63"/>
        <v>0</v>
      </c>
      <c r="R405" s="671">
        <f t="shared" si="64"/>
        <v>0</v>
      </c>
      <c r="S405" s="322">
        <f t="shared" si="55"/>
        <v>0</v>
      </c>
    </row>
    <row r="406" spans="1:19">
      <c r="A406" s="155"/>
      <c r="B406" s="57"/>
      <c r="C406" s="24">
        <f t="shared" si="56"/>
        <v>1</v>
      </c>
      <c r="D406" s="675"/>
      <c r="E406" s="24">
        <f t="shared" si="57"/>
        <v>1</v>
      </c>
      <c r="F406" s="675"/>
      <c r="G406" s="24">
        <f t="shared" si="58"/>
        <v>1</v>
      </c>
      <c r="H406" s="675"/>
      <c r="I406" s="24">
        <f t="shared" si="59"/>
        <v>1</v>
      </c>
      <c r="J406" s="675"/>
      <c r="K406" s="24">
        <f t="shared" si="60"/>
        <v>1</v>
      </c>
      <c r="L406" s="675"/>
      <c r="M406" s="24">
        <f t="shared" si="61"/>
        <v>1</v>
      </c>
      <c r="N406" s="675"/>
      <c r="O406" s="24">
        <f t="shared" si="62"/>
        <v>1</v>
      </c>
      <c r="P406" s="675"/>
      <c r="Q406" s="24">
        <f t="shared" si="63"/>
        <v>0</v>
      </c>
      <c r="R406" s="671">
        <f t="shared" si="64"/>
        <v>0</v>
      </c>
      <c r="S406" s="322">
        <f t="shared" si="55"/>
        <v>0</v>
      </c>
    </row>
    <row r="407" spans="1:19">
      <c r="A407" s="155"/>
      <c r="B407" s="57"/>
      <c r="C407" s="24">
        <f t="shared" si="56"/>
        <v>1</v>
      </c>
      <c r="D407" s="675"/>
      <c r="E407" s="24">
        <f t="shared" si="57"/>
        <v>1</v>
      </c>
      <c r="F407" s="675"/>
      <c r="G407" s="24">
        <f t="shared" si="58"/>
        <v>1</v>
      </c>
      <c r="H407" s="675"/>
      <c r="I407" s="24">
        <f t="shared" si="59"/>
        <v>1</v>
      </c>
      <c r="J407" s="675"/>
      <c r="K407" s="24">
        <f t="shared" si="60"/>
        <v>1</v>
      </c>
      <c r="L407" s="675"/>
      <c r="M407" s="24">
        <f t="shared" si="61"/>
        <v>1</v>
      </c>
      <c r="N407" s="675"/>
      <c r="O407" s="24">
        <f t="shared" si="62"/>
        <v>1</v>
      </c>
      <c r="P407" s="675"/>
      <c r="Q407" s="24">
        <f t="shared" si="63"/>
        <v>0</v>
      </c>
      <c r="R407" s="671">
        <f t="shared" si="64"/>
        <v>0</v>
      </c>
      <c r="S407" s="322">
        <f t="shared" si="55"/>
        <v>0</v>
      </c>
    </row>
    <row r="408" spans="1:19">
      <c r="A408" s="155"/>
      <c r="B408" s="57"/>
      <c r="C408" s="24">
        <f t="shared" si="56"/>
        <v>1</v>
      </c>
      <c r="D408" s="675"/>
      <c r="E408" s="24">
        <f t="shared" si="57"/>
        <v>1</v>
      </c>
      <c r="F408" s="675"/>
      <c r="G408" s="24">
        <f t="shared" si="58"/>
        <v>1</v>
      </c>
      <c r="H408" s="675"/>
      <c r="I408" s="24">
        <f t="shared" si="59"/>
        <v>1</v>
      </c>
      <c r="J408" s="675"/>
      <c r="K408" s="24">
        <f t="shared" si="60"/>
        <v>1</v>
      </c>
      <c r="L408" s="675"/>
      <c r="M408" s="24">
        <f t="shared" si="61"/>
        <v>1</v>
      </c>
      <c r="N408" s="675"/>
      <c r="O408" s="24">
        <f t="shared" si="62"/>
        <v>1</v>
      </c>
      <c r="P408" s="675"/>
      <c r="Q408" s="24">
        <f t="shared" si="63"/>
        <v>0</v>
      </c>
      <c r="R408" s="671">
        <f t="shared" si="64"/>
        <v>0</v>
      </c>
      <c r="S408" s="322">
        <f t="shared" ref="S408:S471" si="65">ROUND(R408*B408/10000,0)</f>
        <v>0</v>
      </c>
    </row>
    <row r="409" spans="1:19">
      <c r="A409" s="155"/>
      <c r="B409" s="57"/>
      <c r="C409" s="24">
        <f t="shared" si="56"/>
        <v>1</v>
      </c>
      <c r="D409" s="675"/>
      <c r="E409" s="24">
        <f t="shared" si="57"/>
        <v>1</v>
      </c>
      <c r="F409" s="675"/>
      <c r="G409" s="24">
        <f t="shared" si="58"/>
        <v>1</v>
      </c>
      <c r="H409" s="675"/>
      <c r="I409" s="24">
        <f t="shared" si="59"/>
        <v>1</v>
      </c>
      <c r="J409" s="675"/>
      <c r="K409" s="24">
        <f t="shared" si="60"/>
        <v>1</v>
      </c>
      <c r="L409" s="675"/>
      <c r="M409" s="24">
        <f t="shared" si="61"/>
        <v>1</v>
      </c>
      <c r="N409" s="675"/>
      <c r="O409" s="24">
        <f t="shared" si="62"/>
        <v>1</v>
      </c>
      <c r="P409" s="675"/>
      <c r="Q409" s="24">
        <f t="shared" si="63"/>
        <v>0</v>
      </c>
      <c r="R409" s="671">
        <f t="shared" si="64"/>
        <v>0</v>
      </c>
      <c r="S409" s="322">
        <f t="shared" si="65"/>
        <v>0</v>
      </c>
    </row>
    <row r="410" spans="1:19">
      <c r="A410" s="155"/>
      <c r="B410" s="57"/>
      <c r="C410" s="24">
        <f t="shared" ref="C410:C473" si="66">IF(B410="",1,(LOOKUP(B410,$3:$3,$4:$4)-LOOKUP($B$24,$3:$3,$4:$4)+100)/100)</f>
        <v>1</v>
      </c>
      <c r="D410" s="675"/>
      <c r="E410" s="24">
        <f t="shared" ref="E410:E473" si="67">(SUMIF($5:$5,D410,$6:$6)-SUMIF($5:$5,$D$24,$6:$6)+100)/100</f>
        <v>1</v>
      </c>
      <c r="F410" s="675"/>
      <c r="G410" s="24">
        <f t="shared" ref="G410:G473" si="68">(SUMIF($7:$7,F410,$8:$8)-SUMIF($7:$7,$F$24,$8:$8)+100)/100</f>
        <v>1</v>
      </c>
      <c r="H410" s="675"/>
      <c r="I410" s="24">
        <f t="shared" ref="I410:I473" si="69">(SUMIF($9:$9,H410,$10:$10)-SUMIF($9:$9,$H$24,$10:$10)+100)/100</f>
        <v>1</v>
      </c>
      <c r="J410" s="675"/>
      <c r="K410" s="24">
        <f t="shared" ref="K410:K473" si="70">(SUMIF($11:$11,J410,$12:$12)-SUMIF($11:$11,$J$24,$12:$12)+100)/100</f>
        <v>1</v>
      </c>
      <c r="L410" s="675"/>
      <c r="M410" s="24">
        <f t="shared" ref="M410:M473" si="71">(SUMIF($13:$13,L410,$14:$14)-SUMIF($13:$13,$L$24,$14:$14)+100)/100</f>
        <v>1</v>
      </c>
      <c r="N410" s="675"/>
      <c r="O410" s="24">
        <f t="shared" ref="O410:O473" si="72">(SUMIF($15:$15,N410,$16:$16)-SUMIF($15:$15,$N$24,$16:$16)+100)/100</f>
        <v>1</v>
      </c>
      <c r="P410" s="675"/>
      <c r="Q410" s="24">
        <f t="shared" ref="Q410:Q473" si="73">(SUMIF($17:$17,P410,$18:$18)-SUMIF($17:$17,$P$24,$18:$18)+100)/100</f>
        <v>0</v>
      </c>
      <c r="R410" s="671">
        <f t="shared" ref="R410:R473" si="74">IF(B410="",0,ROUND($R$24*C410*E410*G410*I410*K410*M410*O410*Q410,0))</f>
        <v>0</v>
      </c>
      <c r="S410" s="322">
        <f t="shared" si="65"/>
        <v>0</v>
      </c>
    </row>
    <row r="411" spans="1:19">
      <c r="A411" s="155"/>
      <c r="B411" s="57"/>
      <c r="C411" s="24">
        <f t="shared" si="66"/>
        <v>1</v>
      </c>
      <c r="D411" s="675"/>
      <c r="E411" s="24">
        <f t="shared" si="67"/>
        <v>1</v>
      </c>
      <c r="F411" s="675"/>
      <c r="G411" s="24">
        <f t="shared" si="68"/>
        <v>1</v>
      </c>
      <c r="H411" s="675"/>
      <c r="I411" s="24">
        <f t="shared" si="69"/>
        <v>1</v>
      </c>
      <c r="J411" s="675"/>
      <c r="K411" s="24">
        <f t="shared" si="70"/>
        <v>1</v>
      </c>
      <c r="L411" s="675"/>
      <c r="M411" s="24">
        <f t="shared" si="71"/>
        <v>1</v>
      </c>
      <c r="N411" s="675"/>
      <c r="O411" s="24">
        <f t="shared" si="72"/>
        <v>1</v>
      </c>
      <c r="P411" s="675"/>
      <c r="Q411" s="24">
        <f t="shared" si="73"/>
        <v>0</v>
      </c>
      <c r="R411" s="671">
        <f t="shared" si="74"/>
        <v>0</v>
      </c>
      <c r="S411" s="322">
        <f t="shared" si="65"/>
        <v>0</v>
      </c>
    </row>
    <row r="412" spans="1:19">
      <c r="A412" s="155"/>
      <c r="B412" s="57"/>
      <c r="C412" s="24">
        <f t="shared" si="66"/>
        <v>1</v>
      </c>
      <c r="D412" s="675"/>
      <c r="E412" s="24">
        <f t="shared" si="67"/>
        <v>1</v>
      </c>
      <c r="F412" s="675"/>
      <c r="G412" s="24">
        <f t="shared" si="68"/>
        <v>1</v>
      </c>
      <c r="H412" s="675"/>
      <c r="I412" s="24">
        <f t="shared" si="69"/>
        <v>1</v>
      </c>
      <c r="J412" s="675"/>
      <c r="K412" s="24">
        <f t="shared" si="70"/>
        <v>1</v>
      </c>
      <c r="L412" s="675"/>
      <c r="M412" s="24">
        <f t="shared" si="71"/>
        <v>1</v>
      </c>
      <c r="N412" s="675"/>
      <c r="O412" s="24">
        <f t="shared" si="72"/>
        <v>1</v>
      </c>
      <c r="P412" s="675"/>
      <c r="Q412" s="24">
        <f t="shared" si="73"/>
        <v>0</v>
      </c>
      <c r="R412" s="671">
        <f t="shared" si="74"/>
        <v>0</v>
      </c>
      <c r="S412" s="322">
        <f t="shared" si="65"/>
        <v>0</v>
      </c>
    </row>
    <row r="413" spans="1:19">
      <c r="A413" s="155"/>
      <c r="B413" s="57"/>
      <c r="C413" s="24">
        <f t="shared" si="66"/>
        <v>1</v>
      </c>
      <c r="D413" s="675"/>
      <c r="E413" s="24">
        <f t="shared" si="67"/>
        <v>1</v>
      </c>
      <c r="F413" s="675"/>
      <c r="G413" s="24">
        <f t="shared" si="68"/>
        <v>1</v>
      </c>
      <c r="H413" s="675"/>
      <c r="I413" s="24">
        <f t="shared" si="69"/>
        <v>1</v>
      </c>
      <c r="J413" s="675"/>
      <c r="K413" s="24">
        <f t="shared" si="70"/>
        <v>1</v>
      </c>
      <c r="L413" s="675"/>
      <c r="M413" s="24">
        <f t="shared" si="71"/>
        <v>1</v>
      </c>
      <c r="N413" s="675"/>
      <c r="O413" s="24">
        <f t="shared" si="72"/>
        <v>1</v>
      </c>
      <c r="P413" s="675"/>
      <c r="Q413" s="24">
        <f t="shared" si="73"/>
        <v>0</v>
      </c>
      <c r="R413" s="671">
        <f t="shared" si="74"/>
        <v>0</v>
      </c>
      <c r="S413" s="322">
        <f t="shared" si="65"/>
        <v>0</v>
      </c>
    </row>
    <row r="414" spans="1:19">
      <c r="A414" s="155"/>
      <c r="B414" s="57"/>
      <c r="C414" s="24">
        <f t="shared" si="66"/>
        <v>1</v>
      </c>
      <c r="D414" s="675"/>
      <c r="E414" s="24">
        <f t="shared" si="67"/>
        <v>1</v>
      </c>
      <c r="F414" s="675"/>
      <c r="G414" s="24">
        <f t="shared" si="68"/>
        <v>1</v>
      </c>
      <c r="H414" s="675"/>
      <c r="I414" s="24">
        <f t="shared" si="69"/>
        <v>1</v>
      </c>
      <c r="J414" s="675"/>
      <c r="K414" s="24">
        <f t="shared" si="70"/>
        <v>1</v>
      </c>
      <c r="L414" s="675"/>
      <c r="M414" s="24">
        <f t="shared" si="71"/>
        <v>1</v>
      </c>
      <c r="N414" s="675"/>
      <c r="O414" s="24">
        <f t="shared" si="72"/>
        <v>1</v>
      </c>
      <c r="P414" s="675"/>
      <c r="Q414" s="24">
        <f t="shared" si="73"/>
        <v>0</v>
      </c>
      <c r="R414" s="671">
        <f t="shared" si="74"/>
        <v>0</v>
      </c>
      <c r="S414" s="322">
        <f t="shared" si="65"/>
        <v>0</v>
      </c>
    </row>
    <row r="415" spans="1:19">
      <c r="A415" s="155"/>
      <c r="B415" s="57"/>
      <c r="C415" s="24">
        <f t="shared" si="66"/>
        <v>1</v>
      </c>
      <c r="D415" s="675"/>
      <c r="E415" s="24">
        <f t="shared" si="67"/>
        <v>1</v>
      </c>
      <c r="F415" s="675"/>
      <c r="G415" s="24">
        <f t="shared" si="68"/>
        <v>1</v>
      </c>
      <c r="H415" s="675"/>
      <c r="I415" s="24">
        <f t="shared" si="69"/>
        <v>1</v>
      </c>
      <c r="J415" s="675"/>
      <c r="K415" s="24">
        <f t="shared" si="70"/>
        <v>1</v>
      </c>
      <c r="L415" s="675"/>
      <c r="M415" s="24">
        <f t="shared" si="71"/>
        <v>1</v>
      </c>
      <c r="N415" s="675"/>
      <c r="O415" s="24">
        <f t="shared" si="72"/>
        <v>1</v>
      </c>
      <c r="P415" s="675"/>
      <c r="Q415" s="24">
        <f t="shared" si="73"/>
        <v>0</v>
      </c>
      <c r="R415" s="671">
        <f t="shared" si="74"/>
        <v>0</v>
      </c>
      <c r="S415" s="322">
        <f t="shared" si="65"/>
        <v>0</v>
      </c>
    </row>
    <row r="416" spans="1:19">
      <c r="A416" s="155"/>
      <c r="B416" s="57"/>
      <c r="C416" s="24">
        <f t="shared" si="66"/>
        <v>1</v>
      </c>
      <c r="D416" s="675"/>
      <c r="E416" s="24">
        <f t="shared" si="67"/>
        <v>1</v>
      </c>
      <c r="F416" s="675"/>
      <c r="G416" s="24">
        <f t="shared" si="68"/>
        <v>1</v>
      </c>
      <c r="H416" s="675"/>
      <c r="I416" s="24">
        <f t="shared" si="69"/>
        <v>1</v>
      </c>
      <c r="J416" s="675"/>
      <c r="K416" s="24">
        <f t="shared" si="70"/>
        <v>1</v>
      </c>
      <c r="L416" s="675"/>
      <c r="M416" s="24">
        <f t="shared" si="71"/>
        <v>1</v>
      </c>
      <c r="N416" s="675"/>
      <c r="O416" s="24">
        <f t="shared" si="72"/>
        <v>1</v>
      </c>
      <c r="P416" s="675"/>
      <c r="Q416" s="24">
        <f t="shared" si="73"/>
        <v>0</v>
      </c>
      <c r="R416" s="671">
        <f t="shared" si="74"/>
        <v>0</v>
      </c>
      <c r="S416" s="322">
        <f t="shared" si="65"/>
        <v>0</v>
      </c>
    </row>
    <row r="417" spans="1:19">
      <c r="A417" s="155"/>
      <c r="B417" s="57"/>
      <c r="C417" s="24">
        <f t="shared" si="66"/>
        <v>1</v>
      </c>
      <c r="D417" s="675"/>
      <c r="E417" s="24">
        <f t="shared" si="67"/>
        <v>1</v>
      </c>
      <c r="F417" s="675"/>
      <c r="G417" s="24">
        <f t="shared" si="68"/>
        <v>1</v>
      </c>
      <c r="H417" s="675"/>
      <c r="I417" s="24">
        <f t="shared" si="69"/>
        <v>1</v>
      </c>
      <c r="J417" s="675"/>
      <c r="K417" s="24">
        <f t="shared" si="70"/>
        <v>1</v>
      </c>
      <c r="L417" s="675"/>
      <c r="M417" s="24">
        <f t="shared" si="71"/>
        <v>1</v>
      </c>
      <c r="N417" s="675"/>
      <c r="O417" s="24">
        <f t="shared" si="72"/>
        <v>1</v>
      </c>
      <c r="P417" s="675"/>
      <c r="Q417" s="24">
        <f t="shared" si="73"/>
        <v>0</v>
      </c>
      <c r="R417" s="671">
        <f t="shared" si="74"/>
        <v>0</v>
      </c>
      <c r="S417" s="322">
        <f t="shared" si="65"/>
        <v>0</v>
      </c>
    </row>
    <row r="418" spans="1:19">
      <c r="A418" s="155"/>
      <c r="B418" s="57"/>
      <c r="C418" s="24">
        <f t="shared" si="66"/>
        <v>1</v>
      </c>
      <c r="D418" s="675"/>
      <c r="E418" s="24">
        <f t="shared" si="67"/>
        <v>1</v>
      </c>
      <c r="F418" s="675"/>
      <c r="G418" s="24">
        <f t="shared" si="68"/>
        <v>1</v>
      </c>
      <c r="H418" s="675"/>
      <c r="I418" s="24">
        <f t="shared" si="69"/>
        <v>1</v>
      </c>
      <c r="J418" s="675"/>
      <c r="K418" s="24">
        <f t="shared" si="70"/>
        <v>1</v>
      </c>
      <c r="L418" s="675"/>
      <c r="M418" s="24">
        <f t="shared" si="71"/>
        <v>1</v>
      </c>
      <c r="N418" s="675"/>
      <c r="O418" s="24">
        <f t="shared" si="72"/>
        <v>1</v>
      </c>
      <c r="P418" s="675"/>
      <c r="Q418" s="24">
        <f t="shared" si="73"/>
        <v>0</v>
      </c>
      <c r="R418" s="671">
        <f t="shared" si="74"/>
        <v>0</v>
      </c>
      <c r="S418" s="322">
        <f t="shared" si="65"/>
        <v>0</v>
      </c>
    </row>
    <row r="419" spans="1:19">
      <c r="A419" s="155"/>
      <c r="B419" s="57"/>
      <c r="C419" s="24">
        <f t="shared" si="66"/>
        <v>1</v>
      </c>
      <c r="D419" s="675"/>
      <c r="E419" s="24">
        <f t="shared" si="67"/>
        <v>1</v>
      </c>
      <c r="F419" s="675"/>
      <c r="G419" s="24">
        <f t="shared" si="68"/>
        <v>1</v>
      </c>
      <c r="H419" s="675"/>
      <c r="I419" s="24">
        <f t="shared" si="69"/>
        <v>1</v>
      </c>
      <c r="J419" s="675"/>
      <c r="K419" s="24">
        <f t="shared" si="70"/>
        <v>1</v>
      </c>
      <c r="L419" s="675"/>
      <c r="M419" s="24">
        <f t="shared" si="71"/>
        <v>1</v>
      </c>
      <c r="N419" s="675"/>
      <c r="O419" s="24">
        <f t="shared" si="72"/>
        <v>1</v>
      </c>
      <c r="P419" s="675"/>
      <c r="Q419" s="24">
        <f t="shared" si="73"/>
        <v>0</v>
      </c>
      <c r="R419" s="671">
        <f t="shared" si="74"/>
        <v>0</v>
      </c>
      <c r="S419" s="322">
        <f t="shared" si="65"/>
        <v>0</v>
      </c>
    </row>
    <row r="420" spans="1:19">
      <c r="A420" s="155"/>
      <c r="B420" s="57"/>
      <c r="C420" s="24">
        <f t="shared" si="66"/>
        <v>1</v>
      </c>
      <c r="D420" s="675"/>
      <c r="E420" s="24">
        <f t="shared" si="67"/>
        <v>1</v>
      </c>
      <c r="F420" s="675"/>
      <c r="G420" s="24">
        <f t="shared" si="68"/>
        <v>1</v>
      </c>
      <c r="H420" s="675"/>
      <c r="I420" s="24">
        <f t="shared" si="69"/>
        <v>1</v>
      </c>
      <c r="J420" s="675"/>
      <c r="K420" s="24">
        <f t="shared" si="70"/>
        <v>1</v>
      </c>
      <c r="L420" s="675"/>
      <c r="M420" s="24">
        <f t="shared" si="71"/>
        <v>1</v>
      </c>
      <c r="N420" s="675"/>
      <c r="O420" s="24">
        <f t="shared" si="72"/>
        <v>1</v>
      </c>
      <c r="P420" s="675"/>
      <c r="Q420" s="24">
        <f t="shared" si="73"/>
        <v>0</v>
      </c>
      <c r="R420" s="671">
        <f t="shared" si="74"/>
        <v>0</v>
      </c>
      <c r="S420" s="322">
        <f t="shared" si="65"/>
        <v>0</v>
      </c>
    </row>
    <row r="421" spans="1:19">
      <c r="A421" s="155"/>
      <c r="B421" s="57"/>
      <c r="C421" s="24">
        <f t="shared" si="66"/>
        <v>1</v>
      </c>
      <c r="D421" s="675"/>
      <c r="E421" s="24">
        <f t="shared" si="67"/>
        <v>1</v>
      </c>
      <c r="F421" s="675"/>
      <c r="G421" s="24">
        <f t="shared" si="68"/>
        <v>1</v>
      </c>
      <c r="H421" s="675"/>
      <c r="I421" s="24">
        <f t="shared" si="69"/>
        <v>1</v>
      </c>
      <c r="J421" s="675"/>
      <c r="K421" s="24">
        <f t="shared" si="70"/>
        <v>1</v>
      </c>
      <c r="L421" s="675"/>
      <c r="M421" s="24">
        <f t="shared" si="71"/>
        <v>1</v>
      </c>
      <c r="N421" s="675"/>
      <c r="O421" s="24">
        <f t="shared" si="72"/>
        <v>1</v>
      </c>
      <c r="P421" s="675"/>
      <c r="Q421" s="24">
        <f t="shared" si="73"/>
        <v>0</v>
      </c>
      <c r="R421" s="671">
        <f t="shared" si="74"/>
        <v>0</v>
      </c>
      <c r="S421" s="322">
        <f t="shared" si="65"/>
        <v>0</v>
      </c>
    </row>
    <row r="422" spans="1:19">
      <c r="A422" s="155"/>
      <c r="B422" s="57"/>
      <c r="C422" s="24">
        <f t="shared" si="66"/>
        <v>1</v>
      </c>
      <c r="D422" s="675"/>
      <c r="E422" s="24">
        <f t="shared" si="67"/>
        <v>1</v>
      </c>
      <c r="F422" s="675"/>
      <c r="G422" s="24">
        <f t="shared" si="68"/>
        <v>1</v>
      </c>
      <c r="H422" s="675"/>
      <c r="I422" s="24">
        <f t="shared" si="69"/>
        <v>1</v>
      </c>
      <c r="J422" s="675"/>
      <c r="K422" s="24">
        <f t="shared" si="70"/>
        <v>1</v>
      </c>
      <c r="L422" s="675"/>
      <c r="M422" s="24">
        <f t="shared" si="71"/>
        <v>1</v>
      </c>
      <c r="N422" s="675"/>
      <c r="O422" s="24">
        <f t="shared" si="72"/>
        <v>1</v>
      </c>
      <c r="P422" s="675"/>
      <c r="Q422" s="24">
        <f t="shared" si="73"/>
        <v>0</v>
      </c>
      <c r="R422" s="671">
        <f t="shared" si="74"/>
        <v>0</v>
      </c>
      <c r="S422" s="322">
        <f t="shared" si="65"/>
        <v>0</v>
      </c>
    </row>
    <row r="423" spans="1:19">
      <c r="A423" s="155"/>
      <c r="B423" s="57"/>
      <c r="C423" s="24">
        <f t="shared" si="66"/>
        <v>1</v>
      </c>
      <c r="D423" s="675"/>
      <c r="E423" s="24">
        <f t="shared" si="67"/>
        <v>1</v>
      </c>
      <c r="F423" s="675"/>
      <c r="G423" s="24">
        <f t="shared" si="68"/>
        <v>1</v>
      </c>
      <c r="H423" s="675"/>
      <c r="I423" s="24">
        <f t="shared" si="69"/>
        <v>1</v>
      </c>
      <c r="J423" s="675"/>
      <c r="K423" s="24">
        <f t="shared" si="70"/>
        <v>1</v>
      </c>
      <c r="L423" s="675"/>
      <c r="M423" s="24">
        <f t="shared" si="71"/>
        <v>1</v>
      </c>
      <c r="N423" s="675"/>
      <c r="O423" s="24">
        <f t="shared" si="72"/>
        <v>1</v>
      </c>
      <c r="P423" s="675"/>
      <c r="Q423" s="24">
        <f t="shared" si="73"/>
        <v>0</v>
      </c>
      <c r="R423" s="671">
        <f t="shared" si="74"/>
        <v>0</v>
      </c>
      <c r="S423" s="322">
        <f t="shared" si="65"/>
        <v>0</v>
      </c>
    </row>
    <row r="424" spans="1:19">
      <c r="A424" s="155"/>
      <c r="B424" s="57"/>
      <c r="C424" s="24">
        <f t="shared" si="66"/>
        <v>1</v>
      </c>
      <c r="D424" s="675"/>
      <c r="E424" s="24">
        <f t="shared" si="67"/>
        <v>1</v>
      </c>
      <c r="F424" s="675"/>
      <c r="G424" s="24">
        <f t="shared" si="68"/>
        <v>1</v>
      </c>
      <c r="H424" s="675"/>
      <c r="I424" s="24">
        <f t="shared" si="69"/>
        <v>1</v>
      </c>
      <c r="J424" s="675"/>
      <c r="K424" s="24">
        <f t="shared" si="70"/>
        <v>1</v>
      </c>
      <c r="L424" s="675"/>
      <c r="M424" s="24">
        <f t="shared" si="71"/>
        <v>1</v>
      </c>
      <c r="N424" s="675"/>
      <c r="O424" s="24">
        <f t="shared" si="72"/>
        <v>1</v>
      </c>
      <c r="P424" s="675"/>
      <c r="Q424" s="24">
        <f t="shared" si="73"/>
        <v>0</v>
      </c>
      <c r="R424" s="671">
        <f t="shared" si="74"/>
        <v>0</v>
      </c>
      <c r="S424" s="322">
        <f t="shared" si="65"/>
        <v>0</v>
      </c>
    </row>
    <row r="425" spans="1:19">
      <c r="A425" s="155"/>
      <c r="B425" s="57"/>
      <c r="C425" s="24">
        <f t="shared" si="66"/>
        <v>1</v>
      </c>
      <c r="D425" s="675"/>
      <c r="E425" s="24">
        <f t="shared" si="67"/>
        <v>1</v>
      </c>
      <c r="F425" s="675"/>
      <c r="G425" s="24">
        <f t="shared" si="68"/>
        <v>1</v>
      </c>
      <c r="H425" s="675"/>
      <c r="I425" s="24">
        <f t="shared" si="69"/>
        <v>1</v>
      </c>
      <c r="J425" s="675"/>
      <c r="K425" s="24">
        <f t="shared" si="70"/>
        <v>1</v>
      </c>
      <c r="L425" s="675"/>
      <c r="M425" s="24">
        <f t="shared" si="71"/>
        <v>1</v>
      </c>
      <c r="N425" s="675"/>
      <c r="O425" s="24">
        <f t="shared" si="72"/>
        <v>1</v>
      </c>
      <c r="P425" s="675"/>
      <c r="Q425" s="24">
        <f t="shared" si="73"/>
        <v>0</v>
      </c>
      <c r="R425" s="671">
        <f t="shared" si="74"/>
        <v>0</v>
      </c>
      <c r="S425" s="322">
        <f t="shared" si="65"/>
        <v>0</v>
      </c>
    </row>
    <row r="426" spans="1:19">
      <c r="A426" s="155"/>
      <c r="B426" s="57"/>
      <c r="C426" s="24">
        <f t="shared" si="66"/>
        <v>1</v>
      </c>
      <c r="D426" s="675"/>
      <c r="E426" s="24">
        <f t="shared" si="67"/>
        <v>1</v>
      </c>
      <c r="F426" s="675"/>
      <c r="G426" s="24">
        <f t="shared" si="68"/>
        <v>1</v>
      </c>
      <c r="H426" s="675"/>
      <c r="I426" s="24">
        <f t="shared" si="69"/>
        <v>1</v>
      </c>
      <c r="J426" s="675"/>
      <c r="K426" s="24">
        <f t="shared" si="70"/>
        <v>1</v>
      </c>
      <c r="L426" s="675"/>
      <c r="M426" s="24">
        <f t="shared" si="71"/>
        <v>1</v>
      </c>
      <c r="N426" s="675"/>
      <c r="O426" s="24">
        <f t="shared" si="72"/>
        <v>1</v>
      </c>
      <c r="P426" s="675"/>
      <c r="Q426" s="24">
        <f t="shared" si="73"/>
        <v>0</v>
      </c>
      <c r="R426" s="671">
        <f t="shared" si="74"/>
        <v>0</v>
      </c>
      <c r="S426" s="322">
        <f t="shared" si="65"/>
        <v>0</v>
      </c>
    </row>
    <row r="427" spans="1:19">
      <c r="A427" s="155"/>
      <c r="B427" s="57"/>
      <c r="C427" s="24">
        <f t="shared" si="66"/>
        <v>1</v>
      </c>
      <c r="D427" s="675"/>
      <c r="E427" s="24">
        <f t="shared" si="67"/>
        <v>1</v>
      </c>
      <c r="F427" s="675"/>
      <c r="G427" s="24">
        <f t="shared" si="68"/>
        <v>1</v>
      </c>
      <c r="H427" s="675"/>
      <c r="I427" s="24">
        <f t="shared" si="69"/>
        <v>1</v>
      </c>
      <c r="J427" s="675"/>
      <c r="K427" s="24">
        <f t="shared" si="70"/>
        <v>1</v>
      </c>
      <c r="L427" s="675"/>
      <c r="M427" s="24">
        <f t="shared" si="71"/>
        <v>1</v>
      </c>
      <c r="N427" s="675"/>
      <c r="O427" s="24">
        <f t="shared" si="72"/>
        <v>1</v>
      </c>
      <c r="P427" s="675"/>
      <c r="Q427" s="24">
        <f t="shared" si="73"/>
        <v>0</v>
      </c>
      <c r="R427" s="671">
        <f t="shared" si="74"/>
        <v>0</v>
      </c>
      <c r="S427" s="322">
        <f t="shared" si="65"/>
        <v>0</v>
      </c>
    </row>
    <row r="428" spans="1:19">
      <c r="A428" s="155"/>
      <c r="B428" s="57"/>
      <c r="C428" s="24">
        <f t="shared" si="66"/>
        <v>1</v>
      </c>
      <c r="D428" s="675"/>
      <c r="E428" s="24">
        <f t="shared" si="67"/>
        <v>1</v>
      </c>
      <c r="F428" s="675"/>
      <c r="G428" s="24">
        <f t="shared" si="68"/>
        <v>1</v>
      </c>
      <c r="H428" s="675"/>
      <c r="I428" s="24">
        <f t="shared" si="69"/>
        <v>1</v>
      </c>
      <c r="J428" s="675"/>
      <c r="K428" s="24">
        <f t="shared" si="70"/>
        <v>1</v>
      </c>
      <c r="L428" s="675"/>
      <c r="M428" s="24">
        <f t="shared" si="71"/>
        <v>1</v>
      </c>
      <c r="N428" s="675"/>
      <c r="O428" s="24">
        <f t="shared" si="72"/>
        <v>1</v>
      </c>
      <c r="P428" s="675"/>
      <c r="Q428" s="24">
        <f t="shared" si="73"/>
        <v>0</v>
      </c>
      <c r="R428" s="671">
        <f t="shared" si="74"/>
        <v>0</v>
      </c>
      <c r="S428" s="322">
        <f t="shared" si="65"/>
        <v>0</v>
      </c>
    </row>
    <row r="429" spans="1:19">
      <c r="A429" s="155"/>
      <c r="B429" s="57"/>
      <c r="C429" s="24">
        <f t="shared" si="66"/>
        <v>1</v>
      </c>
      <c r="D429" s="675"/>
      <c r="E429" s="24">
        <f t="shared" si="67"/>
        <v>1</v>
      </c>
      <c r="F429" s="675"/>
      <c r="G429" s="24">
        <f t="shared" si="68"/>
        <v>1</v>
      </c>
      <c r="H429" s="675"/>
      <c r="I429" s="24">
        <f t="shared" si="69"/>
        <v>1</v>
      </c>
      <c r="J429" s="675"/>
      <c r="K429" s="24">
        <f t="shared" si="70"/>
        <v>1</v>
      </c>
      <c r="L429" s="675"/>
      <c r="M429" s="24">
        <f t="shared" si="71"/>
        <v>1</v>
      </c>
      <c r="N429" s="675"/>
      <c r="O429" s="24">
        <f t="shared" si="72"/>
        <v>1</v>
      </c>
      <c r="P429" s="675"/>
      <c r="Q429" s="24">
        <f t="shared" si="73"/>
        <v>0</v>
      </c>
      <c r="R429" s="671">
        <f t="shared" si="74"/>
        <v>0</v>
      </c>
      <c r="S429" s="322">
        <f t="shared" si="65"/>
        <v>0</v>
      </c>
    </row>
    <row r="430" spans="1:19">
      <c r="A430" s="155"/>
      <c r="B430" s="57"/>
      <c r="C430" s="24">
        <f t="shared" si="66"/>
        <v>1</v>
      </c>
      <c r="D430" s="675"/>
      <c r="E430" s="24">
        <f t="shared" si="67"/>
        <v>1</v>
      </c>
      <c r="F430" s="675"/>
      <c r="G430" s="24">
        <f t="shared" si="68"/>
        <v>1</v>
      </c>
      <c r="H430" s="675"/>
      <c r="I430" s="24">
        <f t="shared" si="69"/>
        <v>1</v>
      </c>
      <c r="J430" s="675"/>
      <c r="K430" s="24">
        <f t="shared" si="70"/>
        <v>1</v>
      </c>
      <c r="L430" s="675"/>
      <c r="M430" s="24">
        <f t="shared" si="71"/>
        <v>1</v>
      </c>
      <c r="N430" s="675"/>
      <c r="O430" s="24">
        <f t="shared" si="72"/>
        <v>1</v>
      </c>
      <c r="P430" s="675"/>
      <c r="Q430" s="24">
        <f t="shared" si="73"/>
        <v>0</v>
      </c>
      <c r="R430" s="671">
        <f t="shared" si="74"/>
        <v>0</v>
      </c>
      <c r="S430" s="322">
        <f t="shared" si="65"/>
        <v>0</v>
      </c>
    </row>
    <row r="431" spans="1:19">
      <c r="A431" s="155"/>
      <c r="B431" s="57"/>
      <c r="C431" s="24">
        <f t="shared" si="66"/>
        <v>1</v>
      </c>
      <c r="D431" s="675"/>
      <c r="E431" s="24">
        <f t="shared" si="67"/>
        <v>1</v>
      </c>
      <c r="F431" s="675"/>
      <c r="G431" s="24">
        <f t="shared" si="68"/>
        <v>1</v>
      </c>
      <c r="H431" s="675"/>
      <c r="I431" s="24">
        <f t="shared" si="69"/>
        <v>1</v>
      </c>
      <c r="J431" s="675"/>
      <c r="K431" s="24">
        <f t="shared" si="70"/>
        <v>1</v>
      </c>
      <c r="L431" s="675"/>
      <c r="M431" s="24">
        <f t="shared" si="71"/>
        <v>1</v>
      </c>
      <c r="N431" s="675"/>
      <c r="O431" s="24">
        <f t="shared" si="72"/>
        <v>1</v>
      </c>
      <c r="P431" s="675"/>
      <c r="Q431" s="24">
        <f t="shared" si="73"/>
        <v>0</v>
      </c>
      <c r="R431" s="671">
        <f t="shared" si="74"/>
        <v>0</v>
      </c>
      <c r="S431" s="322">
        <f t="shared" si="65"/>
        <v>0</v>
      </c>
    </row>
    <row r="432" spans="1:19">
      <c r="A432" s="155"/>
      <c r="B432" s="57"/>
      <c r="C432" s="24">
        <f t="shared" si="66"/>
        <v>1</v>
      </c>
      <c r="D432" s="675"/>
      <c r="E432" s="24">
        <f t="shared" si="67"/>
        <v>1</v>
      </c>
      <c r="F432" s="675"/>
      <c r="G432" s="24">
        <f t="shared" si="68"/>
        <v>1</v>
      </c>
      <c r="H432" s="675"/>
      <c r="I432" s="24">
        <f t="shared" si="69"/>
        <v>1</v>
      </c>
      <c r="J432" s="675"/>
      <c r="K432" s="24">
        <f t="shared" si="70"/>
        <v>1</v>
      </c>
      <c r="L432" s="675"/>
      <c r="M432" s="24">
        <f t="shared" si="71"/>
        <v>1</v>
      </c>
      <c r="N432" s="675"/>
      <c r="O432" s="24">
        <f t="shared" si="72"/>
        <v>1</v>
      </c>
      <c r="P432" s="675"/>
      <c r="Q432" s="24">
        <f t="shared" si="73"/>
        <v>0</v>
      </c>
      <c r="R432" s="671">
        <f t="shared" si="74"/>
        <v>0</v>
      </c>
      <c r="S432" s="322">
        <f t="shared" si="65"/>
        <v>0</v>
      </c>
    </row>
    <row r="433" spans="1:19">
      <c r="A433" s="155"/>
      <c r="B433" s="57"/>
      <c r="C433" s="24">
        <f t="shared" si="66"/>
        <v>1</v>
      </c>
      <c r="D433" s="675"/>
      <c r="E433" s="24">
        <f t="shared" si="67"/>
        <v>1</v>
      </c>
      <c r="F433" s="675"/>
      <c r="G433" s="24">
        <f t="shared" si="68"/>
        <v>1</v>
      </c>
      <c r="H433" s="675"/>
      <c r="I433" s="24">
        <f t="shared" si="69"/>
        <v>1</v>
      </c>
      <c r="J433" s="675"/>
      <c r="K433" s="24">
        <f t="shared" si="70"/>
        <v>1</v>
      </c>
      <c r="L433" s="675"/>
      <c r="M433" s="24">
        <f t="shared" si="71"/>
        <v>1</v>
      </c>
      <c r="N433" s="675"/>
      <c r="O433" s="24">
        <f t="shared" si="72"/>
        <v>1</v>
      </c>
      <c r="P433" s="675"/>
      <c r="Q433" s="24">
        <f t="shared" si="73"/>
        <v>0</v>
      </c>
      <c r="R433" s="671">
        <f t="shared" si="74"/>
        <v>0</v>
      </c>
      <c r="S433" s="322">
        <f t="shared" si="65"/>
        <v>0</v>
      </c>
    </row>
    <row r="434" spans="1:19">
      <c r="A434" s="155"/>
      <c r="B434" s="57"/>
      <c r="C434" s="24">
        <f t="shared" si="66"/>
        <v>1</v>
      </c>
      <c r="D434" s="675"/>
      <c r="E434" s="24">
        <f t="shared" si="67"/>
        <v>1</v>
      </c>
      <c r="F434" s="675"/>
      <c r="G434" s="24">
        <f t="shared" si="68"/>
        <v>1</v>
      </c>
      <c r="H434" s="675"/>
      <c r="I434" s="24">
        <f t="shared" si="69"/>
        <v>1</v>
      </c>
      <c r="J434" s="675"/>
      <c r="K434" s="24">
        <f t="shared" si="70"/>
        <v>1</v>
      </c>
      <c r="L434" s="675"/>
      <c r="M434" s="24">
        <f t="shared" si="71"/>
        <v>1</v>
      </c>
      <c r="N434" s="675"/>
      <c r="O434" s="24">
        <f t="shared" si="72"/>
        <v>1</v>
      </c>
      <c r="P434" s="675"/>
      <c r="Q434" s="24">
        <f t="shared" si="73"/>
        <v>0</v>
      </c>
      <c r="R434" s="671">
        <f t="shared" si="74"/>
        <v>0</v>
      </c>
      <c r="S434" s="322">
        <f t="shared" si="65"/>
        <v>0</v>
      </c>
    </row>
    <row r="435" spans="1:19">
      <c r="A435" s="155"/>
      <c r="B435" s="57"/>
      <c r="C435" s="24">
        <f t="shared" si="66"/>
        <v>1</v>
      </c>
      <c r="D435" s="675"/>
      <c r="E435" s="24">
        <f t="shared" si="67"/>
        <v>1</v>
      </c>
      <c r="F435" s="675"/>
      <c r="G435" s="24">
        <f t="shared" si="68"/>
        <v>1</v>
      </c>
      <c r="H435" s="675"/>
      <c r="I435" s="24">
        <f t="shared" si="69"/>
        <v>1</v>
      </c>
      <c r="J435" s="675"/>
      <c r="K435" s="24">
        <f t="shared" si="70"/>
        <v>1</v>
      </c>
      <c r="L435" s="675"/>
      <c r="M435" s="24">
        <f t="shared" si="71"/>
        <v>1</v>
      </c>
      <c r="N435" s="675"/>
      <c r="O435" s="24">
        <f t="shared" si="72"/>
        <v>1</v>
      </c>
      <c r="P435" s="675"/>
      <c r="Q435" s="24">
        <f t="shared" si="73"/>
        <v>0</v>
      </c>
      <c r="R435" s="671">
        <f t="shared" si="74"/>
        <v>0</v>
      </c>
      <c r="S435" s="322">
        <f t="shared" si="65"/>
        <v>0</v>
      </c>
    </row>
    <row r="436" spans="1:19">
      <c r="A436" s="155"/>
      <c r="B436" s="57"/>
      <c r="C436" s="24">
        <f t="shared" si="66"/>
        <v>1</v>
      </c>
      <c r="D436" s="675"/>
      <c r="E436" s="24">
        <f t="shared" si="67"/>
        <v>1</v>
      </c>
      <c r="F436" s="675"/>
      <c r="G436" s="24">
        <f t="shared" si="68"/>
        <v>1</v>
      </c>
      <c r="H436" s="675"/>
      <c r="I436" s="24">
        <f t="shared" si="69"/>
        <v>1</v>
      </c>
      <c r="J436" s="675"/>
      <c r="K436" s="24">
        <f t="shared" si="70"/>
        <v>1</v>
      </c>
      <c r="L436" s="675"/>
      <c r="M436" s="24">
        <f t="shared" si="71"/>
        <v>1</v>
      </c>
      <c r="N436" s="675"/>
      <c r="O436" s="24">
        <f t="shared" si="72"/>
        <v>1</v>
      </c>
      <c r="P436" s="675"/>
      <c r="Q436" s="24">
        <f t="shared" si="73"/>
        <v>0</v>
      </c>
      <c r="R436" s="671">
        <f t="shared" si="74"/>
        <v>0</v>
      </c>
      <c r="S436" s="322">
        <f t="shared" si="65"/>
        <v>0</v>
      </c>
    </row>
    <row r="437" spans="1:19">
      <c r="A437" s="155"/>
      <c r="B437" s="57"/>
      <c r="C437" s="24">
        <f t="shared" si="66"/>
        <v>1</v>
      </c>
      <c r="D437" s="675"/>
      <c r="E437" s="24">
        <f t="shared" si="67"/>
        <v>1</v>
      </c>
      <c r="F437" s="675"/>
      <c r="G437" s="24">
        <f t="shared" si="68"/>
        <v>1</v>
      </c>
      <c r="H437" s="675"/>
      <c r="I437" s="24">
        <f t="shared" si="69"/>
        <v>1</v>
      </c>
      <c r="J437" s="675"/>
      <c r="K437" s="24">
        <f t="shared" si="70"/>
        <v>1</v>
      </c>
      <c r="L437" s="675"/>
      <c r="M437" s="24">
        <f t="shared" si="71"/>
        <v>1</v>
      </c>
      <c r="N437" s="675"/>
      <c r="O437" s="24">
        <f t="shared" si="72"/>
        <v>1</v>
      </c>
      <c r="P437" s="675"/>
      <c r="Q437" s="24">
        <f t="shared" si="73"/>
        <v>0</v>
      </c>
      <c r="R437" s="671">
        <f t="shared" si="74"/>
        <v>0</v>
      </c>
      <c r="S437" s="322">
        <f t="shared" si="65"/>
        <v>0</v>
      </c>
    </row>
    <row r="438" spans="1:19">
      <c r="A438" s="155"/>
      <c r="B438" s="57"/>
      <c r="C438" s="24">
        <f t="shared" si="66"/>
        <v>1</v>
      </c>
      <c r="D438" s="675"/>
      <c r="E438" s="24">
        <f t="shared" si="67"/>
        <v>1</v>
      </c>
      <c r="F438" s="675"/>
      <c r="G438" s="24">
        <f t="shared" si="68"/>
        <v>1</v>
      </c>
      <c r="H438" s="675"/>
      <c r="I438" s="24">
        <f t="shared" si="69"/>
        <v>1</v>
      </c>
      <c r="J438" s="675"/>
      <c r="K438" s="24">
        <f t="shared" si="70"/>
        <v>1</v>
      </c>
      <c r="L438" s="675"/>
      <c r="M438" s="24">
        <f t="shared" si="71"/>
        <v>1</v>
      </c>
      <c r="N438" s="675"/>
      <c r="O438" s="24">
        <f t="shared" si="72"/>
        <v>1</v>
      </c>
      <c r="P438" s="675"/>
      <c r="Q438" s="24">
        <f t="shared" si="73"/>
        <v>0</v>
      </c>
      <c r="R438" s="671">
        <f t="shared" si="74"/>
        <v>0</v>
      </c>
      <c r="S438" s="322">
        <f t="shared" si="65"/>
        <v>0</v>
      </c>
    </row>
    <row r="439" spans="1:19">
      <c r="A439" s="155"/>
      <c r="B439" s="57"/>
      <c r="C439" s="24">
        <f t="shared" si="66"/>
        <v>1</v>
      </c>
      <c r="D439" s="675"/>
      <c r="E439" s="24">
        <f t="shared" si="67"/>
        <v>1</v>
      </c>
      <c r="F439" s="675"/>
      <c r="G439" s="24">
        <f t="shared" si="68"/>
        <v>1</v>
      </c>
      <c r="H439" s="675"/>
      <c r="I439" s="24">
        <f t="shared" si="69"/>
        <v>1</v>
      </c>
      <c r="J439" s="675"/>
      <c r="K439" s="24">
        <f t="shared" si="70"/>
        <v>1</v>
      </c>
      <c r="L439" s="675"/>
      <c r="M439" s="24">
        <f t="shared" si="71"/>
        <v>1</v>
      </c>
      <c r="N439" s="675"/>
      <c r="O439" s="24">
        <f t="shared" si="72"/>
        <v>1</v>
      </c>
      <c r="P439" s="675"/>
      <c r="Q439" s="24">
        <f t="shared" si="73"/>
        <v>0</v>
      </c>
      <c r="R439" s="671">
        <f t="shared" si="74"/>
        <v>0</v>
      </c>
      <c r="S439" s="322">
        <f t="shared" si="65"/>
        <v>0</v>
      </c>
    </row>
    <row r="440" spans="1:19">
      <c r="A440" s="155"/>
      <c r="B440" s="57"/>
      <c r="C440" s="24">
        <f t="shared" si="66"/>
        <v>1</v>
      </c>
      <c r="D440" s="675"/>
      <c r="E440" s="24">
        <f t="shared" si="67"/>
        <v>1</v>
      </c>
      <c r="F440" s="675"/>
      <c r="G440" s="24">
        <f t="shared" si="68"/>
        <v>1</v>
      </c>
      <c r="H440" s="675"/>
      <c r="I440" s="24">
        <f t="shared" si="69"/>
        <v>1</v>
      </c>
      <c r="J440" s="675"/>
      <c r="K440" s="24">
        <f t="shared" si="70"/>
        <v>1</v>
      </c>
      <c r="L440" s="675"/>
      <c r="M440" s="24">
        <f t="shared" si="71"/>
        <v>1</v>
      </c>
      <c r="N440" s="675"/>
      <c r="O440" s="24">
        <f t="shared" si="72"/>
        <v>1</v>
      </c>
      <c r="P440" s="675"/>
      <c r="Q440" s="24">
        <f t="shared" si="73"/>
        <v>0</v>
      </c>
      <c r="R440" s="671">
        <f t="shared" si="74"/>
        <v>0</v>
      </c>
      <c r="S440" s="322">
        <f t="shared" si="65"/>
        <v>0</v>
      </c>
    </row>
    <row r="441" spans="1:19">
      <c r="A441" s="155"/>
      <c r="B441" s="57"/>
      <c r="C441" s="24">
        <f t="shared" si="66"/>
        <v>1</v>
      </c>
      <c r="D441" s="675"/>
      <c r="E441" s="24">
        <f t="shared" si="67"/>
        <v>1</v>
      </c>
      <c r="F441" s="675"/>
      <c r="G441" s="24">
        <f t="shared" si="68"/>
        <v>1</v>
      </c>
      <c r="H441" s="675"/>
      <c r="I441" s="24">
        <f t="shared" si="69"/>
        <v>1</v>
      </c>
      <c r="J441" s="675"/>
      <c r="K441" s="24">
        <f t="shared" si="70"/>
        <v>1</v>
      </c>
      <c r="L441" s="675"/>
      <c r="M441" s="24">
        <f t="shared" si="71"/>
        <v>1</v>
      </c>
      <c r="N441" s="675"/>
      <c r="O441" s="24">
        <f t="shared" si="72"/>
        <v>1</v>
      </c>
      <c r="P441" s="675"/>
      <c r="Q441" s="24">
        <f t="shared" si="73"/>
        <v>0</v>
      </c>
      <c r="R441" s="671">
        <f t="shared" si="74"/>
        <v>0</v>
      </c>
      <c r="S441" s="322">
        <f t="shared" si="65"/>
        <v>0</v>
      </c>
    </row>
    <row r="442" spans="1:19">
      <c r="A442" s="155"/>
      <c r="B442" s="57"/>
      <c r="C442" s="24">
        <f t="shared" si="66"/>
        <v>1</v>
      </c>
      <c r="D442" s="675"/>
      <c r="E442" s="24">
        <f t="shared" si="67"/>
        <v>1</v>
      </c>
      <c r="F442" s="675"/>
      <c r="G442" s="24">
        <f t="shared" si="68"/>
        <v>1</v>
      </c>
      <c r="H442" s="675"/>
      <c r="I442" s="24">
        <f t="shared" si="69"/>
        <v>1</v>
      </c>
      <c r="J442" s="675"/>
      <c r="K442" s="24">
        <f t="shared" si="70"/>
        <v>1</v>
      </c>
      <c r="L442" s="675"/>
      <c r="M442" s="24">
        <f t="shared" si="71"/>
        <v>1</v>
      </c>
      <c r="N442" s="675"/>
      <c r="O442" s="24">
        <f t="shared" si="72"/>
        <v>1</v>
      </c>
      <c r="P442" s="675"/>
      <c r="Q442" s="24">
        <f t="shared" si="73"/>
        <v>0</v>
      </c>
      <c r="R442" s="671">
        <f t="shared" si="74"/>
        <v>0</v>
      </c>
      <c r="S442" s="322">
        <f t="shared" si="65"/>
        <v>0</v>
      </c>
    </row>
    <row r="443" spans="1:19">
      <c r="A443" s="155"/>
      <c r="B443" s="57"/>
      <c r="C443" s="24">
        <f t="shared" si="66"/>
        <v>1</v>
      </c>
      <c r="D443" s="675"/>
      <c r="E443" s="24">
        <f t="shared" si="67"/>
        <v>1</v>
      </c>
      <c r="F443" s="675"/>
      <c r="G443" s="24">
        <f t="shared" si="68"/>
        <v>1</v>
      </c>
      <c r="H443" s="675"/>
      <c r="I443" s="24">
        <f t="shared" si="69"/>
        <v>1</v>
      </c>
      <c r="J443" s="675"/>
      <c r="K443" s="24">
        <f t="shared" si="70"/>
        <v>1</v>
      </c>
      <c r="L443" s="675"/>
      <c r="M443" s="24">
        <f t="shared" si="71"/>
        <v>1</v>
      </c>
      <c r="N443" s="675"/>
      <c r="O443" s="24">
        <f t="shared" si="72"/>
        <v>1</v>
      </c>
      <c r="P443" s="675"/>
      <c r="Q443" s="24">
        <f t="shared" si="73"/>
        <v>0</v>
      </c>
      <c r="R443" s="671">
        <f t="shared" si="74"/>
        <v>0</v>
      </c>
      <c r="S443" s="322">
        <f t="shared" si="65"/>
        <v>0</v>
      </c>
    </row>
    <row r="444" spans="1:19">
      <c r="A444" s="155"/>
      <c r="B444" s="57"/>
      <c r="C444" s="24">
        <f t="shared" si="66"/>
        <v>1</v>
      </c>
      <c r="D444" s="675"/>
      <c r="E444" s="24">
        <f t="shared" si="67"/>
        <v>1</v>
      </c>
      <c r="F444" s="675"/>
      <c r="G444" s="24">
        <f t="shared" si="68"/>
        <v>1</v>
      </c>
      <c r="H444" s="675"/>
      <c r="I444" s="24">
        <f t="shared" si="69"/>
        <v>1</v>
      </c>
      <c r="J444" s="675"/>
      <c r="K444" s="24">
        <f t="shared" si="70"/>
        <v>1</v>
      </c>
      <c r="L444" s="675"/>
      <c r="M444" s="24">
        <f t="shared" si="71"/>
        <v>1</v>
      </c>
      <c r="N444" s="675"/>
      <c r="O444" s="24">
        <f t="shared" si="72"/>
        <v>1</v>
      </c>
      <c r="P444" s="675"/>
      <c r="Q444" s="24">
        <f t="shared" si="73"/>
        <v>0</v>
      </c>
      <c r="R444" s="671">
        <f t="shared" si="74"/>
        <v>0</v>
      </c>
      <c r="S444" s="322">
        <f t="shared" si="65"/>
        <v>0</v>
      </c>
    </row>
    <row r="445" spans="1:19">
      <c r="A445" s="155"/>
      <c r="B445" s="57"/>
      <c r="C445" s="24">
        <f t="shared" si="66"/>
        <v>1</v>
      </c>
      <c r="D445" s="675"/>
      <c r="E445" s="24">
        <f t="shared" si="67"/>
        <v>1</v>
      </c>
      <c r="F445" s="675"/>
      <c r="G445" s="24">
        <f t="shared" si="68"/>
        <v>1</v>
      </c>
      <c r="H445" s="675"/>
      <c r="I445" s="24">
        <f t="shared" si="69"/>
        <v>1</v>
      </c>
      <c r="J445" s="675"/>
      <c r="K445" s="24">
        <f t="shared" si="70"/>
        <v>1</v>
      </c>
      <c r="L445" s="675"/>
      <c r="M445" s="24">
        <f t="shared" si="71"/>
        <v>1</v>
      </c>
      <c r="N445" s="675"/>
      <c r="O445" s="24">
        <f t="shared" si="72"/>
        <v>1</v>
      </c>
      <c r="P445" s="675"/>
      <c r="Q445" s="24">
        <f t="shared" si="73"/>
        <v>0</v>
      </c>
      <c r="R445" s="671">
        <f t="shared" si="74"/>
        <v>0</v>
      </c>
      <c r="S445" s="322">
        <f t="shared" si="65"/>
        <v>0</v>
      </c>
    </row>
    <row r="446" spans="1:19">
      <c r="A446" s="155"/>
      <c r="B446" s="57"/>
      <c r="C446" s="24">
        <f t="shared" si="66"/>
        <v>1</v>
      </c>
      <c r="D446" s="675"/>
      <c r="E446" s="24">
        <f t="shared" si="67"/>
        <v>1</v>
      </c>
      <c r="F446" s="675"/>
      <c r="G446" s="24">
        <f t="shared" si="68"/>
        <v>1</v>
      </c>
      <c r="H446" s="675"/>
      <c r="I446" s="24">
        <f t="shared" si="69"/>
        <v>1</v>
      </c>
      <c r="J446" s="675"/>
      <c r="K446" s="24">
        <f t="shared" si="70"/>
        <v>1</v>
      </c>
      <c r="L446" s="675"/>
      <c r="M446" s="24">
        <f t="shared" si="71"/>
        <v>1</v>
      </c>
      <c r="N446" s="675"/>
      <c r="O446" s="24">
        <f t="shared" si="72"/>
        <v>1</v>
      </c>
      <c r="P446" s="675"/>
      <c r="Q446" s="24">
        <f t="shared" si="73"/>
        <v>0</v>
      </c>
      <c r="R446" s="671">
        <f t="shared" si="74"/>
        <v>0</v>
      </c>
      <c r="S446" s="322">
        <f t="shared" si="65"/>
        <v>0</v>
      </c>
    </row>
    <row r="447" spans="1:19">
      <c r="A447" s="155"/>
      <c r="B447" s="57"/>
      <c r="C447" s="24">
        <f t="shared" si="66"/>
        <v>1</v>
      </c>
      <c r="D447" s="675"/>
      <c r="E447" s="24">
        <f t="shared" si="67"/>
        <v>1</v>
      </c>
      <c r="F447" s="675"/>
      <c r="G447" s="24">
        <f t="shared" si="68"/>
        <v>1</v>
      </c>
      <c r="H447" s="675"/>
      <c r="I447" s="24">
        <f t="shared" si="69"/>
        <v>1</v>
      </c>
      <c r="J447" s="675"/>
      <c r="K447" s="24">
        <f t="shared" si="70"/>
        <v>1</v>
      </c>
      <c r="L447" s="675"/>
      <c r="M447" s="24">
        <f t="shared" si="71"/>
        <v>1</v>
      </c>
      <c r="N447" s="675"/>
      <c r="O447" s="24">
        <f t="shared" si="72"/>
        <v>1</v>
      </c>
      <c r="P447" s="675"/>
      <c r="Q447" s="24">
        <f t="shared" si="73"/>
        <v>0</v>
      </c>
      <c r="R447" s="671">
        <f t="shared" si="74"/>
        <v>0</v>
      </c>
      <c r="S447" s="322">
        <f t="shared" si="65"/>
        <v>0</v>
      </c>
    </row>
    <row r="448" spans="1:19">
      <c r="A448" s="155"/>
      <c r="B448" s="57"/>
      <c r="C448" s="24">
        <f t="shared" si="66"/>
        <v>1</v>
      </c>
      <c r="D448" s="675"/>
      <c r="E448" s="24">
        <f t="shared" si="67"/>
        <v>1</v>
      </c>
      <c r="F448" s="675"/>
      <c r="G448" s="24">
        <f t="shared" si="68"/>
        <v>1</v>
      </c>
      <c r="H448" s="675"/>
      <c r="I448" s="24">
        <f t="shared" si="69"/>
        <v>1</v>
      </c>
      <c r="J448" s="675"/>
      <c r="K448" s="24">
        <f t="shared" si="70"/>
        <v>1</v>
      </c>
      <c r="L448" s="675"/>
      <c r="M448" s="24">
        <f t="shared" si="71"/>
        <v>1</v>
      </c>
      <c r="N448" s="675"/>
      <c r="O448" s="24">
        <f t="shared" si="72"/>
        <v>1</v>
      </c>
      <c r="P448" s="675"/>
      <c r="Q448" s="24">
        <f t="shared" si="73"/>
        <v>0</v>
      </c>
      <c r="R448" s="671">
        <f t="shared" si="74"/>
        <v>0</v>
      </c>
      <c r="S448" s="322">
        <f t="shared" si="65"/>
        <v>0</v>
      </c>
    </row>
    <row r="449" spans="1:19">
      <c r="A449" s="155"/>
      <c r="B449" s="57"/>
      <c r="C449" s="24">
        <f t="shared" si="66"/>
        <v>1</v>
      </c>
      <c r="D449" s="675"/>
      <c r="E449" s="24">
        <f t="shared" si="67"/>
        <v>1</v>
      </c>
      <c r="F449" s="675"/>
      <c r="G449" s="24">
        <f t="shared" si="68"/>
        <v>1</v>
      </c>
      <c r="H449" s="675"/>
      <c r="I449" s="24">
        <f t="shared" si="69"/>
        <v>1</v>
      </c>
      <c r="J449" s="675"/>
      <c r="K449" s="24">
        <f t="shared" si="70"/>
        <v>1</v>
      </c>
      <c r="L449" s="675"/>
      <c r="M449" s="24">
        <f t="shared" si="71"/>
        <v>1</v>
      </c>
      <c r="N449" s="675"/>
      <c r="O449" s="24">
        <f t="shared" si="72"/>
        <v>1</v>
      </c>
      <c r="P449" s="675"/>
      <c r="Q449" s="24">
        <f t="shared" si="73"/>
        <v>0</v>
      </c>
      <c r="R449" s="671">
        <f t="shared" si="74"/>
        <v>0</v>
      </c>
      <c r="S449" s="322">
        <f t="shared" si="65"/>
        <v>0</v>
      </c>
    </row>
    <row r="450" spans="1:19">
      <c r="A450" s="155"/>
      <c r="B450" s="57"/>
      <c r="C450" s="24">
        <f t="shared" si="66"/>
        <v>1</v>
      </c>
      <c r="D450" s="675"/>
      <c r="E450" s="24">
        <f t="shared" si="67"/>
        <v>1</v>
      </c>
      <c r="F450" s="675"/>
      <c r="G450" s="24">
        <f t="shared" si="68"/>
        <v>1</v>
      </c>
      <c r="H450" s="675"/>
      <c r="I450" s="24">
        <f t="shared" si="69"/>
        <v>1</v>
      </c>
      <c r="J450" s="675"/>
      <c r="K450" s="24">
        <f t="shared" si="70"/>
        <v>1</v>
      </c>
      <c r="L450" s="675"/>
      <c r="M450" s="24">
        <f t="shared" si="71"/>
        <v>1</v>
      </c>
      <c r="N450" s="675"/>
      <c r="O450" s="24">
        <f t="shared" si="72"/>
        <v>1</v>
      </c>
      <c r="P450" s="675"/>
      <c r="Q450" s="24">
        <f t="shared" si="73"/>
        <v>0</v>
      </c>
      <c r="R450" s="671">
        <f t="shared" si="74"/>
        <v>0</v>
      </c>
      <c r="S450" s="322">
        <f t="shared" si="65"/>
        <v>0</v>
      </c>
    </row>
    <row r="451" spans="1:19">
      <c r="A451" s="155"/>
      <c r="B451" s="57"/>
      <c r="C451" s="24">
        <f t="shared" si="66"/>
        <v>1</v>
      </c>
      <c r="D451" s="675"/>
      <c r="E451" s="24">
        <f t="shared" si="67"/>
        <v>1</v>
      </c>
      <c r="F451" s="675"/>
      <c r="G451" s="24">
        <f t="shared" si="68"/>
        <v>1</v>
      </c>
      <c r="H451" s="675"/>
      <c r="I451" s="24">
        <f t="shared" si="69"/>
        <v>1</v>
      </c>
      <c r="J451" s="675"/>
      <c r="K451" s="24">
        <f t="shared" si="70"/>
        <v>1</v>
      </c>
      <c r="L451" s="675"/>
      <c r="M451" s="24">
        <f t="shared" si="71"/>
        <v>1</v>
      </c>
      <c r="N451" s="675"/>
      <c r="O451" s="24">
        <f t="shared" si="72"/>
        <v>1</v>
      </c>
      <c r="P451" s="675"/>
      <c r="Q451" s="24">
        <f t="shared" si="73"/>
        <v>0</v>
      </c>
      <c r="R451" s="671">
        <f t="shared" si="74"/>
        <v>0</v>
      </c>
      <c r="S451" s="322">
        <f t="shared" si="65"/>
        <v>0</v>
      </c>
    </row>
    <row r="452" spans="1:19">
      <c r="A452" s="155"/>
      <c r="B452" s="57"/>
      <c r="C452" s="24">
        <f t="shared" si="66"/>
        <v>1</v>
      </c>
      <c r="D452" s="675"/>
      <c r="E452" s="24">
        <f t="shared" si="67"/>
        <v>1</v>
      </c>
      <c r="F452" s="675"/>
      <c r="G452" s="24">
        <f t="shared" si="68"/>
        <v>1</v>
      </c>
      <c r="H452" s="675"/>
      <c r="I452" s="24">
        <f t="shared" si="69"/>
        <v>1</v>
      </c>
      <c r="J452" s="675"/>
      <c r="K452" s="24">
        <f t="shared" si="70"/>
        <v>1</v>
      </c>
      <c r="L452" s="675"/>
      <c r="M452" s="24">
        <f t="shared" si="71"/>
        <v>1</v>
      </c>
      <c r="N452" s="675"/>
      <c r="O452" s="24">
        <f t="shared" si="72"/>
        <v>1</v>
      </c>
      <c r="P452" s="675"/>
      <c r="Q452" s="24">
        <f t="shared" si="73"/>
        <v>0</v>
      </c>
      <c r="R452" s="671">
        <f t="shared" si="74"/>
        <v>0</v>
      </c>
      <c r="S452" s="322">
        <f t="shared" si="65"/>
        <v>0</v>
      </c>
    </row>
    <row r="453" spans="1:19">
      <c r="A453" s="155"/>
      <c r="B453" s="57"/>
      <c r="C453" s="24">
        <f t="shared" si="66"/>
        <v>1</v>
      </c>
      <c r="D453" s="675"/>
      <c r="E453" s="24">
        <f t="shared" si="67"/>
        <v>1</v>
      </c>
      <c r="F453" s="675"/>
      <c r="G453" s="24">
        <f t="shared" si="68"/>
        <v>1</v>
      </c>
      <c r="H453" s="675"/>
      <c r="I453" s="24">
        <f t="shared" si="69"/>
        <v>1</v>
      </c>
      <c r="J453" s="675"/>
      <c r="K453" s="24">
        <f t="shared" si="70"/>
        <v>1</v>
      </c>
      <c r="L453" s="675"/>
      <c r="M453" s="24">
        <f t="shared" si="71"/>
        <v>1</v>
      </c>
      <c r="N453" s="675"/>
      <c r="O453" s="24">
        <f t="shared" si="72"/>
        <v>1</v>
      </c>
      <c r="P453" s="675"/>
      <c r="Q453" s="24">
        <f t="shared" si="73"/>
        <v>0</v>
      </c>
      <c r="R453" s="671">
        <f t="shared" si="74"/>
        <v>0</v>
      </c>
      <c r="S453" s="322">
        <f t="shared" si="65"/>
        <v>0</v>
      </c>
    </row>
    <row r="454" spans="1:19">
      <c r="A454" s="155"/>
      <c r="B454" s="57"/>
      <c r="C454" s="24">
        <f t="shared" si="66"/>
        <v>1</v>
      </c>
      <c r="D454" s="675"/>
      <c r="E454" s="24">
        <f t="shared" si="67"/>
        <v>1</v>
      </c>
      <c r="F454" s="675"/>
      <c r="G454" s="24">
        <f t="shared" si="68"/>
        <v>1</v>
      </c>
      <c r="H454" s="675"/>
      <c r="I454" s="24">
        <f t="shared" si="69"/>
        <v>1</v>
      </c>
      <c r="J454" s="675"/>
      <c r="K454" s="24">
        <f t="shared" si="70"/>
        <v>1</v>
      </c>
      <c r="L454" s="675"/>
      <c r="M454" s="24">
        <f t="shared" si="71"/>
        <v>1</v>
      </c>
      <c r="N454" s="675"/>
      <c r="O454" s="24">
        <f t="shared" si="72"/>
        <v>1</v>
      </c>
      <c r="P454" s="675"/>
      <c r="Q454" s="24">
        <f t="shared" si="73"/>
        <v>0</v>
      </c>
      <c r="R454" s="671">
        <f t="shared" si="74"/>
        <v>0</v>
      </c>
      <c r="S454" s="322">
        <f t="shared" si="65"/>
        <v>0</v>
      </c>
    </row>
    <row r="455" spans="1:19">
      <c r="A455" s="155"/>
      <c r="B455" s="57"/>
      <c r="C455" s="24">
        <f t="shared" si="66"/>
        <v>1</v>
      </c>
      <c r="D455" s="675"/>
      <c r="E455" s="24">
        <f t="shared" si="67"/>
        <v>1</v>
      </c>
      <c r="F455" s="675"/>
      <c r="G455" s="24">
        <f t="shared" si="68"/>
        <v>1</v>
      </c>
      <c r="H455" s="675"/>
      <c r="I455" s="24">
        <f t="shared" si="69"/>
        <v>1</v>
      </c>
      <c r="J455" s="675"/>
      <c r="K455" s="24">
        <f t="shared" si="70"/>
        <v>1</v>
      </c>
      <c r="L455" s="675"/>
      <c r="M455" s="24">
        <f t="shared" si="71"/>
        <v>1</v>
      </c>
      <c r="N455" s="675"/>
      <c r="O455" s="24">
        <f t="shared" si="72"/>
        <v>1</v>
      </c>
      <c r="P455" s="675"/>
      <c r="Q455" s="24">
        <f t="shared" si="73"/>
        <v>0</v>
      </c>
      <c r="R455" s="671">
        <f t="shared" si="74"/>
        <v>0</v>
      </c>
      <c r="S455" s="322">
        <f t="shared" si="65"/>
        <v>0</v>
      </c>
    </row>
    <row r="456" spans="1:19">
      <c r="A456" s="155"/>
      <c r="B456" s="57"/>
      <c r="C456" s="24">
        <f t="shared" si="66"/>
        <v>1</v>
      </c>
      <c r="D456" s="675"/>
      <c r="E456" s="24">
        <f t="shared" si="67"/>
        <v>1</v>
      </c>
      <c r="F456" s="675"/>
      <c r="G456" s="24">
        <f t="shared" si="68"/>
        <v>1</v>
      </c>
      <c r="H456" s="675"/>
      <c r="I456" s="24">
        <f t="shared" si="69"/>
        <v>1</v>
      </c>
      <c r="J456" s="675"/>
      <c r="K456" s="24">
        <f t="shared" si="70"/>
        <v>1</v>
      </c>
      <c r="L456" s="675"/>
      <c r="M456" s="24">
        <f t="shared" si="71"/>
        <v>1</v>
      </c>
      <c r="N456" s="675"/>
      <c r="O456" s="24">
        <f t="shared" si="72"/>
        <v>1</v>
      </c>
      <c r="P456" s="675"/>
      <c r="Q456" s="24">
        <f t="shared" si="73"/>
        <v>0</v>
      </c>
      <c r="R456" s="671">
        <f t="shared" si="74"/>
        <v>0</v>
      </c>
      <c r="S456" s="322">
        <f t="shared" si="65"/>
        <v>0</v>
      </c>
    </row>
    <row r="457" spans="1:19">
      <c r="A457" s="155"/>
      <c r="B457" s="57"/>
      <c r="C457" s="24">
        <f t="shared" si="66"/>
        <v>1</v>
      </c>
      <c r="D457" s="675"/>
      <c r="E457" s="24">
        <f t="shared" si="67"/>
        <v>1</v>
      </c>
      <c r="F457" s="675"/>
      <c r="G457" s="24">
        <f t="shared" si="68"/>
        <v>1</v>
      </c>
      <c r="H457" s="675"/>
      <c r="I457" s="24">
        <f t="shared" si="69"/>
        <v>1</v>
      </c>
      <c r="J457" s="675"/>
      <c r="K457" s="24">
        <f t="shared" si="70"/>
        <v>1</v>
      </c>
      <c r="L457" s="675"/>
      <c r="M457" s="24">
        <f t="shared" si="71"/>
        <v>1</v>
      </c>
      <c r="N457" s="675"/>
      <c r="O457" s="24">
        <f t="shared" si="72"/>
        <v>1</v>
      </c>
      <c r="P457" s="675"/>
      <c r="Q457" s="24">
        <f t="shared" si="73"/>
        <v>0</v>
      </c>
      <c r="R457" s="671">
        <f t="shared" si="74"/>
        <v>0</v>
      </c>
      <c r="S457" s="322">
        <f t="shared" si="65"/>
        <v>0</v>
      </c>
    </row>
    <row r="458" spans="1:19">
      <c r="A458" s="155"/>
      <c r="B458" s="57"/>
      <c r="C458" s="24">
        <f t="shared" si="66"/>
        <v>1</v>
      </c>
      <c r="D458" s="675"/>
      <c r="E458" s="24">
        <f t="shared" si="67"/>
        <v>1</v>
      </c>
      <c r="F458" s="675"/>
      <c r="G458" s="24">
        <f t="shared" si="68"/>
        <v>1</v>
      </c>
      <c r="H458" s="675"/>
      <c r="I458" s="24">
        <f t="shared" si="69"/>
        <v>1</v>
      </c>
      <c r="J458" s="675"/>
      <c r="K458" s="24">
        <f t="shared" si="70"/>
        <v>1</v>
      </c>
      <c r="L458" s="675"/>
      <c r="M458" s="24">
        <f t="shared" si="71"/>
        <v>1</v>
      </c>
      <c r="N458" s="675"/>
      <c r="O458" s="24">
        <f t="shared" si="72"/>
        <v>1</v>
      </c>
      <c r="P458" s="675"/>
      <c r="Q458" s="24">
        <f t="shared" si="73"/>
        <v>0</v>
      </c>
      <c r="R458" s="671">
        <f t="shared" si="74"/>
        <v>0</v>
      </c>
      <c r="S458" s="322">
        <f t="shared" si="65"/>
        <v>0</v>
      </c>
    </row>
    <row r="459" spans="1:19">
      <c r="A459" s="155"/>
      <c r="B459" s="57"/>
      <c r="C459" s="24">
        <f t="shared" si="66"/>
        <v>1</v>
      </c>
      <c r="D459" s="675"/>
      <c r="E459" s="24">
        <f t="shared" si="67"/>
        <v>1</v>
      </c>
      <c r="F459" s="675"/>
      <c r="G459" s="24">
        <f t="shared" si="68"/>
        <v>1</v>
      </c>
      <c r="H459" s="675"/>
      <c r="I459" s="24">
        <f t="shared" si="69"/>
        <v>1</v>
      </c>
      <c r="J459" s="675"/>
      <c r="K459" s="24">
        <f t="shared" si="70"/>
        <v>1</v>
      </c>
      <c r="L459" s="675"/>
      <c r="M459" s="24">
        <f t="shared" si="71"/>
        <v>1</v>
      </c>
      <c r="N459" s="675"/>
      <c r="O459" s="24">
        <f t="shared" si="72"/>
        <v>1</v>
      </c>
      <c r="P459" s="675"/>
      <c r="Q459" s="24">
        <f t="shared" si="73"/>
        <v>0</v>
      </c>
      <c r="R459" s="671">
        <f t="shared" si="74"/>
        <v>0</v>
      </c>
      <c r="S459" s="322">
        <f t="shared" si="65"/>
        <v>0</v>
      </c>
    </row>
    <row r="460" spans="1:19">
      <c r="A460" s="155"/>
      <c r="B460" s="57"/>
      <c r="C460" s="24">
        <f t="shared" si="66"/>
        <v>1</v>
      </c>
      <c r="D460" s="675"/>
      <c r="E460" s="24">
        <f t="shared" si="67"/>
        <v>1</v>
      </c>
      <c r="F460" s="675"/>
      <c r="G460" s="24">
        <f t="shared" si="68"/>
        <v>1</v>
      </c>
      <c r="H460" s="675"/>
      <c r="I460" s="24">
        <f t="shared" si="69"/>
        <v>1</v>
      </c>
      <c r="J460" s="675"/>
      <c r="K460" s="24">
        <f t="shared" si="70"/>
        <v>1</v>
      </c>
      <c r="L460" s="675"/>
      <c r="M460" s="24">
        <f t="shared" si="71"/>
        <v>1</v>
      </c>
      <c r="N460" s="675"/>
      <c r="O460" s="24">
        <f t="shared" si="72"/>
        <v>1</v>
      </c>
      <c r="P460" s="675"/>
      <c r="Q460" s="24">
        <f t="shared" si="73"/>
        <v>0</v>
      </c>
      <c r="R460" s="671">
        <f t="shared" si="74"/>
        <v>0</v>
      </c>
      <c r="S460" s="322">
        <f t="shared" si="65"/>
        <v>0</v>
      </c>
    </row>
    <row r="461" spans="1:19">
      <c r="A461" s="155"/>
      <c r="B461" s="57"/>
      <c r="C461" s="24">
        <f t="shared" si="66"/>
        <v>1</v>
      </c>
      <c r="D461" s="675"/>
      <c r="E461" s="24">
        <f t="shared" si="67"/>
        <v>1</v>
      </c>
      <c r="F461" s="675"/>
      <c r="G461" s="24">
        <f t="shared" si="68"/>
        <v>1</v>
      </c>
      <c r="H461" s="675"/>
      <c r="I461" s="24">
        <f t="shared" si="69"/>
        <v>1</v>
      </c>
      <c r="J461" s="675"/>
      <c r="K461" s="24">
        <f t="shared" si="70"/>
        <v>1</v>
      </c>
      <c r="L461" s="675"/>
      <c r="M461" s="24">
        <f t="shared" si="71"/>
        <v>1</v>
      </c>
      <c r="N461" s="675"/>
      <c r="O461" s="24">
        <f t="shared" si="72"/>
        <v>1</v>
      </c>
      <c r="P461" s="675"/>
      <c r="Q461" s="24">
        <f t="shared" si="73"/>
        <v>0</v>
      </c>
      <c r="R461" s="671">
        <f t="shared" si="74"/>
        <v>0</v>
      </c>
      <c r="S461" s="322">
        <f t="shared" si="65"/>
        <v>0</v>
      </c>
    </row>
    <row r="462" spans="1:19">
      <c r="A462" s="155"/>
      <c r="B462" s="57"/>
      <c r="C462" s="24">
        <f t="shared" si="66"/>
        <v>1</v>
      </c>
      <c r="D462" s="675"/>
      <c r="E462" s="24">
        <f t="shared" si="67"/>
        <v>1</v>
      </c>
      <c r="F462" s="675"/>
      <c r="G462" s="24">
        <f t="shared" si="68"/>
        <v>1</v>
      </c>
      <c r="H462" s="675"/>
      <c r="I462" s="24">
        <f t="shared" si="69"/>
        <v>1</v>
      </c>
      <c r="J462" s="675"/>
      <c r="K462" s="24">
        <f t="shared" si="70"/>
        <v>1</v>
      </c>
      <c r="L462" s="675"/>
      <c r="M462" s="24">
        <f t="shared" si="71"/>
        <v>1</v>
      </c>
      <c r="N462" s="675"/>
      <c r="O462" s="24">
        <f t="shared" si="72"/>
        <v>1</v>
      </c>
      <c r="P462" s="675"/>
      <c r="Q462" s="24">
        <f t="shared" si="73"/>
        <v>0</v>
      </c>
      <c r="R462" s="671">
        <f t="shared" si="74"/>
        <v>0</v>
      </c>
      <c r="S462" s="322">
        <f t="shared" si="65"/>
        <v>0</v>
      </c>
    </row>
    <row r="463" spans="1:19">
      <c r="A463" s="155"/>
      <c r="B463" s="57"/>
      <c r="C463" s="24">
        <f t="shared" si="66"/>
        <v>1</v>
      </c>
      <c r="D463" s="675"/>
      <c r="E463" s="24">
        <f t="shared" si="67"/>
        <v>1</v>
      </c>
      <c r="F463" s="675"/>
      <c r="G463" s="24">
        <f t="shared" si="68"/>
        <v>1</v>
      </c>
      <c r="H463" s="675"/>
      <c r="I463" s="24">
        <f t="shared" si="69"/>
        <v>1</v>
      </c>
      <c r="J463" s="675"/>
      <c r="K463" s="24">
        <f t="shared" si="70"/>
        <v>1</v>
      </c>
      <c r="L463" s="675"/>
      <c r="M463" s="24">
        <f t="shared" si="71"/>
        <v>1</v>
      </c>
      <c r="N463" s="675"/>
      <c r="O463" s="24">
        <f t="shared" si="72"/>
        <v>1</v>
      </c>
      <c r="P463" s="675"/>
      <c r="Q463" s="24">
        <f t="shared" si="73"/>
        <v>0</v>
      </c>
      <c r="R463" s="671">
        <f t="shared" si="74"/>
        <v>0</v>
      </c>
      <c r="S463" s="322">
        <f t="shared" si="65"/>
        <v>0</v>
      </c>
    </row>
    <row r="464" spans="1:19">
      <c r="A464" s="155"/>
      <c r="B464" s="57"/>
      <c r="C464" s="24">
        <f t="shared" si="66"/>
        <v>1</v>
      </c>
      <c r="D464" s="675"/>
      <c r="E464" s="24">
        <f t="shared" si="67"/>
        <v>1</v>
      </c>
      <c r="F464" s="675"/>
      <c r="G464" s="24">
        <f t="shared" si="68"/>
        <v>1</v>
      </c>
      <c r="H464" s="675"/>
      <c r="I464" s="24">
        <f t="shared" si="69"/>
        <v>1</v>
      </c>
      <c r="J464" s="675"/>
      <c r="K464" s="24">
        <f t="shared" si="70"/>
        <v>1</v>
      </c>
      <c r="L464" s="675"/>
      <c r="M464" s="24">
        <f t="shared" si="71"/>
        <v>1</v>
      </c>
      <c r="N464" s="675"/>
      <c r="O464" s="24">
        <f t="shared" si="72"/>
        <v>1</v>
      </c>
      <c r="P464" s="675"/>
      <c r="Q464" s="24">
        <f t="shared" si="73"/>
        <v>0</v>
      </c>
      <c r="R464" s="671">
        <f t="shared" si="74"/>
        <v>0</v>
      </c>
      <c r="S464" s="322">
        <f t="shared" si="65"/>
        <v>0</v>
      </c>
    </row>
    <row r="465" spans="1:19">
      <c r="A465" s="155"/>
      <c r="B465" s="57"/>
      <c r="C465" s="24">
        <f t="shared" si="66"/>
        <v>1</v>
      </c>
      <c r="D465" s="675"/>
      <c r="E465" s="24">
        <f t="shared" si="67"/>
        <v>1</v>
      </c>
      <c r="F465" s="675"/>
      <c r="G465" s="24">
        <f t="shared" si="68"/>
        <v>1</v>
      </c>
      <c r="H465" s="675"/>
      <c r="I465" s="24">
        <f t="shared" si="69"/>
        <v>1</v>
      </c>
      <c r="J465" s="675"/>
      <c r="K465" s="24">
        <f t="shared" si="70"/>
        <v>1</v>
      </c>
      <c r="L465" s="675"/>
      <c r="M465" s="24">
        <f t="shared" si="71"/>
        <v>1</v>
      </c>
      <c r="N465" s="675"/>
      <c r="O465" s="24">
        <f t="shared" si="72"/>
        <v>1</v>
      </c>
      <c r="P465" s="675"/>
      <c r="Q465" s="24">
        <f t="shared" si="73"/>
        <v>0</v>
      </c>
      <c r="R465" s="671">
        <f t="shared" si="74"/>
        <v>0</v>
      </c>
      <c r="S465" s="322">
        <f t="shared" si="65"/>
        <v>0</v>
      </c>
    </row>
    <row r="466" spans="1:19">
      <c r="A466" s="155"/>
      <c r="B466" s="57"/>
      <c r="C466" s="24">
        <f t="shared" si="66"/>
        <v>1</v>
      </c>
      <c r="D466" s="675"/>
      <c r="E466" s="24">
        <f t="shared" si="67"/>
        <v>1</v>
      </c>
      <c r="F466" s="675"/>
      <c r="G466" s="24">
        <f t="shared" si="68"/>
        <v>1</v>
      </c>
      <c r="H466" s="675"/>
      <c r="I466" s="24">
        <f t="shared" si="69"/>
        <v>1</v>
      </c>
      <c r="J466" s="675"/>
      <c r="K466" s="24">
        <f t="shared" si="70"/>
        <v>1</v>
      </c>
      <c r="L466" s="675"/>
      <c r="M466" s="24">
        <f t="shared" si="71"/>
        <v>1</v>
      </c>
      <c r="N466" s="675"/>
      <c r="O466" s="24">
        <f t="shared" si="72"/>
        <v>1</v>
      </c>
      <c r="P466" s="675"/>
      <c r="Q466" s="24">
        <f t="shared" si="73"/>
        <v>0</v>
      </c>
      <c r="R466" s="671">
        <f t="shared" si="74"/>
        <v>0</v>
      </c>
      <c r="S466" s="322">
        <f t="shared" si="65"/>
        <v>0</v>
      </c>
    </row>
    <row r="467" spans="1:19">
      <c r="A467" s="155"/>
      <c r="B467" s="57"/>
      <c r="C467" s="24">
        <f t="shared" si="66"/>
        <v>1</v>
      </c>
      <c r="D467" s="675"/>
      <c r="E467" s="24">
        <f t="shared" si="67"/>
        <v>1</v>
      </c>
      <c r="F467" s="675"/>
      <c r="G467" s="24">
        <f t="shared" si="68"/>
        <v>1</v>
      </c>
      <c r="H467" s="675"/>
      <c r="I467" s="24">
        <f t="shared" si="69"/>
        <v>1</v>
      </c>
      <c r="J467" s="675"/>
      <c r="K467" s="24">
        <f t="shared" si="70"/>
        <v>1</v>
      </c>
      <c r="L467" s="675"/>
      <c r="M467" s="24">
        <f t="shared" si="71"/>
        <v>1</v>
      </c>
      <c r="N467" s="675"/>
      <c r="O467" s="24">
        <f t="shared" si="72"/>
        <v>1</v>
      </c>
      <c r="P467" s="675"/>
      <c r="Q467" s="24">
        <f t="shared" si="73"/>
        <v>0</v>
      </c>
      <c r="R467" s="671">
        <f t="shared" si="74"/>
        <v>0</v>
      </c>
      <c r="S467" s="322">
        <f t="shared" si="65"/>
        <v>0</v>
      </c>
    </row>
    <row r="468" spans="1:19">
      <c r="A468" s="155"/>
      <c r="B468" s="57"/>
      <c r="C468" s="24">
        <f t="shared" si="66"/>
        <v>1</v>
      </c>
      <c r="D468" s="675"/>
      <c r="E468" s="24">
        <f t="shared" si="67"/>
        <v>1</v>
      </c>
      <c r="F468" s="675"/>
      <c r="G468" s="24">
        <f t="shared" si="68"/>
        <v>1</v>
      </c>
      <c r="H468" s="675"/>
      <c r="I468" s="24">
        <f t="shared" si="69"/>
        <v>1</v>
      </c>
      <c r="J468" s="675"/>
      <c r="K468" s="24">
        <f t="shared" si="70"/>
        <v>1</v>
      </c>
      <c r="L468" s="675"/>
      <c r="M468" s="24">
        <f t="shared" si="71"/>
        <v>1</v>
      </c>
      <c r="N468" s="675"/>
      <c r="O468" s="24">
        <f t="shared" si="72"/>
        <v>1</v>
      </c>
      <c r="P468" s="675"/>
      <c r="Q468" s="24">
        <f t="shared" si="73"/>
        <v>0</v>
      </c>
      <c r="R468" s="671">
        <f t="shared" si="74"/>
        <v>0</v>
      </c>
      <c r="S468" s="322">
        <f t="shared" si="65"/>
        <v>0</v>
      </c>
    </row>
    <row r="469" spans="1:19">
      <c r="A469" s="155"/>
      <c r="B469" s="57"/>
      <c r="C469" s="24">
        <f t="shared" si="66"/>
        <v>1</v>
      </c>
      <c r="D469" s="675"/>
      <c r="E469" s="24">
        <f t="shared" si="67"/>
        <v>1</v>
      </c>
      <c r="F469" s="675"/>
      <c r="G469" s="24">
        <f t="shared" si="68"/>
        <v>1</v>
      </c>
      <c r="H469" s="675"/>
      <c r="I469" s="24">
        <f t="shared" si="69"/>
        <v>1</v>
      </c>
      <c r="J469" s="675"/>
      <c r="K469" s="24">
        <f t="shared" si="70"/>
        <v>1</v>
      </c>
      <c r="L469" s="675"/>
      <c r="M469" s="24">
        <f t="shared" si="71"/>
        <v>1</v>
      </c>
      <c r="N469" s="675"/>
      <c r="O469" s="24">
        <f t="shared" si="72"/>
        <v>1</v>
      </c>
      <c r="P469" s="675"/>
      <c r="Q469" s="24">
        <f t="shared" si="73"/>
        <v>0</v>
      </c>
      <c r="R469" s="671">
        <f t="shared" si="74"/>
        <v>0</v>
      </c>
      <c r="S469" s="322">
        <f t="shared" si="65"/>
        <v>0</v>
      </c>
    </row>
    <row r="470" spans="1:19">
      <c r="A470" s="155"/>
      <c r="B470" s="57"/>
      <c r="C470" s="24">
        <f t="shared" si="66"/>
        <v>1</v>
      </c>
      <c r="D470" s="675"/>
      <c r="E470" s="24">
        <f t="shared" si="67"/>
        <v>1</v>
      </c>
      <c r="F470" s="675"/>
      <c r="G470" s="24">
        <f t="shared" si="68"/>
        <v>1</v>
      </c>
      <c r="H470" s="675"/>
      <c r="I470" s="24">
        <f t="shared" si="69"/>
        <v>1</v>
      </c>
      <c r="J470" s="675"/>
      <c r="K470" s="24">
        <f t="shared" si="70"/>
        <v>1</v>
      </c>
      <c r="L470" s="675"/>
      <c r="M470" s="24">
        <f t="shared" si="71"/>
        <v>1</v>
      </c>
      <c r="N470" s="675"/>
      <c r="O470" s="24">
        <f t="shared" si="72"/>
        <v>1</v>
      </c>
      <c r="P470" s="675"/>
      <c r="Q470" s="24">
        <f t="shared" si="73"/>
        <v>0</v>
      </c>
      <c r="R470" s="671">
        <f t="shared" si="74"/>
        <v>0</v>
      </c>
      <c r="S470" s="322">
        <f t="shared" si="65"/>
        <v>0</v>
      </c>
    </row>
    <row r="471" spans="1:19">
      <c r="A471" s="155"/>
      <c r="B471" s="57"/>
      <c r="C471" s="24">
        <f t="shared" si="66"/>
        <v>1</v>
      </c>
      <c r="D471" s="675"/>
      <c r="E471" s="24">
        <f t="shared" si="67"/>
        <v>1</v>
      </c>
      <c r="F471" s="675"/>
      <c r="G471" s="24">
        <f t="shared" si="68"/>
        <v>1</v>
      </c>
      <c r="H471" s="675"/>
      <c r="I471" s="24">
        <f t="shared" si="69"/>
        <v>1</v>
      </c>
      <c r="J471" s="675"/>
      <c r="K471" s="24">
        <f t="shared" si="70"/>
        <v>1</v>
      </c>
      <c r="L471" s="675"/>
      <c r="M471" s="24">
        <f t="shared" si="71"/>
        <v>1</v>
      </c>
      <c r="N471" s="675"/>
      <c r="O471" s="24">
        <f t="shared" si="72"/>
        <v>1</v>
      </c>
      <c r="P471" s="675"/>
      <c r="Q471" s="24">
        <f t="shared" si="73"/>
        <v>0</v>
      </c>
      <c r="R471" s="671">
        <f t="shared" si="74"/>
        <v>0</v>
      </c>
      <c r="S471" s="322">
        <f t="shared" si="65"/>
        <v>0</v>
      </c>
    </row>
    <row r="472" spans="1:19">
      <c r="A472" s="155"/>
      <c r="B472" s="57"/>
      <c r="C472" s="24">
        <f t="shared" si="66"/>
        <v>1</v>
      </c>
      <c r="D472" s="675"/>
      <c r="E472" s="24">
        <f t="shared" si="67"/>
        <v>1</v>
      </c>
      <c r="F472" s="675"/>
      <c r="G472" s="24">
        <f t="shared" si="68"/>
        <v>1</v>
      </c>
      <c r="H472" s="675"/>
      <c r="I472" s="24">
        <f t="shared" si="69"/>
        <v>1</v>
      </c>
      <c r="J472" s="675"/>
      <c r="K472" s="24">
        <f t="shared" si="70"/>
        <v>1</v>
      </c>
      <c r="L472" s="675"/>
      <c r="M472" s="24">
        <f t="shared" si="71"/>
        <v>1</v>
      </c>
      <c r="N472" s="675"/>
      <c r="O472" s="24">
        <f t="shared" si="72"/>
        <v>1</v>
      </c>
      <c r="P472" s="675"/>
      <c r="Q472" s="24">
        <f t="shared" si="73"/>
        <v>0</v>
      </c>
      <c r="R472" s="671">
        <f t="shared" si="74"/>
        <v>0</v>
      </c>
      <c r="S472" s="322">
        <f t="shared" ref="S472:S524" si="75">ROUND(R472*B472/10000,0)</f>
        <v>0</v>
      </c>
    </row>
    <row r="473" spans="1:19">
      <c r="A473" s="155"/>
      <c r="B473" s="57"/>
      <c r="C473" s="24">
        <f t="shared" si="66"/>
        <v>1</v>
      </c>
      <c r="D473" s="675"/>
      <c r="E473" s="24">
        <f t="shared" si="67"/>
        <v>1</v>
      </c>
      <c r="F473" s="675"/>
      <c r="G473" s="24">
        <f t="shared" si="68"/>
        <v>1</v>
      </c>
      <c r="H473" s="675"/>
      <c r="I473" s="24">
        <f t="shared" si="69"/>
        <v>1</v>
      </c>
      <c r="J473" s="675"/>
      <c r="K473" s="24">
        <f t="shared" si="70"/>
        <v>1</v>
      </c>
      <c r="L473" s="675"/>
      <c r="M473" s="24">
        <f t="shared" si="71"/>
        <v>1</v>
      </c>
      <c r="N473" s="675"/>
      <c r="O473" s="24">
        <f t="shared" si="72"/>
        <v>1</v>
      </c>
      <c r="P473" s="675"/>
      <c r="Q473" s="24">
        <f t="shared" si="73"/>
        <v>0</v>
      </c>
      <c r="R473" s="671">
        <f t="shared" si="74"/>
        <v>0</v>
      </c>
      <c r="S473" s="322">
        <f t="shared" si="75"/>
        <v>0</v>
      </c>
    </row>
    <row r="474" spans="1:19">
      <c r="A474" s="155"/>
      <c r="B474" s="57"/>
      <c r="C474" s="24">
        <f t="shared" ref="C474:C524" si="76">IF(B474="",1,(LOOKUP(B474,$3:$3,$4:$4)-LOOKUP($B$24,$3:$3,$4:$4)+100)/100)</f>
        <v>1</v>
      </c>
      <c r="D474" s="675"/>
      <c r="E474" s="24">
        <f t="shared" ref="E474:E524" si="77">(SUMIF($5:$5,D474,$6:$6)-SUMIF($5:$5,$D$24,$6:$6)+100)/100</f>
        <v>1</v>
      </c>
      <c r="F474" s="675"/>
      <c r="G474" s="24">
        <f t="shared" ref="G474:G524" si="78">(SUMIF($7:$7,F474,$8:$8)-SUMIF($7:$7,$F$24,$8:$8)+100)/100</f>
        <v>1</v>
      </c>
      <c r="H474" s="675"/>
      <c r="I474" s="24">
        <f t="shared" ref="I474:I524" si="79">(SUMIF($9:$9,H474,$10:$10)-SUMIF($9:$9,$H$24,$10:$10)+100)/100</f>
        <v>1</v>
      </c>
      <c r="J474" s="675"/>
      <c r="K474" s="24">
        <f t="shared" ref="K474:K524" si="80">(SUMIF($11:$11,J474,$12:$12)-SUMIF($11:$11,$J$24,$12:$12)+100)/100</f>
        <v>1</v>
      </c>
      <c r="L474" s="675"/>
      <c r="M474" s="24">
        <f t="shared" ref="M474:M524" si="81">(SUMIF($13:$13,L474,$14:$14)-SUMIF($13:$13,$L$24,$14:$14)+100)/100</f>
        <v>1</v>
      </c>
      <c r="N474" s="675"/>
      <c r="O474" s="24">
        <f t="shared" ref="O474:O524" si="82">(SUMIF($15:$15,N474,$16:$16)-SUMIF($15:$15,$N$24,$16:$16)+100)/100</f>
        <v>1</v>
      </c>
      <c r="P474" s="675"/>
      <c r="Q474" s="24">
        <f t="shared" ref="Q474:Q524" si="83">(SUMIF($17:$17,P474,$18:$18)-SUMIF($17:$17,$P$24,$18:$18)+100)/100</f>
        <v>0</v>
      </c>
      <c r="R474" s="671">
        <f t="shared" ref="R474:R524" si="84">IF(B474="",0,ROUND($R$24*C474*E474*G474*I474*K474*M474*O474*Q474,0))</f>
        <v>0</v>
      </c>
      <c r="S474" s="322">
        <f t="shared" si="75"/>
        <v>0</v>
      </c>
    </row>
    <row r="475" spans="1:19">
      <c r="A475" s="155"/>
      <c r="B475" s="57"/>
      <c r="C475" s="24">
        <f t="shared" si="76"/>
        <v>1</v>
      </c>
      <c r="D475" s="675"/>
      <c r="E475" s="24">
        <f t="shared" si="77"/>
        <v>1</v>
      </c>
      <c r="F475" s="675"/>
      <c r="G475" s="24">
        <f t="shared" si="78"/>
        <v>1</v>
      </c>
      <c r="H475" s="675"/>
      <c r="I475" s="24">
        <f t="shared" si="79"/>
        <v>1</v>
      </c>
      <c r="J475" s="675"/>
      <c r="K475" s="24">
        <f t="shared" si="80"/>
        <v>1</v>
      </c>
      <c r="L475" s="675"/>
      <c r="M475" s="24">
        <f t="shared" si="81"/>
        <v>1</v>
      </c>
      <c r="N475" s="675"/>
      <c r="O475" s="24">
        <f t="shared" si="82"/>
        <v>1</v>
      </c>
      <c r="P475" s="675"/>
      <c r="Q475" s="24">
        <f t="shared" si="83"/>
        <v>0</v>
      </c>
      <c r="R475" s="671">
        <f t="shared" si="84"/>
        <v>0</v>
      </c>
      <c r="S475" s="322">
        <f t="shared" si="75"/>
        <v>0</v>
      </c>
    </row>
    <row r="476" spans="1:19">
      <c r="A476" s="155"/>
      <c r="B476" s="57"/>
      <c r="C476" s="24">
        <f t="shared" si="76"/>
        <v>1</v>
      </c>
      <c r="D476" s="675"/>
      <c r="E476" s="24">
        <f t="shared" si="77"/>
        <v>1</v>
      </c>
      <c r="F476" s="675"/>
      <c r="G476" s="24">
        <f t="shared" si="78"/>
        <v>1</v>
      </c>
      <c r="H476" s="675"/>
      <c r="I476" s="24">
        <f t="shared" si="79"/>
        <v>1</v>
      </c>
      <c r="J476" s="675"/>
      <c r="K476" s="24">
        <f t="shared" si="80"/>
        <v>1</v>
      </c>
      <c r="L476" s="675"/>
      <c r="M476" s="24">
        <f t="shared" si="81"/>
        <v>1</v>
      </c>
      <c r="N476" s="675"/>
      <c r="O476" s="24">
        <f t="shared" si="82"/>
        <v>1</v>
      </c>
      <c r="P476" s="675"/>
      <c r="Q476" s="24">
        <f t="shared" si="83"/>
        <v>0</v>
      </c>
      <c r="R476" s="671">
        <f t="shared" si="84"/>
        <v>0</v>
      </c>
      <c r="S476" s="322">
        <f t="shared" si="75"/>
        <v>0</v>
      </c>
    </row>
    <row r="477" spans="1:19">
      <c r="A477" s="155"/>
      <c r="B477" s="57"/>
      <c r="C477" s="24">
        <f t="shared" si="76"/>
        <v>1</v>
      </c>
      <c r="D477" s="675"/>
      <c r="E477" s="24">
        <f t="shared" si="77"/>
        <v>1</v>
      </c>
      <c r="F477" s="675"/>
      <c r="G477" s="24">
        <f t="shared" si="78"/>
        <v>1</v>
      </c>
      <c r="H477" s="675"/>
      <c r="I477" s="24">
        <f t="shared" si="79"/>
        <v>1</v>
      </c>
      <c r="J477" s="675"/>
      <c r="K477" s="24">
        <f t="shared" si="80"/>
        <v>1</v>
      </c>
      <c r="L477" s="675"/>
      <c r="M477" s="24">
        <f t="shared" si="81"/>
        <v>1</v>
      </c>
      <c r="N477" s="675"/>
      <c r="O477" s="24">
        <f t="shared" si="82"/>
        <v>1</v>
      </c>
      <c r="P477" s="675"/>
      <c r="Q477" s="24">
        <f t="shared" si="83"/>
        <v>0</v>
      </c>
      <c r="R477" s="671">
        <f t="shared" si="84"/>
        <v>0</v>
      </c>
      <c r="S477" s="322">
        <f t="shared" si="75"/>
        <v>0</v>
      </c>
    </row>
    <row r="478" spans="1:19">
      <c r="A478" s="155"/>
      <c r="B478" s="57"/>
      <c r="C478" s="24">
        <f t="shared" si="76"/>
        <v>1</v>
      </c>
      <c r="D478" s="675"/>
      <c r="E478" s="24">
        <f t="shared" si="77"/>
        <v>1</v>
      </c>
      <c r="F478" s="675"/>
      <c r="G478" s="24">
        <f t="shared" si="78"/>
        <v>1</v>
      </c>
      <c r="H478" s="675"/>
      <c r="I478" s="24">
        <f t="shared" si="79"/>
        <v>1</v>
      </c>
      <c r="J478" s="675"/>
      <c r="K478" s="24">
        <f t="shared" si="80"/>
        <v>1</v>
      </c>
      <c r="L478" s="675"/>
      <c r="M478" s="24">
        <f t="shared" si="81"/>
        <v>1</v>
      </c>
      <c r="N478" s="675"/>
      <c r="O478" s="24">
        <f t="shared" si="82"/>
        <v>1</v>
      </c>
      <c r="P478" s="675"/>
      <c r="Q478" s="24">
        <f t="shared" si="83"/>
        <v>0</v>
      </c>
      <c r="R478" s="671">
        <f t="shared" si="84"/>
        <v>0</v>
      </c>
      <c r="S478" s="322">
        <f t="shared" si="75"/>
        <v>0</v>
      </c>
    </row>
    <row r="479" spans="1:19">
      <c r="A479" s="155"/>
      <c r="B479" s="57"/>
      <c r="C479" s="24">
        <f t="shared" si="76"/>
        <v>1</v>
      </c>
      <c r="D479" s="675"/>
      <c r="E479" s="24">
        <f t="shared" si="77"/>
        <v>1</v>
      </c>
      <c r="F479" s="675"/>
      <c r="G479" s="24">
        <f t="shared" si="78"/>
        <v>1</v>
      </c>
      <c r="H479" s="675"/>
      <c r="I479" s="24">
        <f t="shared" si="79"/>
        <v>1</v>
      </c>
      <c r="J479" s="675"/>
      <c r="K479" s="24">
        <f t="shared" si="80"/>
        <v>1</v>
      </c>
      <c r="L479" s="675"/>
      <c r="M479" s="24">
        <f t="shared" si="81"/>
        <v>1</v>
      </c>
      <c r="N479" s="675"/>
      <c r="O479" s="24">
        <f t="shared" si="82"/>
        <v>1</v>
      </c>
      <c r="P479" s="675"/>
      <c r="Q479" s="24">
        <f t="shared" si="83"/>
        <v>0</v>
      </c>
      <c r="R479" s="671">
        <f t="shared" si="84"/>
        <v>0</v>
      </c>
      <c r="S479" s="322">
        <f t="shared" si="75"/>
        <v>0</v>
      </c>
    </row>
    <row r="480" spans="1:19">
      <c r="A480" s="155"/>
      <c r="B480" s="57"/>
      <c r="C480" s="24">
        <f t="shared" si="76"/>
        <v>1</v>
      </c>
      <c r="D480" s="675"/>
      <c r="E480" s="24">
        <f t="shared" si="77"/>
        <v>1</v>
      </c>
      <c r="F480" s="675"/>
      <c r="G480" s="24">
        <f t="shared" si="78"/>
        <v>1</v>
      </c>
      <c r="H480" s="675"/>
      <c r="I480" s="24">
        <f t="shared" si="79"/>
        <v>1</v>
      </c>
      <c r="J480" s="675"/>
      <c r="K480" s="24">
        <f t="shared" si="80"/>
        <v>1</v>
      </c>
      <c r="L480" s="675"/>
      <c r="M480" s="24">
        <f t="shared" si="81"/>
        <v>1</v>
      </c>
      <c r="N480" s="675"/>
      <c r="O480" s="24">
        <f t="shared" si="82"/>
        <v>1</v>
      </c>
      <c r="P480" s="675"/>
      <c r="Q480" s="24">
        <f t="shared" si="83"/>
        <v>0</v>
      </c>
      <c r="R480" s="671">
        <f t="shared" si="84"/>
        <v>0</v>
      </c>
      <c r="S480" s="322">
        <f t="shared" si="75"/>
        <v>0</v>
      </c>
    </row>
    <row r="481" spans="1:19">
      <c r="A481" s="155"/>
      <c r="B481" s="57"/>
      <c r="C481" s="24">
        <f t="shared" si="76"/>
        <v>1</v>
      </c>
      <c r="D481" s="675"/>
      <c r="E481" s="24">
        <f t="shared" si="77"/>
        <v>1</v>
      </c>
      <c r="F481" s="675"/>
      <c r="G481" s="24">
        <f t="shared" si="78"/>
        <v>1</v>
      </c>
      <c r="H481" s="675"/>
      <c r="I481" s="24">
        <f t="shared" si="79"/>
        <v>1</v>
      </c>
      <c r="J481" s="675"/>
      <c r="K481" s="24">
        <f t="shared" si="80"/>
        <v>1</v>
      </c>
      <c r="L481" s="675"/>
      <c r="M481" s="24">
        <f t="shared" si="81"/>
        <v>1</v>
      </c>
      <c r="N481" s="675"/>
      <c r="O481" s="24">
        <f t="shared" si="82"/>
        <v>1</v>
      </c>
      <c r="P481" s="675"/>
      <c r="Q481" s="24">
        <f t="shared" si="83"/>
        <v>0</v>
      </c>
      <c r="R481" s="671">
        <f t="shared" si="84"/>
        <v>0</v>
      </c>
      <c r="S481" s="322">
        <f t="shared" si="75"/>
        <v>0</v>
      </c>
    </row>
    <row r="482" spans="1:19">
      <c r="A482" s="155"/>
      <c r="B482" s="57"/>
      <c r="C482" s="24">
        <f t="shared" si="76"/>
        <v>1</v>
      </c>
      <c r="D482" s="675"/>
      <c r="E482" s="24">
        <f t="shared" si="77"/>
        <v>1</v>
      </c>
      <c r="F482" s="675"/>
      <c r="G482" s="24">
        <f t="shared" si="78"/>
        <v>1</v>
      </c>
      <c r="H482" s="675"/>
      <c r="I482" s="24">
        <f t="shared" si="79"/>
        <v>1</v>
      </c>
      <c r="J482" s="675"/>
      <c r="K482" s="24">
        <f t="shared" si="80"/>
        <v>1</v>
      </c>
      <c r="L482" s="675"/>
      <c r="M482" s="24">
        <f t="shared" si="81"/>
        <v>1</v>
      </c>
      <c r="N482" s="675"/>
      <c r="O482" s="24">
        <f t="shared" si="82"/>
        <v>1</v>
      </c>
      <c r="P482" s="675"/>
      <c r="Q482" s="24">
        <f t="shared" si="83"/>
        <v>0</v>
      </c>
      <c r="R482" s="671">
        <f t="shared" si="84"/>
        <v>0</v>
      </c>
      <c r="S482" s="322">
        <f t="shared" si="75"/>
        <v>0</v>
      </c>
    </row>
    <row r="483" spans="1:19">
      <c r="A483" s="155"/>
      <c r="B483" s="57"/>
      <c r="C483" s="24">
        <f t="shared" si="76"/>
        <v>1</v>
      </c>
      <c r="D483" s="675"/>
      <c r="E483" s="24">
        <f t="shared" si="77"/>
        <v>1</v>
      </c>
      <c r="F483" s="675"/>
      <c r="G483" s="24">
        <f t="shared" si="78"/>
        <v>1</v>
      </c>
      <c r="H483" s="675"/>
      <c r="I483" s="24">
        <f t="shared" si="79"/>
        <v>1</v>
      </c>
      <c r="J483" s="675"/>
      <c r="K483" s="24">
        <f t="shared" si="80"/>
        <v>1</v>
      </c>
      <c r="L483" s="675"/>
      <c r="M483" s="24">
        <f t="shared" si="81"/>
        <v>1</v>
      </c>
      <c r="N483" s="675"/>
      <c r="O483" s="24">
        <f t="shared" si="82"/>
        <v>1</v>
      </c>
      <c r="P483" s="675"/>
      <c r="Q483" s="24">
        <f t="shared" si="83"/>
        <v>0</v>
      </c>
      <c r="R483" s="671">
        <f t="shared" si="84"/>
        <v>0</v>
      </c>
      <c r="S483" s="322">
        <f t="shared" si="75"/>
        <v>0</v>
      </c>
    </row>
    <row r="484" spans="1:19">
      <c r="A484" s="155"/>
      <c r="B484" s="57"/>
      <c r="C484" s="24">
        <f t="shared" si="76"/>
        <v>1</v>
      </c>
      <c r="D484" s="675"/>
      <c r="E484" s="24">
        <f t="shared" si="77"/>
        <v>1</v>
      </c>
      <c r="F484" s="675"/>
      <c r="G484" s="24">
        <f t="shared" si="78"/>
        <v>1</v>
      </c>
      <c r="H484" s="675"/>
      <c r="I484" s="24">
        <f t="shared" si="79"/>
        <v>1</v>
      </c>
      <c r="J484" s="675"/>
      <c r="K484" s="24">
        <f t="shared" si="80"/>
        <v>1</v>
      </c>
      <c r="L484" s="675"/>
      <c r="M484" s="24">
        <f t="shared" si="81"/>
        <v>1</v>
      </c>
      <c r="N484" s="675"/>
      <c r="O484" s="24">
        <f t="shared" si="82"/>
        <v>1</v>
      </c>
      <c r="P484" s="675"/>
      <c r="Q484" s="24">
        <f t="shared" si="83"/>
        <v>0</v>
      </c>
      <c r="R484" s="671">
        <f t="shared" si="84"/>
        <v>0</v>
      </c>
      <c r="S484" s="322">
        <f t="shared" si="75"/>
        <v>0</v>
      </c>
    </row>
    <row r="485" spans="1:19">
      <c r="A485" s="155"/>
      <c r="B485" s="57"/>
      <c r="C485" s="24">
        <f t="shared" si="76"/>
        <v>1</v>
      </c>
      <c r="D485" s="675"/>
      <c r="E485" s="24">
        <f t="shared" si="77"/>
        <v>1</v>
      </c>
      <c r="F485" s="675"/>
      <c r="G485" s="24">
        <f t="shared" si="78"/>
        <v>1</v>
      </c>
      <c r="H485" s="675"/>
      <c r="I485" s="24">
        <f t="shared" si="79"/>
        <v>1</v>
      </c>
      <c r="J485" s="675"/>
      <c r="K485" s="24">
        <f t="shared" si="80"/>
        <v>1</v>
      </c>
      <c r="L485" s="675"/>
      <c r="M485" s="24">
        <f t="shared" si="81"/>
        <v>1</v>
      </c>
      <c r="N485" s="675"/>
      <c r="O485" s="24">
        <f t="shared" si="82"/>
        <v>1</v>
      </c>
      <c r="P485" s="675"/>
      <c r="Q485" s="24">
        <f t="shared" si="83"/>
        <v>0</v>
      </c>
      <c r="R485" s="671">
        <f t="shared" si="84"/>
        <v>0</v>
      </c>
      <c r="S485" s="322">
        <f t="shared" si="75"/>
        <v>0</v>
      </c>
    </row>
    <row r="486" spans="1:19">
      <c r="A486" s="155"/>
      <c r="B486" s="57"/>
      <c r="C486" s="24">
        <f t="shared" si="76"/>
        <v>1</v>
      </c>
      <c r="D486" s="675"/>
      <c r="E486" s="24">
        <f t="shared" si="77"/>
        <v>1</v>
      </c>
      <c r="F486" s="675"/>
      <c r="G486" s="24">
        <f t="shared" si="78"/>
        <v>1</v>
      </c>
      <c r="H486" s="675"/>
      <c r="I486" s="24">
        <f t="shared" si="79"/>
        <v>1</v>
      </c>
      <c r="J486" s="675"/>
      <c r="K486" s="24">
        <f t="shared" si="80"/>
        <v>1</v>
      </c>
      <c r="L486" s="675"/>
      <c r="M486" s="24">
        <f t="shared" si="81"/>
        <v>1</v>
      </c>
      <c r="N486" s="675"/>
      <c r="O486" s="24">
        <f t="shared" si="82"/>
        <v>1</v>
      </c>
      <c r="P486" s="675"/>
      <c r="Q486" s="24">
        <f t="shared" si="83"/>
        <v>0</v>
      </c>
      <c r="R486" s="671">
        <f t="shared" si="84"/>
        <v>0</v>
      </c>
      <c r="S486" s="322">
        <f t="shared" si="75"/>
        <v>0</v>
      </c>
    </row>
    <row r="487" spans="1:19">
      <c r="A487" s="155"/>
      <c r="B487" s="57"/>
      <c r="C487" s="24">
        <f t="shared" si="76"/>
        <v>1</v>
      </c>
      <c r="D487" s="675"/>
      <c r="E487" s="24">
        <f t="shared" si="77"/>
        <v>1</v>
      </c>
      <c r="F487" s="675"/>
      <c r="G487" s="24">
        <f t="shared" si="78"/>
        <v>1</v>
      </c>
      <c r="H487" s="675"/>
      <c r="I487" s="24">
        <f t="shared" si="79"/>
        <v>1</v>
      </c>
      <c r="J487" s="675"/>
      <c r="K487" s="24">
        <f t="shared" si="80"/>
        <v>1</v>
      </c>
      <c r="L487" s="675"/>
      <c r="M487" s="24">
        <f t="shared" si="81"/>
        <v>1</v>
      </c>
      <c r="N487" s="675"/>
      <c r="O487" s="24">
        <f t="shared" si="82"/>
        <v>1</v>
      </c>
      <c r="P487" s="675"/>
      <c r="Q487" s="24">
        <f t="shared" si="83"/>
        <v>0</v>
      </c>
      <c r="R487" s="671">
        <f t="shared" si="84"/>
        <v>0</v>
      </c>
      <c r="S487" s="322">
        <f t="shared" si="75"/>
        <v>0</v>
      </c>
    </row>
    <row r="488" spans="1:19">
      <c r="A488" s="155"/>
      <c r="B488" s="57"/>
      <c r="C488" s="24">
        <f t="shared" si="76"/>
        <v>1</v>
      </c>
      <c r="D488" s="675"/>
      <c r="E488" s="24">
        <f t="shared" si="77"/>
        <v>1</v>
      </c>
      <c r="F488" s="675"/>
      <c r="G488" s="24">
        <f t="shared" si="78"/>
        <v>1</v>
      </c>
      <c r="H488" s="675"/>
      <c r="I488" s="24">
        <f t="shared" si="79"/>
        <v>1</v>
      </c>
      <c r="J488" s="675"/>
      <c r="K488" s="24">
        <f t="shared" si="80"/>
        <v>1</v>
      </c>
      <c r="L488" s="675"/>
      <c r="M488" s="24">
        <f t="shared" si="81"/>
        <v>1</v>
      </c>
      <c r="N488" s="675"/>
      <c r="O488" s="24">
        <f t="shared" si="82"/>
        <v>1</v>
      </c>
      <c r="P488" s="675"/>
      <c r="Q488" s="24">
        <f t="shared" si="83"/>
        <v>0</v>
      </c>
      <c r="R488" s="671">
        <f t="shared" si="84"/>
        <v>0</v>
      </c>
      <c r="S488" s="322">
        <f t="shared" si="75"/>
        <v>0</v>
      </c>
    </row>
    <row r="489" spans="1:19">
      <c r="A489" s="155"/>
      <c r="B489" s="57"/>
      <c r="C489" s="24">
        <f t="shared" si="76"/>
        <v>1</v>
      </c>
      <c r="D489" s="675"/>
      <c r="E489" s="24">
        <f t="shared" si="77"/>
        <v>1</v>
      </c>
      <c r="F489" s="675"/>
      <c r="G489" s="24">
        <f t="shared" si="78"/>
        <v>1</v>
      </c>
      <c r="H489" s="675"/>
      <c r="I489" s="24">
        <f t="shared" si="79"/>
        <v>1</v>
      </c>
      <c r="J489" s="675"/>
      <c r="K489" s="24">
        <f t="shared" si="80"/>
        <v>1</v>
      </c>
      <c r="L489" s="675"/>
      <c r="M489" s="24">
        <f t="shared" si="81"/>
        <v>1</v>
      </c>
      <c r="N489" s="675"/>
      <c r="O489" s="24">
        <f t="shared" si="82"/>
        <v>1</v>
      </c>
      <c r="P489" s="675"/>
      <c r="Q489" s="24">
        <f t="shared" si="83"/>
        <v>0</v>
      </c>
      <c r="R489" s="671">
        <f t="shared" si="84"/>
        <v>0</v>
      </c>
      <c r="S489" s="322">
        <f t="shared" si="75"/>
        <v>0</v>
      </c>
    </row>
    <row r="490" spans="1:19">
      <c r="A490" s="155"/>
      <c r="B490" s="57"/>
      <c r="C490" s="24">
        <f t="shared" si="76"/>
        <v>1</v>
      </c>
      <c r="D490" s="675"/>
      <c r="E490" s="24">
        <f t="shared" si="77"/>
        <v>1</v>
      </c>
      <c r="F490" s="675"/>
      <c r="G490" s="24">
        <f t="shared" si="78"/>
        <v>1</v>
      </c>
      <c r="H490" s="675"/>
      <c r="I490" s="24">
        <f t="shared" si="79"/>
        <v>1</v>
      </c>
      <c r="J490" s="675"/>
      <c r="K490" s="24">
        <f t="shared" si="80"/>
        <v>1</v>
      </c>
      <c r="L490" s="675"/>
      <c r="M490" s="24">
        <f t="shared" si="81"/>
        <v>1</v>
      </c>
      <c r="N490" s="675"/>
      <c r="O490" s="24">
        <f t="shared" si="82"/>
        <v>1</v>
      </c>
      <c r="P490" s="675"/>
      <c r="Q490" s="24">
        <f t="shared" si="83"/>
        <v>0</v>
      </c>
      <c r="R490" s="671">
        <f t="shared" si="84"/>
        <v>0</v>
      </c>
      <c r="S490" s="322">
        <f t="shared" si="75"/>
        <v>0</v>
      </c>
    </row>
    <row r="491" spans="1:19">
      <c r="A491" s="155"/>
      <c r="B491" s="57"/>
      <c r="C491" s="24">
        <f t="shared" si="76"/>
        <v>1</v>
      </c>
      <c r="D491" s="675"/>
      <c r="E491" s="24">
        <f t="shared" si="77"/>
        <v>1</v>
      </c>
      <c r="F491" s="675"/>
      <c r="G491" s="24">
        <f t="shared" si="78"/>
        <v>1</v>
      </c>
      <c r="H491" s="675"/>
      <c r="I491" s="24">
        <f t="shared" si="79"/>
        <v>1</v>
      </c>
      <c r="J491" s="675"/>
      <c r="K491" s="24">
        <f t="shared" si="80"/>
        <v>1</v>
      </c>
      <c r="L491" s="675"/>
      <c r="M491" s="24">
        <f t="shared" si="81"/>
        <v>1</v>
      </c>
      <c r="N491" s="675"/>
      <c r="O491" s="24">
        <f t="shared" si="82"/>
        <v>1</v>
      </c>
      <c r="P491" s="675"/>
      <c r="Q491" s="24">
        <f t="shared" si="83"/>
        <v>0</v>
      </c>
      <c r="R491" s="671">
        <f t="shared" si="84"/>
        <v>0</v>
      </c>
      <c r="S491" s="322">
        <f t="shared" si="75"/>
        <v>0</v>
      </c>
    </row>
    <row r="492" spans="1:19">
      <c r="A492" s="155"/>
      <c r="B492" s="57"/>
      <c r="C492" s="24">
        <f t="shared" si="76"/>
        <v>1</v>
      </c>
      <c r="D492" s="675"/>
      <c r="E492" s="24">
        <f t="shared" si="77"/>
        <v>1</v>
      </c>
      <c r="F492" s="675"/>
      <c r="G492" s="24">
        <f t="shared" si="78"/>
        <v>1</v>
      </c>
      <c r="H492" s="675"/>
      <c r="I492" s="24">
        <f t="shared" si="79"/>
        <v>1</v>
      </c>
      <c r="J492" s="675"/>
      <c r="K492" s="24">
        <f t="shared" si="80"/>
        <v>1</v>
      </c>
      <c r="L492" s="675"/>
      <c r="M492" s="24">
        <f t="shared" si="81"/>
        <v>1</v>
      </c>
      <c r="N492" s="675"/>
      <c r="O492" s="24">
        <f t="shared" si="82"/>
        <v>1</v>
      </c>
      <c r="P492" s="675"/>
      <c r="Q492" s="24">
        <f t="shared" si="83"/>
        <v>0</v>
      </c>
      <c r="R492" s="671">
        <f t="shared" si="84"/>
        <v>0</v>
      </c>
      <c r="S492" s="322">
        <f t="shared" si="75"/>
        <v>0</v>
      </c>
    </row>
    <row r="493" spans="1:19">
      <c r="A493" s="155"/>
      <c r="B493" s="57"/>
      <c r="C493" s="24">
        <f t="shared" si="76"/>
        <v>1</v>
      </c>
      <c r="D493" s="675"/>
      <c r="E493" s="24">
        <f t="shared" si="77"/>
        <v>1</v>
      </c>
      <c r="F493" s="675"/>
      <c r="G493" s="24">
        <f t="shared" si="78"/>
        <v>1</v>
      </c>
      <c r="H493" s="675"/>
      <c r="I493" s="24">
        <f t="shared" si="79"/>
        <v>1</v>
      </c>
      <c r="J493" s="675"/>
      <c r="K493" s="24">
        <f t="shared" si="80"/>
        <v>1</v>
      </c>
      <c r="L493" s="675"/>
      <c r="M493" s="24">
        <f t="shared" si="81"/>
        <v>1</v>
      </c>
      <c r="N493" s="675"/>
      <c r="O493" s="24">
        <f t="shared" si="82"/>
        <v>1</v>
      </c>
      <c r="P493" s="675"/>
      <c r="Q493" s="24">
        <f t="shared" si="83"/>
        <v>0</v>
      </c>
      <c r="R493" s="671">
        <f t="shared" si="84"/>
        <v>0</v>
      </c>
      <c r="S493" s="322">
        <f t="shared" si="75"/>
        <v>0</v>
      </c>
    </row>
    <row r="494" spans="1:19">
      <c r="A494" s="155"/>
      <c r="B494" s="57"/>
      <c r="C494" s="24">
        <f t="shared" si="76"/>
        <v>1</v>
      </c>
      <c r="D494" s="675"/>
      <c r="E494" s="24">
        <f t="shared" si="77"/>
        <v>1</v>
      </c>
      <c r="F494" s="675"/>
      <c r="G494" s="24">
        <f t="shared" si="78"/>
        <v>1</v>
      </c>
      <c r="H494" s="675"/>
      <c r="I494" s="24">
        <f t="shared" si="79"/>
        <v>1</v>
      </c>
      <c r="J494" s="675"/>
      <c r="K494" s="24">
        <f t="shared" si="80"/>
        <v>1</v>
      </c>
      <c r="L494" s="675"/>
      <c r="M494" s="24">
        <f t="shared" si="81"/>
        <v>1</v>
      </c>
      <c r="N494" s="675"/>
      <c r="O494" s="24">
        <f t="shared" si="82"/>
        <v>1</v>
      </c>
      <c r="P494" s="675"/>
      <c r="Q494" s="24">
        <f t="shared" si="83"/>
        <v>0</v>
      </c>
      <c r="R494" s="671">
        <f t="shared" si="84"/>
        <v>0</v>
      </c>
      <c r="S494" s="322">
        <f t="shared" si="75"/>
        <v>0</v>
      </c>
    </row>
    <row r="495" spans="1:19">
      <c r="A495" s="155"/>
      <c r="B495" s="57"/>
      <c r="C495" s="24">
        <f t="shared" si="76"/>
        <v>1</v>
      </c>
      <c r="D495" s="675"/>
      <c r="E495" s="24">
        <f t="shared" si="77"/>
        <v>1</v>
      </c>
      <c r="F495" s="675"/>
      <c r="G495" s="24">
        <f t="shared" si="78"/>
        <v>1</v>
      </c>
      <c r="H495" s="675"/>
      <c r="I495" s="24">
        <f t="shared" si="79"/>
        <v>1</v>
      </c>
      <c r="J495" s="675"/>
      <c r="K495" s="24">
        <f t="shared" si="80"/>
        <v>1</v>
      </c>
      <c r="L495" s="675"/>
      <c r="M495" s="24">
        <f t="shared" si="81"/>
        <v>1</v>
      </c>
      <c r="N495" s="675"/>
      <c r="O495" s="24">
        <f t="shared" si="82"/>
        <v>1</v>
      </c>
      <c r="P495" s="675"/>
      <c r="Q495" s="24">
        <f t="shared" si="83"/>
        <v>0</v>
      </c>
      <c r="R495" s="671">
        <f t="shared" si="84"/>
        <v>0</v>
      </c>
      <c r="S495" s="322">
        <f t="shared" si="75"/>
        <v>0</v>
      </c>
    </row>
    <row r="496" spans="1:19">
      <c r="A496" s="155"/>
      <c r="B496" s="57"/>
      <c r="C496" s="24">
        <f t="shared" si="76"/>
        <v>1</v>
      </c>
      <c r="D496" s="675"/>
      <c r="E496" s="24">
        <f t="shared" si="77"/>
        <v>1</v>
      </c>
      <c r="F496" s="675"/>
      <c r="G496" s="24">
        <f t="shared" si="78"/>
        <v>1</v>
      </c>
      <c r="H496" s="675"/>
      <c r="I496" s="24">
        <f t="shared" si="79"/>
        <v>1</v>
      </c>
      <c r="J496" s="675"/>
      <c r="K496" s="24">
        <f t="shared" si="80"/>
        <v>1</v>
      </c>
      <c r="L496" s="675"/>
      <c r="M496" s="24">
        <f t="shared" si="81"/>
        <v>1</v>
      </c>
      <c r="N496" s="675"/>
      <c r="O496" s="24">
        <f t="shared" si="82"/>
        <v>1</v>
      </c>
      <c r="P496" s="675"/>
      <c r="Q496" s="24">
        <f t="shared" si="83"/>
        <v>0</v>
      </c>
      <c r="R496" s="671">
        <f t="shared" si="84"/>
        <v>0</v>
      </c>
      <c r="S496" s="322">
        <f t="shared" si="75"/>
        <v>0</v>
      </c>
    </row>
    <row r="497" spans="1:19">
      <c r="A497" s="155"/>
      <c r="B497" s="57"/>
      <c r="C497" s="24">
        <f t="shared" si="76"/>
        <v>1</v>
      </c>
      <c r="D497" s="675"/>
      <c r="E497" s="24">
        <f t="shared" si="77"/>
        <v>1</v>
      </c>
      <c r="F497" s="675"/>
      <c r="G497" s="24">
        <f t="shared" si="78"/>
        <v>1</v>
      </c>
      <c r="H497" s="675"/>
      <c r="I497" s="24">
        <f t="shared" si="79"/>
        <v>1</v>
      </c>
      <c r="J497" s="675"/>
      <c r="K497" s="24">
        <f t="shared" si="80"/>
        <v>1</v>
      </c>
      <c r="L497" s="675"/>
      <c r="M497" s="24">
        <f t="shared" si="81"/>
        <v>1</v>
      </c>
      <c r="N497" s="675"/>
      <c r="O497" s="24">
        <f t="shared" si="82"/>
        <v>1</v>
      </c>
      <c r="P497" s="675"/>
      <c r="Q497" s="24">
        <f t="shared" si="83"/>
        <v>0</v>
      </c>
      <c r="R497" s="671">
        <f t="shared" si="84"/>
        <v>0</v>
      </c>
      <c r="S497" s="322">
        <f t="shared" si="75"/>
        <v>0</v>
      </c>
    </row>
    <row r="498" spans="1:19">
      <c r="A498" s="155"/>
      <c r="B498" s="57"/>
      <c r="C498" s="24">
        <f t="shared" si="76"/>
        <v>1</v>
      </c>
      <c r="D498" s="675"/>
      <c r="E498" s="24">
        <f t="shared" si="77"/>
        <v>1</v>
      </c>
      <c r="F498" s="675"/>
      <c r="G498" s="24">
        <f t="shared" si="78"/>
        <v>1</v>
      </c>
      <c r="H498" s="675"/>
      <c r="I498" s="24">
        <f t="shared" si="79"/>
        <v>1</v>
      </c>
      <c r="J498" s="675"/>
      <c r="K498" s="24">
        <f t="shared" si="80"/>
        <v>1</v>
      </c>
      <c r="L498" s="675"/>
      <c r="M498" s="24">
        <f t="shared" si="81"/>
        <v>1</v>
      </c>
      <c r="N498" s="675"/>
      <c r="O498" s="24">
        <f t="shared" si="82"/>
        <v>1</v>
      </c>
      <c r="P498" s="675"/>
      <c r="Q498" s="24">
        <f t="shared" si="83"/>
        <v>0</v>
      </c>
      <c r="R498" s="671">
        <f t="shared" si="84"/>
        <v>0</v>
      </c>
      <c r="S498" s="322">
        <f t="shared" si="75"/>
        <v>0</v>
      </c>
    </row>
    <row r="499" spans="1:19">
      <c r="A499" s="155"/>
      <c r="B499" s="57"/>
      <c r="C499" s="24">
        <f t="shared" si="76"/>
        <v>1</v>
      </c>
      <c r="D499" s="675"/>
      <c r="E499" s="24">
        <f t="shared" si="77"/>
        <v>1</v>
      </c>
      <c r="F499" s="675"/>
      <c r="G499" s="24">
        <f t="shared" si="78"/>
        <v>1</v>
      </c>
      <c r="H499" s="675"/>
      <c r="I499" s="24">
        <f t="shared" si="79"/>
        <v>1</v>
      </c>
      <c r="J499" s="675"/>
      <c r="K499" s="24">
        <f t="shared" si="80"/>
        <v>1</v>
      </c>
      <c r="L499" s="675"/>
      <c r="M499" s="24">
        <f t="shared" si="81"/>
        <v>1</v>
      </c>
      <c r="N499" s="675"/>
      <c r="O499" s="24">
        <f t="shared" si="82"/>
        <v>1</v>
      </c>
      <c r="P499" s="675"/>
      <c r="Q499" s="24">
        <f t="shared" si="83"/>
        <v>0</v>
      </c>
      <c r="R499" s="671">
        <f t="shared" si="84"/>
        <v>0</v>
      </c>
      <c r="S499" s="322">
        <f t="shared" si="75"/>
        <v>0</v>
      </c>
    </row>
    <row r="500" spans="1:19">
      <c r="A500" s="155"/>
      <c r="B500" s="57"/>
      <c r="C500" s="24">
        <f t="shared" si="76"/>
        <v>1</v>
      </c>
      <c r="D500" s="675"/>
      <c r="E500" s="24">
        <f t="shared" si="77"/>
        <v>1</v>
      </c>
      <c r="F500" s="675"/>
      <c r="G500" s="24">
        <f t="shared" si="78"/>
        <v>1</v>
      </c>
      <c r="H500" s="675"/>
      <c r="I500" s="24">
        <f t="shared" si="79"/>
        <v>1</v>
      </c>
      <c r="J500" s="675"/>
      <c r="K500" s="24">
        <f t="shared" si="80"/>
        <v>1</v>
      </c>
      <c r="L500" s="675"/>
      <c r="M500" s="24">
        <f t="shared" si="81"/>
        <v>1</v>
      </c>
      <c r="N500" s="675"/>
      <c r="O500" s="24">
        <f t="shared" si="82"/>
        <v>1</v>
      </c>
      <c r="P500" s="675"/>
      <c r="Q500" s="24">
        <f t="shared" si="83"/>
        <v>0</v>
      </c>
      <c r="R500" s="671">
        <f t="shared" si="84"/>
        <v>0</v>
      </c>
      <c r="S500" s="322">
        <f t="shared" si="75"/>
        <v>0</v>
      </c>
    </row>
    <row r="501" spans="1:19">
      <c r="A501" s="155"/>
      <c r="B501" s="57"/>
      <c r="C501" s="24">
        <f t="shared" si="76"/>
        <v>1</v>
      </c>
      <c r="D501" s="675"/>
      <c r="E501" s="24">
        <f t="shared" si="77"/>
        <v>1</v>
      </c>
      <c r="F501" s="675"/>
      <c r="G501" s="24">
        <f t="shared" si="78"/>
        <v>1</v>
      </c>
      <c r="H501" s="675"/>
      <c r="I501" s="24">
        <f t="shared" si="79"/>
        <v>1</v>
      </c>
      <c r="J501" s="675"/>
      <c r="K501" s="24">
        <f t="shared" si="80"/>
        <v>1</v>
      </c>
      <c r="L501" s="675"/>
      <c r="M501" s="24">
        <f t="shared" si="81"/>
        <v>1</v>
      </c>
      <c r="N501" s="675"/>
      <c r="O501" s="24">
        <f t="shared" si="82"/>
        <v>1</v>
      </c>
      <c r="P501" s="675"/>
      <c r="Q501" s="24">
        <f t="shared" si="83"/>
        <v>0</v>
      </c>
      <c r="R501" s="671">
        <f t="shared" si="84"/>
        <v>0</v>
      </c>
      <c r="S501" s="322">
        <f t="shared" si="75"/>
        <v>0</v>
      </c>
    </row>
    <row r="502" spans="1:19">
      <c r="A502" s="155"/>
      <c r="B502" s="57"/>
      <c r="C502" s="24">
        <f t="shared" si="76"/>
        <v>1</v>
      </c>
      <c r="D502" s="675"/>
      <c r="E502" s="24">
        <f t="shared" si="77"/>
        <v>1</v>
      </c>
      <c r="F502" s="675"/>
      <c r="G502" s="24">
        <f t="shared" si="78"/>
        <v>1</v>
      </c>
      <c r="H502" s="675"/>
      <c r="I502" s="24">
        <f t="shared" si="79"/>
        <v>1</v>
      </c>
      <c r="J502" s="675"/>
      <c r="K502" s="24">
        <f t="shared" si="80"/>
        <v>1</v>
      </c>
      <c r="L502" s="675"/>
      <c r="M502" s="24">
        <f t="shared" si="81"/>
        <v>1</v>
      </c>
      <c r="N502" s="675"/>
      <c r="O502" s="24">
        <f t="shared" si="82"/>
        <v>1</v>
      </c>
      <c r="P502" s="675"/>
      <c r="Q502" s="24">
        <f t="shared" si="83"/>
        <v>0</v>
      </c>
      <c r="R502" s="671">
        <f t="shared" si="84"/>
        <v>0</v>
      </c>
      <c r="S502" s="322">
        <f t="shared" si="75"/>
        <v>0</v>
      </c>
    </row>
    <row r="503" spans="1:19">
      <c r="A503" s="155"/>
      <c r="B503" s="57"/>
      <c r="C503" s="24">
        <f t="shared" si="76"/>
        <v>1</v>
      </c>
      <c r="D503" s="675"/>
      <c r="E503" s="24">
        <f t="shared" si="77"/>
        <v>1</v>
      </c>
      <c r="F503" s="675"/>
      <c r="G503" s="24">
        <f t="shared" si="78"/>
        <v>1</v>
      </c>
      <c r="H503" s="675"/>
      <c r="I503" s="24">
        <f t="shared" si="79"/>
        <v>1</v>
      </c>
      <c r="J503" s="675"/>
      <c r="K503" s="24">
        <f t="shared" si="80"/>
        <v>1</v>
      </c>
      <c r="L503" s="675"/>
      <c r="M503" s="24">
        <f t="shared" si="81"/>
        <v>1</v>
      </c>
      <c r="N503" s="675"/>
      <c r="O503" s="24">
        <f t="shared" si="82"/>
        <v>1</v>
      </c>
      <c r="P503" s="675"/>
      <c r="Q503" s="24">
        <f t="shared" si="83"/>
        <v>0</v>
      </c>
      <c r="R503" s="671">
        <f t="shared" si="84"/>
        <v>0</v>
      </c>
      <c r="S503" s="322">
        <f t="shared" si="75"/>
        <v>0</v>
      </c>
    </row>
    <row r="504" spans="1:19">
      <c r="A504" s="155"/>
      <c r="B504" s="57"/>
      <c r="C504" s="24">
        <f t="shared" si="76"/>
        <v>1</v>
      </c>
      <c r="D504" s="675"/>
      <c r="E504" s="24">
        <f t="shared" si="77"/>
        <v>1</v>
      </c>
      <c r="F504" s="675"/>
      <c r="G504" s="24">
        <f t="shared" si="78"/>
        <v>1</v>
      </c>
      <c r="H504" s="675"/>
      <c r="I504" s="24">
        <f t="shared" si="79"/>
        <v>1</v>
      </c>
      <c r="J504" s="675"/>
      <c r="K504" s="24">
        <f t="shared" si="80"/>
        <v>1</v>
      </c>
      <c r="L504" s="675"/>
      <c r="M504" s="24">
        <f t="shared" si="81"/>
        <v>1</v>
      </c>
      <c r="N504" s="675"/>
      <c r="O504" s="24">
        <f t="shared" si="82"/>
        <v>1</v>
      </c>
      <c r="P504" s="675"/>
      <c r="Q504" s="24">
        <f t="shared" si="83"/>
        <v>0</v>
      </c>
      <c r="R504" s="671">
        <f t="shared" si="84"/>
        <v>0</v>
      </c>
      <c r="S504" s="322">
        <f t="shared" si="75"/>
        <v>0</v>
      </c>
    </row>
    <row r="505" spans="1:19">
      <c r="A505" s="155"/>
      <c r="B505" s="57"/>
      <c r="C505" s="24">
        <f t="shared" si="76"/>
        <v>1</v>
      </c>
      <c r="D505" s="675"/>
      <c r="E505" s="24">
        <f t="shared" si="77"/>
        <v>1</v>
      </c>
      <c r="F505" s="675"/>
      <c r="G505" s="24">
        <f t="shared" si="78"/>
        <v>1</v>
      </c>
      <c r="H505" s="675"/>
      <c r="I505" s="24">
        <f t="shared" si="79"/>
        <v>1</v>
      </c>
      <c r="J505" s="675"/>
      <c r="K505" s="24">
        <f t="shared" si="80"/>
        <v>1</v>
      </c>
      <c r="L505" s="675"/>
      <c r="M505" s="24">
        <f t="shared" si="81"/>
        <v>1</v>
      </c>
      <c r="N505" s="675"/>
      <c r="O505" s="24">
        <f t="shared" si="82"/>
        <v>1</v>
      </c>
      <c r="P505" s="675"/>
      <c r="Q505" s="24">
        <f t="shared" si="83"/>
        <v>0</v>
      </c>
      <c r="R505" s="671">
        <f t="shared" si="84"/>
        <v>0</v>
      </c>
      <c r="S505" s="322">
        <f t="shared" si="75"/>
        <v>0</v>
      </c>
    </row>
    <row r="506" spans="1:19">
      <c r="A506" s="155"/>
      <c r="B506" s="57"/>
      <c r="C506" s="24">
        <f t="shared" si="76"/>
        <v>1</v>
      </c>
      <c r="D506" s="675"/>
      <c r="E506" s="24">
        <f t="shared" si="77"/>
        <v>1</v>
      </c>
      <c r="F506" s="675"/>
      <c r="G506" s="24">
        <f t="shared" si="78"/>
        <v>1</v>
      </c>
      <c r="H506" s="675"/>
      <c r="I506" s="24">
        <f t="shared" si="79"/>
        <v>1</v>
      </c>
      <c r="J506" s="675"/>
      <c r="K506" s="24">
        <f t="shared" si="80"/>
        <v>1</v>
      </c>
      <c r="L506" s="675"/>
      <c r="M506" s="24">
        <f t="shared" si="81"/>
        <v>1</v>
      </c>
      <c r="N506" s="675"/>
      <c r="O506" s="24">
        <f t="shared" si="82"/>
        <v>1</v>
      </c>
      <c r="P506" s="675"/>
      <c r="Q506" s="24">
        <f t="shared" si="83"/>
        <v>0</v>
      </c>
      <c r="R506" s="671">
        <f t="shared" si="84"/>
        <v>0</v>
      </c>
      <c r="S506" s="322">
        <f t="shared" si="75"/>
        <v>0</v>
      </c>
    </row>
    <row r="507" spans="1:19">
      <c r="A507" s="155"/>
      <c r="B507" s="57"/>
      <c r="C507" s="24">
        <f t="shared" si="76"/>
        <v>1</v>
      </c>
      <c r="D507" s="675"/>
      <c r="E507" s="24">
        <f t="shared" si="77"/>
        <v>1</v>
      </c>
      <c r="F507" s="675"/>
      <c r="G507" s="24">
        <f t="shared" si="78"/>
        <v>1</v>
      </c>
      <c r="H507" s="675"/>
      <c r="I507" s="24">
        <f t="shared" si="79"/>
        <v>1</v>
      </c>
      <c r="J507" s="675"/>
      <c r="K507" s="24">
        <f t="shared" si="80"/>
        <v>1</v>
      </c>
      <c r="L507" s="675"/>
      <c r="M507" s="24">
        <f t="shared" si="81"/>
        <v>1</v>
      </c>
      <c r="N507" s="675"/>
      <c r="O507" s="24">
        <f t="shared" si="82"/>
        <v>1</v>
      </c>
      <c r="P507" s="675"/>
      <c r="Q507" s="24">
        <f t="shared" si="83"/>
        <v>0</v>
      </c>
      <c r="R507" s="671">
        <f t="shared" si="84"/>
        <v>0</v>
      </c>
      <c r="S507" s="322">
        <f t="shared" si="75"/>
        <v>0</v>
      </c>
    </row>
    <row r="508" spans="1:19">
      <c r="A508" s="155"/>
      <c r="B508" s="57"/>
      <c r="C508" s="24">
        <f t="shared" si="76"/>
        <v>1</v>
      </c>
      <c r="D508" s="675"/>
      <c r="E508" s="24">
        <f t="shared" si="77"/>
        <v>1</v>
      </c>
      <c r="F508" s="675"/>
      <c r="G508" s="24">
        <f t="shared" si="78"/>
        <v>1</v>
      </c>
      <c r="H508" s="675"/>
      <c r="I508" s="24">
        <f t="shared" si="79"/>
        <v>1</v>
      </c>
      <c r="J508" s="675"/>
      <c r="K508" s="24">
        <f t="shared" si="80"/>
        <v>1</v>
      </c>
      <c r="L508" s="675"/>
      <c r="M508" s="24">
        <f t="shared" si="81"/>
        <v>1</v>
      </c>
      <c r="N508" s="675"/>
      <c r="O508" s="24">
        <f t="shared" si="82"/>
        <v>1</v>
      </c>
      <c r="P508" s="675"/>
      <c r="Q508" s="24">
        <f t="shared" si="83"/>
        <v>0</v>
      </c>
      <c r="R508" s="671">
        <f t="shared" si="84"/>
        <v>0</v>
      </c>
      <c r="S508" s="322">
        <f t="shared" si="75"/>
        <v>0</v>
      </c>
    </row>
    <row r="509" spans="1:19">
      <c r="A509" s="155"/>
      <c r="B509" s="57"/>
      <c r="C509" s="24">
        <f t="shared" si="76"/>
        <v>1</v>
      </c>
      <c r="D509" s="675"/>
      <c r="E509" s="24">
        <f t="shared" si="77"/>
        <v>1</v>
      </c>
      <c r="F509" s="675"/>
      <c r="G509" s="24">
        <f t="shared" si="78"/>
        <v>1</v>
      </c>
      <c r="H509" s="675"/>
      <c r="I509" s="24">
        <f t="shared" si="79"/>
        <v>1</v>
      </c>
      <c r="J509" s="675"/>
      <c r="K509" s="24">
        <f t="shared" si="80"/>
        <v>1</v>
      </c>
      <c r="L509" s="675"/>
      <c r="M509" s="24">
        <f t="shared" si="81"/>
        <v>1</v>
      </c>
      <c r="N509" s="675"/>
      <c r="O509" s="24">
        <f t="shared" si="82"/>
        <v>1</v>
      </c>
      <c r="P509" s="675"/>
      <c r="Q509" s="24">
        <f t="shared" si="83"/>
        <v>0</v>
      </c>
      <c r="R509" s="671">
        <f t="shared" si="84"/>
        <v>0</v>
      </c>
      <c r="S509" s="322">
        <f t="shared" si="75"/>
        <v>0</v>
      </c>
    </row>
    <row r="510" spans="1:19">
      <c r="A510" s="155"/>
      <c r="B510" s="57"/>
      <c r="C510" s="24">
        <f t="shared" si="76"/>
        <v>1</v>
      </c>
      <c r="D510" s="675"/>
      <c r="E510" s="24">
        <f t="shared" si="77"/>
        <v>1</v>
      </c>
      <c r="F510" s="675"/>
      <c r="G510" s="24">
        <f t="shared" si="78"/>
        <v>1</v>
      </c>
      <c r="H510" s="675"/>
      <c r="I510" s="24">
        <f t="shared" si="79"/>
        <v>1</v>
      </c>
      <c r="J510" s="675"/>
      <c r="K510" s="24">
        <f t="shared" si="80"/>
        <v>1</v>
      </c>
      <c r="L510" s="675"/>
      <c r="M510" s="24">
        <f t="shared" si="81"/>
        <v>1</v>
      </c>
      <c r="N510" s="675"/>
      <c r="O510" s="24">
        <f t="shared" si="82"/>
        <v>1</v>
      </c>
      <c r="P510" s="675"/>
      <c r="Q510" s="24">
        <f t="shared" si="83"/>
        <v>0</v>
      </c>
      <c r="R510" s="671">
        <f t="shared" si="84"/>
        <v>0</v>
      </c>
      <c r="S510" s="322">
        <f t="shared" si="75"/>
        <v>0</v>
      </c>
    </row>
    <row r="511" spans="1:19">
      <c r="A511" s="155"/>
      <c r="B511" s="57"/>
      <c r="C511" s="24">
        <f t="shared" si="76"/>
        <v>1</v>
      </c>
      <c r="D511" s="675"/>
      <c r="E511" s="24">
        <f t="shared" si="77"/>
        <v>1</v>
      </c>
      <c r="F511" s="675"/>
      <c r="G511" s="24">
        <f t="shared" si="78"/>
        <v>1</v>
      </c>
      <c r="H511" s="675"/>
      <c r="I511" s="24">
        <f t="shared" si="79"/>
        <v>1</v>
      </c>
      <c r="J511" s="675"/>
      <c r="K511" s="24">
        <f t="shared" si="80"/>
        <v>1</v>
      </c>
      <c r="L511" s="675"/>
      <c r="M511" s="24">
        <f t="shared" si="81"/>
        <v>1</v>
      </c>
      <c r="N511" s="675"/>
      <c r="O511" s="24">
        <f t="shared" si="82"/>
        <v>1</v>
      </c>
      <c r="P511" s="675"/>
      <c r="Q511" s="24">
        <f t="shared" si="83"/>
        <v>0</v>
      </c>
      <c r="R511" s="671">
        <f t="shared" si="84"/>
        <v>0</v>
      </c>
      <c r="S511" s="322">
        <f t="shared" si="75"/>
        <v>0</v>
      </c>
    </row>
    <row r="512" spans="1:19">
      <c r="A512" s="155"/>
      <c r="B512" s="57"/>
      <c r="C512" s="24">
        <f t="shared" si="76"/>
        <v>1</v>
      </c>
      <c r="D512" s="675"/>
      <c r="E512" s="24">
        <f t="shared" si="77"/>
        <v>1</v>
      </c>
      <c r="F512" s="675"/>
      <c r="G512" s="24">
        <f t="shared" si="78"/>
        <v>1</v>
      </c>
      <c r="H512" s="675"/>
      <c r="I512" s="24">
        <f t="shared" si="79"/>
        <v>1</v>
      </c>
      <c r="J512" s="675"/>
      <c r="K512" s="24">
        <f t="shared" si="80"/>
        <v>1</v>
      </c>
      <c r="L512" s="675"/>
      <c r="M512" s="24">
        <f t="shared" si="81"/>
        <v>1</v>
      </c>
      <c r="N512" s="675"/>
      <c r="O512" s="24">
        <f t="shared" si="82"/>
        <v>1</v>
      </c>
      <c r="P512" s="675"/>
      <c r="Q512" s="24">
        <f t="shared" si="83"/>
        <v>0</v>
      </c>
      <c r="R512" s="671">
        <f t="shared" si="84"/>
        <v>0</v>
      </c>
      <c r="S512" s="322">
        <f t="shared" si="75"/>
        <v>0</v>
      </c>
    </row>
    <row r="513" spans="1:19">
      <c r="A513" s="155"/>
      <c r="B513" s="57"/>
      <c r="C513" s="24">
        <f t="shared" si="76"/>
        <v>1</v>
      </c>
      <c r="D513" s="675"/>
      <c r="E513" s="24">
        <f t="shared" si="77"/>
        <v>1</v>
      </c>
      <c r="F513" s="675"/>
      <c r="G513" s="24">
        <f t="shared" si="78"/>
        <v>1</v>
      </c>
      <c r="H513" s="675"/>
      <c r="I513" s="24">
        <f t="shared" si="79"/>
        <v>1</v>
      </c>
      <c r="J513" s="675"/>
      <c r="K513" s="24">
        <f t="shared" si="80"/>
        <v>1</v>
      </c>
      <c r="L513" s="675"/>
      <c r="M513" s="24">
        <f t="shared" si="81"/>
        <v>1</v>
      </c>
      <c r="N513" s="675"/>
      <c r="O513" s="24">
        <f t="shared" si="82"/>
        <v>1</v>
      </c>
      <c r="P513" s="675"/>
      <c r="Q513" s="24">
        <f t="shared" si="83"/>
        <v>0</v>
      </c>
      <c r="R513" s="671">
        <f t="shared" si="84"/>
        <v>0</v>
      </c>
      <c r="S513" s="322">
        <f t="shared" si="75"/>
        <v>0</v>
      </c>
    </row>
    <row r="514" spans="1:19">
      <c r="A514" s="155"/>
      <c r="B514" s="57"/>
      <c r="C514" s="24">
        <f t="shared" si="76"/>
        <v>1</v>
      </c>
      <c r="D514" s="675"/>
      <c r="E514" s="24">
        <f t="shared" si="77"/>
        <v>1</v>
      </c>
      <c r="F514" s="675"/>
      <c r="G514" s="24">
        <f t="shared" si="78"/>
        <v>1</v>
      </c>
      <c r="H514" s="675"/>
      <c r="I514" s="24">
        <f t="shared" si="79"/>
        <v>1</v>
      </c>
      <c r="J514" s="675"/>
      <c r="K514" s="24">
        <f t="shared" si="80"/>
        <v>1</v>
      </c>
      <c r="L514" s="675"/>
      <c r="M514" s="24">
        <f t="shared" si="81"/>
        <v>1</v>
      </c>
      <c r="N514" s="675"/>
      <c r="O514" s="24">
        <f t="shared" si="82"/>
        <v>1</v>
      </c>
      <c r="P514" s="675"/>
      <c r="Q514" s="24">
        <f t="shared" si="83"/>
        <v>0</v>
      </c>
      <c r="R514" s="671">
        <f t="shared" si="84"/>
        <v>0</v>
      </c>
      <c r="S514" s="322">
        <f t="shared" si="75"/>
        <v>0</v>
      </c>
    </row>
    <row r="515" spans="1:19">
      <c r="A515" s="155"/>
      <c r="B515" s="57"/>
      <c r="C515" s="24">
        <f t="shared" si="76"/>
        <v>1</v>
      </c>
      <c r="D515" s="675"/>
      <c r="E515" s="24">
        <f t="shared" si="77"/>
        <v>1</v>
      </c>
      <c r="F515" s="675"/>
      <c r="G515" s="24">
        <f t="shared" si="78"/>
        <v>1</v>
      </c>
      <c r="H515" s="675"/>
      <c r="I515" s="24">
        <f t="shared" si="79"/>
        <v>1</v>
      </c>
      <c r="J515" s="675"/>
      <c r="K515" s="24">
        <f t="shared" si="80"/>
        <v>1</v>
      </c>
      <c r="L515" s="675"/>
      <c r="M515" s="24">
        <f t="shared" si="81"/>
        <v>1</v>
      </c>
      <c r="N515" s="675"/>
      <c r="O515" s="24">
        <f t="shared" si="82"/>
        <v>1</v>
      </c>
      <c r="P515" s="675"/>
      <c r="Q515" s="24">
        <f t="shared" si="83"/>
        <v>0</v>
      </c>
      <c r="R515" s="671">
        <f t="shared" si="84"/>
        <v>0</v>
      </c>
      <c r="S515" s="322">
        <f t="shared" si="75"/>
        <v>0</v>
      </c>
    </row>
    <row r="516" spans="1:19">
      <c r="A516" s="155"/>
      <c r="B516" s="57"/>
      <c r="C516" s="24">
        <f t="shared" si="76"/>
        <v>1</v>
      </c>
      <c r="D516" s="675"/>
      <c r="E516" s="24">
        <f t="shared" si="77"/>
        <v>1</v>
      </c>
      <c r="F516" s="675"/>
      <c r="G516" s="24">
        <f t="shared" si="78"/>
        <v>1</v>
      </c>
      <c r="H516" s="675"/>
      <c r="I516" s="24">
        <f t="shared" si="79"/>
        <v>1</v>
      </c>
      <c r="J516" s="675"/>
      <c r="K516" s="24">
        <f t="shared" si="80"/>
        <v>1</v>
      </c>
      <c r="L516" s="675"/>
      <c r="M516" s="24">
        <f t="shared" si="81"/>
        <v>1</v>
      </c>
      <c r="N516" s="675"/>
      <c r="O516" s="24">
        <f t="shared" si="82"/>
        <v>1</v>
      </c>
      <c r="P516" s="675"/>
      <c r="Q516" s="24">
        <f t="shared" si="83"/>
        <v>0</v>
      </c>
      <c r="R516" s="671">
        <f t="shared" si="84"/>
        <v>0</v>
      </c>
      <c r="S516" s="322">
        <f t="shared" si="75"/>
        <v>0</v>
      </c>
    </row>
    <row r="517" spans="1:19">
      <c r="A517" s="155"/>
      <c r="B517" s="57"/>
      <c r="C517" s="24">
        <f t="shared" si="76"/>
        <v>1</v>
      </c>
      <c r="D517" s="675"/>
      <c r="E517" s="24">
        <f t="shared" si="77"/>
        <v>1</v>
      </c>
      <c r="F517" s="675"/>
      <c r="G517" s="24">
        <f t="shared" si="78"/>
        <v>1</v>
      </c>
      <c r="H517" s="675"/>
      <c r="I517" s="24">
        <f t="shared" si="79"/>
        <v>1</v>
      </c>
      <c r="J517" s="675"/>
      <c r="K517" s="24">
        <f t="shared" si="80"/>
        <v>1</v>
      </c>
      <c r="L517" s="675"/>
      <c r="M517" s="24">
        <f t="shared" si="81"/>
        <v>1</v>
      </c>
      <c r="N517" s="675"/>
      <c r="O517" s="24">
        <f t="shared" si="82"/>
        <v>1</v>
      </c>
      <c r="P517" s="675"/>
      <c r="Q517" s="24">
        <f t="shared" si="83"/>
        <v>0</v>
      </c>
      <c r="R517" s="671">
        <f t="shared" si="84"/>
        <v>0</v>
      </c>
      <c r="S517" s="322">
        <f t="shared" si="75"/>
        <v>0</v>
      </c>
    </row>
    <row r="518" spans="1:19">
      <c r="A518" s="155"/>
      <c r="B518" s="57"/>
      <c r="C518" s="24">
        <f t="shared" si="76"/>
        <v>1</v>
      </c>
      <c r="D518" s="675"/>
      <c r="E518" s="24">
        <f t="shared" si="77"/>
        <v>1</v>
      </c>
      <c r="F518" s="675"/>
      <c r="G518" s="24">
        <f t="shared" si="78"/>
        <v>1</v>
      </c>
      <c r="H518" s="675"/>
      <c r="I518" s="24">
        <f t="shared" si="79"/>
        <v>1</v>
      </c>
      <c r="J518" s="675"/>
      <c r="K518" s="24">
        <f t="shared" si="80"/>
        <v>1</v>
      </c>
      <c r="L518" s="675"/>
      <c r="M518" s="24">
        <f t="shared" si="81"/>
        <v>1</v>
      </c>
      <c r="N518" s="675"/>
      <c r="O518" s="24">
        <f t="shared" si="82"/>
        <v>1</v>
      </c>
      <c r="P518" s="675"/>
      <c r="Q518" s="24">
        <f t="shared" si="83"/>
        <v>0</v>
      </c>
      <c r="R518" s="671">
        <f t="shared" si="84"/>
        <v>0</v>
      </c>
      <c r="S518" s="322">
        <f t="shared" si="75"/>
        <v>0</v>
      </c>
    </row>
    <row r="519" spans="1:19">
      <c r="A519" s="155"/>
      <c r="B519" s="57"/>
      <c r="C519" s="24">
        <f t="shared" si="76"/>
        <v>1</v>
      </c>
      <c r="D519" s="675"/>
      <c r="E519" s="24">
        <f t="shared" si="77"/>
        <v>1</v>
      </c>
      <c r="F519" s="675"/>
      <c r="G519" s="24">
        <f t="shared" si="78"/>
        <v>1</v>
      </c>
      <c r="H519" s="675"/>
      <c r="I519" s="24">
        <f t="shared" si="79"/>
        <v>1</v>
      </c>
      <c r="J519" s="675"/>
      <c r="K519" s="24">
        <f t="shared" si="80"/>
        <v>1</v>
      </c>
      <c r="L519" s="675"/>
      <c r="M519" s="24">
        <f t="shared" si="81"/>
        <v>1</v>
      </c>
      <c r="N519" s="675"/>
      <c r="O519" s="24">
        <f t="shared" si="82"/>
        <v>1</v>
      </c>
      <c r="P519" s="675"/>
      <c r="Q519" s="24">
        <f t="shared" si="83"/>
        <v>0</v>
      </c>
      <c r="R519" s="671">
        <f t="shared" si="84"/>
        <v>0</v>
      </c>
      <c r="S519" s="322">
        <f t="shared" si="75"/>
        <v>0</v>
      </c>
    </row>
    <row r="520" spans="1:19">
      <c r="A520" s="155"/>
      <c r="B520" s="57"/>
      <c r="C520" s="24">
        <f t="shared" si="76"/>
        <v>1</v>
      </c>
      <c r="D520" s="675"/>
      <c r="E520" s="24">
        <f t="shared" si="77"/>
        <v>1</v>
      </c>
      <c r="F520" s="675"/>
      <c r="G520" s="24">
        <f t="shared" si="78"/>
        <v>1</v>
      </c>
      <c r="H520" s="675"/>
      <c r="I520" s="24">
        <f t="shared" si="79"/>
        <v>1</v>
      </c>
      <c r="J520" s="675"/>
      <c r="K520" s="24">
        <f t="shared" si="80"/>
        <v>1</v>
      </c>
      <c r="L520" s="675"/>
      <c r="M520" s="24">
        <f t="shared" si="81"/>
        <v>1</v>
      </c>
      <c r="N520" s="675"/>
      <c r="O520" s="24">
        <f t="shared" si="82"/>
        <v>1</v>
      </c>
      <c r="P520" s="675"/>
      <c r="Q520" s="24">
        <f t="shared" si="83"/>
        <v>0</v>
      </c>
      <c r="R520" s="671">
        <f t="shared" si="84"/>
        <v>0</v>
      </c>
      <c r="S520" s="322">
        <f t="shared" si="75"/>
        <v>0</v>
      </c>
    </row>
    <row r="521" spans="1:19">
      <c r="A521" s="155"/>
      <c r="B521" s="57"/>
      <c r="C521" s="24">
        <f t="shared" si="76"/>
        <v>1</v>
      </c>
      <c r="D521" s="675"/>
      <c r="E521" s="24">
        <f t="shared" si="77"/>
        <v>1</v>
      </c>
      <c r="F521" s="675"/>
      <c r="G521" s="24">
        <f t="shared" si="78"/>
        <v>1</v>
      </c>
      <c r="H521" s="675"/>
      <c r="I521" s="24">
        <f t="shared" si="79"/>
        <v>1</v>
      </c>
      <c r="J521" s="675"/>
      <c r="K521" s="24">
        <f t="shared" si="80"/>
        <v>1</v>
      </c>
      <c r="L521" s="675"/>
      <c r="M521" s="24">
        <f t="shared" si="81"/>
        <v>1</v>
      </c>
      <c r="N521" s="675"/>
      <c r="O521" s="24">
        <f t="shared" si="82"/>
        <v>1</v>
      </c>
      <c r="P521" s="675"/>
      <c r="Q521" s="24">
        <f t="shared" si="83"/>
        <v>0</v>
      </c>
      <c r="R521" s="671">
        <f t="shared" si="84"/>
        <v>0</v>
      </c>
      <c r="S521" s="322">
        <f t="shared" si="75"/>
        <v>0</v>
      </c>
    </row>
    <row r="522" spans="1:19">
      <c r="A522" s="155"/>
      <c r="B522" s="57"/>
      <c r="C522" s="24">
        <f t="shared" si="76"/>
        <v>1</v>
      </c>
      <c r="D522" s="675"/>
      <c r="E522" s="24">
        <f t="shared" si="77"/>
        <v>1</v>
      </c>
      <c r="F522" s="675"/>
      <c r="G522" s="24">
        <f t="shared" si="78"/>
        <v>1</v>
      </c>
      <c r="H522" s="675"/>
      <c r="I522" s="24">
        <f t="shared" si="79"/>
        <v>1</v>
      </c>
      <c r="J522" s="675"/>
      <c r="K522" s="24">
        <f t="shared" si="80"/>
        <v>1</v>
      </c>
      <c r="L522" s="675"/>
      <c r="M522" s="24">
        <f t="shared" si="81"/>
        <v>1</v>
      </c>
      <c r="N522" s="675"/>
      <c r="O522" s="24">
        <f t="shared" si="82"/>
        <v>1</v>
      </c>
      <c r="P522" s="675"/>
      <c r="Q522" s="24">
        <f t="shared" si="83"/>
        <v>0</v>
      </c>
      <c r="R522" s="671">
        <f t="shared" si="84"/>
        <v>0</v>
      </c>
      <c r="S522" s="322">
        <f t="shared" si="75"/>
        <v>0</v>
      </c>
    </row>
    <row r="523" spans="1:19">
      <c r="A523" s="155"/>
      <c r="B523" s="57"/>
      <c r="C523" s="24">
        <f t="shared" si="76"/>
        <v>1</v>
      </c>
      <c r="D523" s="675"/>
      <c r="E523" s="24">
        <f t="shared" si="77"/>
        <v>1</v>
      </c>
      <c r="F523" s="675"/>
      <c r="G523" s="24">
        <f t="shared" si="78"/>
        <v>1</v>
      </c>
      <c r="H523" s="675"/>
      <c r="I523" s="24">
        <f t="shared" si="79"/>
        <v>1</v>
      </c>
      <c r="J523" s="675"/>
      <c r="K523" s="24">
        <f t="shared" si="80"/>
        <v>1</v>
      </c>
      <c r="L523" s="675"/>
      <c r="M523" s="24">
        <f t="shared" si="81"/>
        <v>1</v>
      </c>
      <c r="N523" s="675"/>
      <c r="O523" s="24">
        <f t="shared" si="82"/>
        <v>1</v>
      </c>
      <c r="P523" s="675"/>
      <c r="Q523" s="24">
        <f t="shared" si="83"/>
        <v>0</v>
      </c>
      <c r="R523" s="671">
        <f t="shared" si="84"/>
        <v>0</v>
      </c>
      <c r="S523" s="322">
        <f t="shared" si="75"/>
        <v>0</v>
      </c>
    </row>
    <row r="524" spans="1:19">
      <c r="A524" s="155"/>
      <c r="B524" s="57"/>
      <c r="C524" s="24">
        <f t="shared" si="76"/>
        <v>1</v>
      </c>
      <c r="D524" s="675"/>
      <c r="E524" s="24">
        <f t="shared" si="77"/>
        <v>1</v>
      </c>
      <c r="F524" s="675"/>
      <c r="G524" s="24">
        <f t="shared" si="78"/>
        <v>1</v>
      </c>
      <c r="H524" s="675"/>
      <c r="I524" s="24">
        <f t="shared" si="79"/>
        <v>1</v>
      </c>
      <c r="J524" s="675"/>
      <c r="K524" s="24">
        <f t="shared" si="80"/>
        <v>1</v>
      </c>
      <c r="L524" s="675"/>
      <c r="M524" s="24">
        <f t="shared" si="81"/>
        <v>1</v>
      </c>
      <c r="N524" s="675"/>
      <c r="O524" s="24">
        <f t="shared" si="82"/>
        <v>1</v>
      </c>
      <c r="P524" s="675"/>
      <c r="Q524" s="24">
        <f t="shared" si="83"/>
        <v>0</v>
      </c>
      <c r="R524" s="671">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I51" sqref="I51"/>
    </sheetView>
  </sheetViews>
  <sheetFormatPr defaultRowHeight="14.4"/>
  <sheetData/>
  <phoneticPr fontId="140"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2147</v>
      </c>
      <c r="B1" s="1652" t="s">
        <v>1343</v>
      </c>
      <c r="C1" s="204"/>
      <c r="D1" s="204"/>
      <c r="E1" s="204"/>
      <c r="F1" s="204"/>
      <c r="G1" s="1287">
        <f>MATCH(B1,'数据-取费表'!A6:A16,0)+5</f>
        <v>6</v>
      </c>
    </row>
    <row r="2" spans="1:9" s="206" customFormat="1" ht="18" customHeight="1">
      <c r="A2" s="207" t="s">
        <v>2148</v>
      </c>
      <c r="B2" s="208">
        <f ca="1">IF(D2="——",C52,C52-E2)</f>
        <v>32641</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7515</v>
      </c>
      <c r="C3" s="205" t="s">
        <v>2151</v>
      </c>
      <c r="D3" s="205"/>
      <c r="E3" s="205"/>
      <c r="F3" s="205"/>
      <c r="G3" s="205"/>
    </row>
    <row r="4" spans="1:9" s="214" customFormat="1" ht="16.2">
      <c r="A4" s="211" t="s">
        <v>2152</v>
      </c>
      <c r="B4" s="212"/>
      <c r="C4" s="212"/>
      <c r="D4" s="212"/>
      <c r="E4" s="212"/>
      <c r="F4" s="212"/>
      <c r="G4" s="213"/>
    </row>
    <row r="5" spans="1:9" s="220" customFormat="1" ht="13.5" customHeight="1">
      <c r="A5" s="261" t="s">
        <v>2153</v>
      </c>
      <c r="B5" s="216" t="s">
        <v>2154</v>
      </c>
      <c r="C5" s="217">
        <f ca="1">C6+C7+C8</f>
        <v>9799</v>
      </c>
      <c r="D5" s="217" t="s">
        <v>2155</v>
      </c>
      <c r="E5" s="218" t="s">
        <v>2156</v>
      </c>
      <c r="F5" s="218" t="s">
        <v>2157</v>
      </c>
      <c r="G5" s="219"/>
    </row>
    <row r="6" spans="1:9" s="220" customFormat="1" ht="13.5" customHeight="1">
      <c r="A6" s="885" t="s">
        <v>2158</v>
      </c>
      <c r="B6" s="221" t="s">
        <v>2159</v>
      </c>
      <c r="C6" s="222">
        <f>典型户型修正!S22</f>
        <v>8917</v>
      </c>
      <c r="D6" s="223"/>
      <c r="E6" s="224"/>
      <c r="F6" s="224"/>
      <c r="G6" s="225"/>
    </row>
    <row r="7" spans="1:9" s="220" customFormat="1" ht="13.5" customHeight="1">
      <c r="A7" s="885" t="s">
        <v>2160</v>
      </c>
      <c r="B7" s="221" t="s">
        <v>2161</v>
      </c>
      <c r="C7" s="226">
        <f>ROUND(C6*F7,0)</f>
        <v>361</v>
      </c>
      <c r="D7" s="226"/>
      <c r="E7" s="224"/>
      <c r="F7" s="227">
        <f>IF(项目基本情况!B8="出让",0,'数据-取费表'!B48+'数据-取费表'!B49)</f>
        <v>4.0500000000000001E-2</v>
      </c>
      <c r="G7" s="225"/>
    </row>
    <row r="8" spans="1:9" s="229" customFormat="1">
      <c r="A8" s="885" t="s">
        <v>2162</v>
      </c>
      <c r="B8" s="221" t="s">
        <v>2163</v>
      </c>
      <c r="C8" s="226">
        <f ca="1">IF(G8="已包含在土地购买价格中","0",IF(B1="",'数据-取费表'!B29,IF(G9="全部缴纳",C9+C10,H9)))</f>
        <v>521</v>
      </c>
      <c r="D8" s="228"/>
      <c r="E8" s="226"/>
      <c r="F8" s="227"/>
      <c r="G8" s="2040" t="s">
        <v>3145</v>
      </c>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0</v>
      </c>
      <c r="F9" s="227"/>
      <c r="G9" s="2041" t="s">
        <v>3146</v>
      </c>
      <c r="H9" s="1298"/>
      <c r="I9" s="2042" t="s">
        <v>2165</v>
      </c>
    </row>
    <row r="10" spans="1:9" s="220" customFormat="1" ht="13.5" customHeight="1">
      <c r="A10" s="886" t="s">
        <v>801</v>
      </c>
      <c r="B10" s="230" t="s">
        <v>2166</v>
      </c>
      <c r="C10" s="231">
        <f ca="1">ROUND(D10*E10/10000,0)</f>
        <v>521</v>
      </c>
      <c r="D10" s="953">
        <f ca="1">IF(B1="",'数据-汇总表'!E6,IF(INDIRECT("'数据-取费表'!c"&amp;$G$1)="住宅",INDIRECT("'数据-取费表'!s"&amp;$G$1),INDIRECT("'数据-取费表'!k"&amp;$G$1)+INDIRECT("'数据-取费表'!s"&amp;$G$1)))</f>
        <v>43436.4</v>
      </c>
      <c r="E10" s="231">
        <f>'数据-取费表'!B28</f>
        <v>120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t="str">
        <f>IF(G19="已包含在土地取得成本中","0",ROUND(D19*E19/10000,0))</f>
        <v>0</v>
      </c>
      <c r="D19" s="957">
        <f ca="1">D9+D10</f>
        <v>43436.4</v>
      </c>
      <c r="E19" s="217">
        <f>'数据-取费表'!B31</f>
        <v>200</v>
      </c>
      <c r="F19" s="237"/>
      <c r="G19" s="2040" t="s">
        <v>3147</v>
      </c>
    </row>
    <row r="20" spans="1:7" s="220" customFormat="1" ht="13.5" customHeight="1">
      <c r="A20" s="261" t="s">
        <v>2179</v>
      </c>
      <c r="B20" s="216" t="s">
        <v>2180</v>
      </c>
      <c r="C20" s="238">
        <f ca="1">ROUND((C5+C19)*F20,0)</f>
        <v>196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880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871</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9</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6.4">
      <c r="A27" s="261" t="s">
        <v>2198</v>
      </c>
      <c r="B27" s="250" t="s">
        <v>2199</v>
      </c>
      <c r="C27" s="251">
        <f ca="1">C28</f>
        <v>1999</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ROUND((C5+C19+C20)*F27*'数据-取费表'!B21/'数据-取费表'!B20,0)</f>
        <v>1999</v>
      </c>
      <c r="D28" s="241"/>
      <c r="E28" s="242"/>
      <c r="F28" s="252"/>
      <c r="G28" s="253"/>
    </row>
    <row r="29" spans="1:7" s="220" customFormat="1" ht="13.5" customHeight="1">
      <c r="A29" s="887"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13966</v>
      </c>
      <c r="D31" s="236"/>
      <c r="E31" s="217"/>
      <c r="F31" s="256"/>
      <c r="G31" s="240" t="s">
        <v>2208</v>
      </c>
    </row>
    <row r="32" spans="1:7" s="214" customFormat="1" ht="16.2">
      <c r="A32" s="258" t="s">
        <v>2209</v>
      </c>
      <c r="B32" s="259"/>
      <c r="C32" s="259"/>
      <c r="D32" s="259"/>
      <c r="E32" s="259"/>
      <c r="F32" s="259"/>
      <c r="G32" s="260"/>
    </row>
    <row r="33" spans="1:7" s="220" customFormat="1" ht="13.5" customHeight="1">
      <c r="A33" s="261" t="s">
        <v>782</v>
      </c>
      <c r="B33" s="216" t="s">
        <v>2210</v>
      </c>
      <c r="C33" s="262">
        <f ca="1">SUM(C34:C38)</f>
        <v>16756</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15203</v>
      </c>
      <c r="D34" s="223"/>
      <c r="E34" s="226"/>
      <c r="F34" s="263">
        <f ca="1">IF('数据-取费表'!B24=0,1,IF(B1="",'数据-取费表'!N16,INDIRECT("'数据-取费表'!n"&amp;$G$1)))</f>
        <v>1</v>
      </c>
      <c r="G34" s="225" t="s">
        <v>2212</v>
      </c>
    </row>
    <row r="35" spans="1:7" ht="13.5" customHeight="1">
      <c r="A35" s="887" t="s">
        <v>796</v>
      </c>
      <c r="B35" s="221" t="s">
        <v>2213</v>
      </c>
      <c r="C35" s="226">
        <f ca="1">ROUND(C34*F35,0)</f>
        <v>456</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869</v>
      </c>
      <c r="D37" s="223">
        <f ca="1">D19</f>
        <v>43436.4</v>
      </c>
      <c r="E37" s="255">
        <f>'数据-取费表'!B35</f>
        <v>200</v>
      </c>
      <c r="F37" s="265"/>
      <c r="G37" s="267" t="s">
        <v>2218</v>
      </c>
    </row>
    <row r="38" spans="1:7" ht="13.5" customHeight="1">
      <c r="A38" s="887" t="s">
        <v>799</v>
      </c>
      <c r="B38" s="221" t="s">
        <v>2219</v>
      </c>
      <c r="C38" s="226">
        <f ca="1">ROUND(C34*F38,0)</f>
        <v>228</v>
      </c>
      <c r="D38" s="226"/>
      <c r="E38" s="226"/>
      <c r="F38" s="265">
        <f>'数据-取费表'!B36</f>
        <v>1.4999999999999999E-2</v>
      </c>
      <c r="G38" s="225" t="s">
        <v>2214</v>
      </c>
    </row>
    <row r="39" spans="1:7" s="220" customFormat="1" ht="13.5" customHeight="1">
      <c r="A39" s="261" t="s">
        <v>2220</v>
      </c>
      <c r="B39" s="216" t="s">
        <v>2221</v>
      </c>
      <c r="C39" s="238">
        <f ca="1">ROUND(C33*F20,0)</f>
        <v>335</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744</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729</v>
      </c>
      <c r="D42" s="244"/>
      <c r="E42" s="244"/>
      <c r="F42" s="245"/>
      <c r="G42" s="3350" t="s">
        <v>2230</v>
      </c>
    </row>
    <row r="43" spans="1:7" ht="13.5" customHeight="1">
      <c r="A43" s="887" t="s">
        <v>792</v>
      </c>
      <c r="B43" s="221" t="s">
        <v>2231</v>
      </c>
      <c r="C43" s="244">
        <f ca="1">ROUND(IF('数据-取费表'!B22&lt;=1,C39*F22*'数据-取费表'!B21/2,C39*(POWER((1+F22),'数据-取费表'!B21/2)-1)),0)</f>
        <v>15</v>
      </c>
      <c r="D43" s="244"/>
      <c r="E43" s="244"/>
      <c r="F43" s="245"/>
      <c r="G43" s="3351"/>
    </row>
    <row r="44" spans="1:7" ht="13.5" customHeight="1">
      <c r="A44" s="887" t="s">
        <v>793</v>
      </c>
      <c r="B44" s="221" t="s">
        <v>2232</v>
      </c>
      <c r="C44" s="244">
        <f ca="1">ROUND(IF('数据-取费表'!B22&lt;=1,C40*F22*'数据-取费表'!B21/2,C40*(POWER((1+F22),'数据-取费表'!B21/2)-1)),4)</f>
        <v>8.9999999999999998E-4</v>
      </c>
      <c r="D44" s="244"/>
      <c r="E44" s="244"/>
      <c r="F44" s="245"/>
      <c r="G44" s="3352"/>
    </row>
    <row r="45" spans="1:7" s="220" customFormat="1" ht="13.5" customHeight="1">
      <c r="A45" s="261" t="s">
        <v>2233</v>
      </c>
      <c r="B45" s="250" t="s">
        <v>2199</v>
      </c>
      <c r="C45" s="251">
        <f ca="1">C46</f>
        <v>3418</v>
      </c>
      <c r="D45" s="241">
        <f ca="1">C47</f>
        <v>4.0000000000000001E-3</v>
      </c>
      <c r="E45" s="242" t="s">
        <v>2225</v>
      </c>
      <c r="F45" s="2535">
        <f ca="1">F27</f>
        <v>0.2</v>
      </c>
      <c r="G45" s="253" t="s">
        <v>2234</v>
      </c>
    </row>
    <row r="46" spans="1:7" s="220" customFormat="1" ht="13.5" customHeight="1">
      <c r="A46" s="887" t="s">
        <v>791</v>
      </c>
      <c r="B46" s="254" t="s">
        <v>2235</v>
      </c>
      <c r="C46" s="255">
        <f ca="1">ROUND((C33+C39)*F27,0)</f>
        <v>3418</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23056</v>
      </c>
      <c r="D49" s="238"/>
      <c r="E49" s="238"/>
      <c r="F49" s="270"/>
      <c r="G49" s="240" t="s">
        <v>2240</v>
      </c>
    </row>
    <row r="50" spans="1:7" s="264" customFormat="1" ht="24">
      <c r="A50" s="261" t="s">
        <v>2241</v>
      </c>
      <c r="B50" s="216" t="s">
        <v>2242</v>
      </c>
      <c r="C50" s="238"/>
      <c r="D50" s="238"/>
      <c r="E50" s="238"/>
      <c r="F50" s="270">
        <f>IF('数据-取费表'!B24=0,'数据-取费表'!N16,1)</f>
        <v>0.81</v>
      </c>
      <c r="G50" s="253" t="s">
        <v>2243</v>
      </c>
    </row>
    <row r="51" spans="1:7" ht="16.5" customHeight="1">
      <c r="A51" s="261" t="s">
        <v>2244</v>
      </c>
      <c r="B51" s="216" t="s">
        <v>2245</v>
      </c>
      <c r="C51" s="238">
        <f ca="1">ROUND(C49*F50,0)</f>
        <v>18675</v>
      </c>
      <c r="D51" s="238"/>
      <c r="E51" s="238"/>
      <c r="F51" s="270"/>
      <c r="G51" s="240" t="s">
        <v>2246</v>
      </c>
    </row>
    <row r="52" spans="1:7" s="214" customFormat="1" ht="16.8" thickBot="1">
      <c r="A52" s="271" t="s">
        <v>2247</v>
      </c>
      <c r="B52" s="272"/>
      <c r="C52" s="273">
        <f ca="1">C31+C51</f>
        <v>32641</v>
      </c>
      <c r="D52" s="272"/>
      <c r="E52" s="272"/>
      <c r="F52" s="272"/>
      <c r="G52" s="274"/>
    </row>
    <row r="55" spans="1:7" ht="15">
      <c r="B55" s="276" t="s">
        <v>2248</v>
      </c>
      <c r="C55" s="277"/>
    </row>
    <row r="56" spans="1:7">
      <c r="B56" s="279" t="s">
        <v>1478</v>
      </c>
      <c r="C56" s="281">
        <f ca="1">1-C57</f>
        <v>0.42800000000000005</v>
      </c>
    </row>
    <row r="57" spans="1:7">
      <c r="B57" s="279" t="s">
        <v>1479</v>
      </c>
      <c r="C57" s="280">
        <f ca="1">ROUND(C51/C52,3)</f>
        <v>0.57199999999999995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70" zoomScaleNormal="60" zoomScaleSheetLayoutView="70" workbookViewId="0">
      <selection activeCell="E46" sqref="E46"/>
    </sheetView>
  </sheetViews>
  <sheetFormatPr defaultColWidth="9" defaultRowHeight="13.8"/>
  <cols>
    <col min="1" max="1" width="14.33203125" style="363" customWidth="1"/>
    <col min="2" max="2" width="15.77734375" style="363" customWidth="1"/>
    <col min="3" max="3" width="18.21875" style="363" customWidth="1"/>
    <col min="4" max="4" width="14.109375" style="363" customWidth="1"/>
    <col min="5" max="5" width="18.44140625" style="363" customWidth="1"/>
    <col min="6" max="6" width="12.21875" style="363" customWidth="1"/>
    <col min="7" max="7" width="18.109375" style="363" customWidth="1"/>
    <col min="8" max="8" width="12.21875" style="363" customWidth="1"/>
    <col min="9" max="9" width="16.66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f>F66</f>
        <v>8935</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f>ROUND(IF(D3="",B2*10000/'数据-汇总表'!E3,B2*10000/D3),0)</f>
        <v>2057</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4.4">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30">
      <c r="A5" s="364"/>
      <c r="B5" s="365"/>
      <c r="C5" s="3292" t="s">
        <v>2363</v>
      </c>
      <c r="D5" s="3293"/>
      <c r="E5" s="3336" t="str">
        <f>土地案例!A4</f>
        <v>和平大街101地块</v>
      </c>
      <c r="F5" s="3291"/>
      <c r="G5" s="3292" t="str">
        <f>土地案例!A7</f>
        <v>宁官06</v>
      </c>
      <c r="H5" s="3293"/>
      <c r="I5" s="3292" t="str">
        <f>土地案例!A8</f>
        <v>GN-RJ-03-11</v>
      </c>
      <c r="J5" s="3293"/>
      <c r="K5" s="567"/>
      <c r="L5" s="2942"/>
      <c r="M5" s="2943"/>
      <c r="N5" s="2943"/>
      <c r="O5" s="2943"/>
      <c r="P5" s="3339"/>
      <c r="Q5" s="3310"/>
      <c r="R5" s="3288"/>
      <c r="S5" s="3289"/>
      <c r="T5" s="3288"/>
      <c r="U5" s="3289"/>
      <c r="V5" s="3316"/>
      <c r="W5" s="3316"/>
      <c r="X5" s="1537"/>
      <c r="Y5" s="3288"/>
      <c r="Z5" s="3289"/>
      <c r="AA5" s="3282"/>
      <c r="AB5" s="3282"/>
      <c r="AC5" s="3282"/>
    </row>
    <row r="6" spans="1:30" ht="15" thickBot="1">
      <c r="A6" s="366"/>
      <c r="B6" s="367"/>
      <c r="C6" s="3294" t="s">
        <v>2367</v>
      </c>
      <c r="D6" s="3295"/>
      <c r="E6" s="3297" t="s">
        <v>2367</v>
      </c>
      <c r="F6" s="3298"/>
      <c r="G6" s="3294" t="s">
        <v>2367</v>
      </c>
      <c r="H6" s="3295"/>
      <c r="I6" s="3294" t="s">
        <v>2367</v>
      </c>
      <c r="J6" s="3295"/>
      <c r="K6" s="567" t="s">
        <v>2368</v>
      </c>
      <c r="L6" s="2942"/>
      <c r="M6" s="2943"/>
      <c r="N6" s="2943"/>
      <c r="O6" s="2943"/>
      <c r="P6" s="3340"/>
      <c r="Q6" s="3312"/>
      <c r="R6" s="3288"/>
      <c r="S6" s="3289"/>
      <c r="T6" s="3313"/>
      <c r="U6" s="3314"/>
      <c r="V6" s="3316"/>
      <c r="W6" s="3316"/>
      <c r="X6" s="1537"/>
      <c r="Y6" s="3313"/>
      <c r="Z6" s="3314"/>
      <c r="AA6" s="3283"/>
      <c r="AB6" s="3283"/>
      <c r="AC6" s="3283"/>
    </row>
    <row r="7" spans="1:30" s="113" customFormat="1" ht="15" thickBot="1">
      <c r="A7" s="368" t="s">
        <v>2369</v>
      </c>
      <c r="B7" s="369"/>
      <c r="C7" s="370">
        <f>'数据-取费表'!B2</f>
        <v>44561</v>
      </c>
      <c r="D7" s="371">
        <v>100</v>
      </c>
      <c r="E7" s="372">
        <f>土地案例!L4</f>
        <v>44195</v>
      </c>
      <c r="F7" s="373">
        <f>SUMIF(70:70,YEAR(E7)&amp;"-"&amp;INT((MONTH(E7)+2)/3),71:71)</f>
        <v>99.199999999999989</v>
      </c>
      <c r="G7" s="2158">
        <f>土地案例!L7</f>
        <v>44118</v>
      </c>
      <c r="H7" s="371">
        <f>SUMIF(70:70,YEAR(G7)&amp;"-"&amp;INT((MONTH(G7)+2)/3),71:71)</f>
        <v>99.199999999999989</v>
      </c>
      <c r="I7" s="2158">
        <f>土地案例!L8</f>
        <v>44034</v>
      </c>
      <c r="J7" s="371">
        <f>SUMIF(70:70,YEAR(I7)&amp;"-"&amp;INT((MONTH(I7)+2)/3),71:71)</f>
        <v>98.999999999999986</v>
      </c>
      <c r="K7" s="568"/>
      <c r="L7" s="2944"/>
      <c r="M7" s="2945"/>
      <c r="N7" s="2945"/>
      <c r="O7" s="2945"/>
      <c r="P7" s="3284" t="s">
        <v>2370</v>
      </c>
      <c r="Q7" s="3318"/>
      <c r="R7" s="709" t="s">
        <v>17</v>
      </c>
      <c r="S7" s="710">
        <f t="shared" ref="S7:S15" si="0">F7</f>
        <v>99.199999999999989</v>
      </c>
      <c r="T7" s="709" t="s">
        <v>17</v>
      </c>
      <c r="U7" s="710">
        <f t="shared" ref="U7:U15" si="1">H7</f>
        <v>99.199999999999989</v>
      </c>
      <c r="V7" s="709" t="s">
        <v>17</v>
      </c>
      <c r="W7" s="710">
        <f t="shared" ref="W7:W15" si="2">J7</f>
        <v>98.999999999999986</v>
      </c>
      <c r="X7" s="711"/>
      <c r="Y7" s="3284" t="s">
        <v>2370</v>
      </c>
      <c r="Z7" s="3285"/>
      <c r="AA7" s="712">
        <f>D7/F7</f>
        <v>1.0080645161290325</v>
      </c>
      <c r="AB7" s="712">
        <f>D7/H7</f>
        <v>1.0080645161290325</v>
      </c>
      <c r="AC7" s="712">
        <f>D7/J7</f>
        <v>1.0101010101010102</v>
      </c>
    </row>
    <row r="8" spans="1:30" s="113" customFormat="1" ht="15" thickBot="1">
      <c r="A8" s="368" t="s">
        <v>2371</v>
      </c>
      <c r="B8" s="369"/>
      <c r="C8" s="374" t="s">
        <v>2372</v>
      </c>
      <c r="D8" s="371">
        <v>100</v>
      </c>
      <c r="E8" s="374" t="s">
        <v>3081</v>
      </c>
      <c r="F8" s="373">
        <f>SUMIF(73:73,E8,74:74)-SUMIF(73:73,C8,74:74)+100</f>
        <v>100</v>
      </c>
      <c r="G8" s="374" t="s">
        <v>3081</v>
      </c>
      <c r="H8" s="371">
        <f>SUMIF(73:73,G8,74:74)-SUMIF(73:73,C8,74:74)+100</f>
        <v>100</v>
      </c>
      <c r="I8" s="374" t="s">
        <v>3081</v>
      </c>
      <c r="J8" s="371">
        <f>SUMIF(73:73,I8,74:74)-SUMIF(73:73,C8,74:74)+100</f>
        <v>100</v>
      </c>
      <c r="K8" s="568"/>
      <c r="L8" s="2944"/>
      <c r="M8" s="2945"/>
      <c r="N8" s="2945"/>
      <c r="O8" s="2945"/>
      <c r="P8" s="3284" t="s">
        <v>2373</v>
      </c>
      <c r="Q8" s="3285"/>
      <c r="R8" s="709" t="s">
        <v>17</v>
      </c>
      <c r="S8" s="710">
        <f t="shared" si="0"/>
        <v>100</v>
      </c>
      <c r="T8" s="709" t="s">
        <v>17</v>
      </c>
      <c r="U8" s="710">
        <f t="shared" si="1"/>
        <v>100</v>
      </c>
      <c r="V8" s="709" t="s">
        <v>17</v>
      </c>
      <c r="W8" s="710">
        <f t="shared" si="2"/>
        <v>100</v>
      </c>
      <c r="X8" s="711"/>
      <c r="Y8" s="3284" t="s">
        <v>2373</v>
      </c>
      <c r="Z8" s="3285"/>
      <c r="AA8" s="712">
        <f t="shared" ref="AA8:AA45" si="3">D8/F8</f>
        <v>1</v>
      </c>
      <c r="AB8" s="712">
        <f t="shared" ref="AB8:AB45" si="4">D8/H8</f>
        <v>1</v>
      </c>
      <c r="AC8" s="712">
        <f t="shared" ref="AC8:AC45" si="5">D8/J8</f>
        <v>1</v>
      </c>
    </row>
    <row r="9" spans="1:30" s="113" customFormat="1" ht="14.4">
      <c r="A9" s="375" t="s">
        <v>2374</v>
      </c>
      <c r="B9" s="67" t="s">
        <v>2375</v>
      </c>
      <c r="C9" s="2161" t="s">
        <v>1343</v>
      </c>
      <c r="D9" s="131">
        <v>100</v>
      </c>
      <c r="E9" s="2161" t="s">
        <v>1343</v>
      </c>
      <c r="F9" s="131">
        <f>SUMIF(75:75,E9,76:76)-SUMIF(75:75,C9,76:76)+100</f>
        <v>100</v>
      </c>
      <c r="G9" s="2161" t="s">
        <v>1343</v>
      </c>
      <c r="H9" s="131">
        <f>SUMIF(75:75,G9,76:76)-SUMIF(75:75,C9,76:76)+100</f>
        <v>100</v>
      </c>
      <c r="I9" s="2161" t="s">
        <v>1343</v>
      </c>
      <c r="J9" s="131">
        <f>SUMIF(75:75,I9,76:76)-SUMIF(75:75,C9,76:76)+100</f>
        <v>100</v>
      </c>
      <c r="K9" s="568"/>
      <c r="L9" s="2944"/>
      <c r="M9" s="2945"/>
      <c r="N9" s="2945"/>
      <c r="O9" s="2999"/>
      <c r="P9" s="3328"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30" s="386" customFormat="1" ht="28.8">
      <c r="A10" s="380"/>
      <c r="B10" s="381" t="s">
        <v>2378</v>
      </c>
      <c r="C10" s="391"/>
      <c r="D10" s="132">
        <v>100</v>
      </c>
      <c r="E10" s="424"/>
      <c r="F10" s="132">
        <f>ROUND(100/'数据-取费表'!G16,0)</f>
        <v>235</v>
      </c>
      <c r="G10" s="422"/>
      <c r="H10" s="132">
        <f>ROUND(100/'数据-取费表'!G16,0)</f>
        <v>235</v>
      </c>
      <c r="I10" s="422"/>
      <c r="J10" s="132">
        <f>ROUND(100/'数据-取费表'!G16,0)</f>
        <v>235</v>
      </c>
      <c r="K10" s="628"/>
      <c r="L10" s="2946"/>
      <c r="M10" s="2947"/>
      <c r="N10" s="2947"/>
      <c r="O10" s="3000"/>
      <c r="P10" s="3328"/>
      <c r="Q10" s="1525" t="str">
        <f t="shared" si="6"/>
        <v>土地使用年限（年）</v>
      </c>
      <c r="R10" s="709" t="s">
        <v>17</v>
      </c>
      <c r="S10" s="710">
        <f t="shared" si="0"/>
        <v>235</v>
      </c>
      <c r="T10" s="709" t="s">
        <v>17</v>
      </c>
      <c r="U10" s="710">
        <f t="shared" si="1"/>
        <v>235</v>
      </c>
      <c r="V10" s="709" t="s">
        <v>17</v>
      </c>
      <c r="W10" s="710">
        <f t="shared" si="2"/>
        <v>235</v>
      </c>
      <c r="X10" s="711"/>
      <c r="Y10" s="3257"/>
      <c r="Z10" s="55" t="str">
        <f t="shared" si="7"/>
        <v>土地使用年限（年）</v>
      </c>
      <c r="AA10" s="712">
        <f t="shared" si="3"/>
        <v>0.42553191489361702</v>
      </c>
      <c r="AB10" s="712">
        <f t="shared" si="4"/>
        <v>0.42553191489361702</v>
      </c>
      <c r="AC10" s="712">
        <f t="shared" si="5"/>
        <v>0.42553191489361702</v>
      </c>
    </row>
    <row r="11" spans="1:30" ht="15">
      <c r="A11" s="387"/>
      <c r="B11" s="381" t="s">
        <v>2379</v>
      </c>
      <c r="C11" s="388">
        <f>'数据-汇总表'!I6</f>
        <v>1.61</v>
      </c>
      <c r="D11" s="132">
        <v>100</v>
      </c>
      <c r="E11" s="388">
        <v>6</v>
      </c>
      <c r="F11" s="132">
        <f>LOOKUP(E11,80:80,81:81)-LOOKUP(C11,80:80,81:81)+100</f>
        <v>94</v>
      </c>
      <c r="G11" s="389">
        <v>3.5</v>
      </c>
      <c r="H11" s="132">
        <f>LOOKUP(G11,80:80,81:81)-LOOKUP(C11,80:80,81:81)+100</f>
        <v>98</v>
      </c>
      <c r="I11" s="388">
        <v>1.2</v>
      </c>
      <c r="J11" s="132">
        <f>LOOKUP(I11,80:80,81:81)-LOOKUP(C11,80:80,81:81)+100</f>
        <v>100</v>
      </c>
      <c r="K11" s="629">
        <v>2</v>
      </c>
      <c r="L11" s="2948"/>
      <c r="M11" s="2943"/>
      <c r="N11" s="2943"/>
      <c r="O11" s="3001"/>
      <c r="P11" s="3328"/>
      <c r="Q11" s="1525" t="str">
        <f t="shared" si="6"/>
        <v>容积率</v>
      </c>
      <c r="R11" s="709" t="s">
        <v>17</v>
      </c>
      <c r="S11" s="710">
        <f t="shared" si="0"/>
        <v>94</v>
      </c>
      <c r="T11" s="709" t="s">
        <v>17</v>
      </c>
      <c r="U11" s="710">
        <f t="shared" si="1"/>
        <v>98</v>
      </c>
      <c r="V11" s="709" t="s">
        <v>17</v>
      </c>
      <c r="W11" s="710">
        <f t="shared" si="2"/>
        <v>100</v>
      </c>
      <c r="X11" s="711"/>
      <c r="Y11" s="3257"/>
      <c r="Z11" s="55" t="str">
        <f t="shared" si="7"/>
        <v>容积率</v>
      </c>
      <c r="AA11" s="712">
        <f t="shared" si="3"/>
        <v>1.0638297872340425</v>
      </c>
      <c r="AB11" s="712">
        <f t="shared" si="4"/>
        <v>1.0204081632653061</v>
      </c>
      <c r="AC11" s="712">
        <f t="shared" si="5"/>
        <v>1</v>
      </c>
    </row>
    <row r="12" spans="1:30" s="113" customFormat="1" ht="15">
      <c r="A12" s="390"/>
      <c r="B12" s="2077"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28"/>
      <c r="Q12" s="1525" t="str">
        <f t="shared" si="6"/>
        <v>配建</v>
      </c>
      <c r="R12" s="709" t="s">
        <v>17</v>
      </c>
      <c r="S12" s="710">
        <f t="shared" si="0"/>
        <v>100</v>
      </c>
      <c r="T12" s="709" t="s">
        <v>17</v>
      </c>
      <c r="U12" s="710">
        <f t="shared" si="1"/>
        <v>100</v>
      </c>
      <c r="V12" s="709" t="s">
        <v>17</v>
      </c>
      <c r="W12" s="710">
        <f t="shared" si="2"/>
        <v>100</v>
      </c>
      <c r="X12" s="711"/>
      <c r="Y12" s="3257"/>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D13/F13</f>
        <v>1</v>
      </c>
      <c r="AB13" s="712">
        <f>D13/H13</f>
        <v>1</v>
      </c>
      <c r="AC13" s="712">
        <f>D13/J13</f>
        <v>1</v>
      </c>
    </row>
    <row r="14" spans="1:30" ht="15.6"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28"/>
      <c r="Q14" s="1525">
        <f t="shared" si="6"/>
        <v>111</v>
      </c>
      <c r="R14" s="709" t="s">
        <v>17</v>
      </c>
      <c r="S14" s="710">
        <f t="shared" si="0"/>
        <v>100</v>
      </c>
      <c r="T14" s="709" t="s">
        <v>17</v>
      </c>
      <c r="U14" s="710">
        <f t="shared" si="1"/>
        <v>100</v>
      </c>
      <c r="V14" s="709" t="s">
        <v>17</v>
      </c>
      <c r="W14" s="710">
        <f t="shared" si="2"/>
        <v>100</v>
      </c>
      <c r="X14" s="711"/>
      <c r="Y14" s="3257"/>
      <c r="Z14" s="55">
        <f t="shared" si="7"/>
        <v>111</v>
      </c>
      <c r="AA14" s="712">
        <f>D14/F14</f>
        <v>1</v>
      </c>
      <c r="AB14" s="712">
        <f>D14/H14</f>
        <v>1</v>
      </c>
      <c r="AC14" s="712">
        <f>D14/J14</f>
        <v>1</v>
      </c>
    </row>
    <row r="15" spans="1:30" ht="82.8">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21" t="s">
        <v>2381</v>
      </c>
      <c r="Q15" s="1534" t="str">
        <f t="shared" si="6"/>
        <v>居住社区成熟度</v>
      </c>
      <c r="R15" s="713" t="s">
        <v>17</v>
      </c>
      <c r="S15" s="714">
        <f t="shared" si="0"/>
        <v>100</v>
      </c>
      <c r="T15" s="713" t="s">
        <v>17</v>
      </c>
      <c r="U15" s="714">
        <f t="shared" si="1"/>
        <v>100</v>
      </c>
      <c r="V15" s="713" t="s">
        <v>17</v>
      </c>
      <c r="W15" s="714">
        <f t="shared" si="2"/>
        <v>100</v>
      </c>
      <c r="X15" s="1537"/>
      <c r="Y15" s="3321"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322"/>
      <c r="Q16" s="1534"/>
      <c r="R16" s="713"/>
      <c r="S16" s="714"/>
      <c r="T16" s="713"/>
      <c r="U16" s="714"/>
      <c r="V16" s="713"/>
      <c r="W16" s="714"/>
      <c r="X16" s="1537"/>
      <c r="Y16" s="3322"/>
      <c r="Z16" s="1538"/>
      <c r="AA16" s="1535">
        <v>1</v>
      </c>
      <c r="AB16" s="1535">
        <v>1</v>
      </c>
      <c r="AC16" s="1535">
        <v>1</v>
      </c>
    </row>
    <row r="17" spans="1:29" ht="55.2">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90</v>
      </c>
      <c r="I17" s="413"/>
      <c r="J17" s="414">
        <f>SUMIF(90:90,I18,91:91)-SUMIF(90:90,C18,91:91)+100</f>
        <v>100</v>
      </c>
      <c r="K17" s="629">
        <v>5</v>
      </c>
      <c r="L17" s="2949"/>
      <c r="M17" s="2943"/>
      <c r="N17" s="2943"/>
      <c r="O17" s="3001"/>
      <c r="P17" s="3322"/>
      <c r="Q17" s="1534" t="str">
        <f>B17</f>
        <v>商业繁华度</v>
      </c>
      <c r="R17" s="713" t="s">
        <v>17</v>
      </c>
      <c r="S17" s="714">
        <f>F17</f>
        <v>100</v>
      </c>
      <c r="T17" s="713" t="s">
        <v>17</v>
      </c>
      <c r="U17" s="714">
        <f>H17</f>
        <v>90</v>
      </c>
      <c r="V17" s="713" t="s">
        <v>17</v>
      </c>
      <c r="W17" s="714">
        <f>J17</f>
        <v>100</v>
      </c>
      <c r="X17" s="1537"/>
      <c r="Y17" s="3322"/>
      <c r="Z17" s="1538" t="str">
        <f>Q17</f>
        <v>商业繁华度</v>
      </c>
      <c r="AA17" s="1535">
        <f t="shared" si="3"/>
        <v>1</v>
      </c>
      <c r="AB17" s="1535">
        <f t="shared" si="4"/>
        <v>1.1111111111111112</v>
      </c>
      <c r="AC17" s="1535">
        <f t="shared" si="5"/>
        <v>1</v>
      </c>
    </row>
    <row r="18" spans="1:29" ht="15">
      <c r="A18" s="387"/>
      <c r="B18" s="415"/>
      <c r="C18" s="2085" t="s">
        <v>3083</v>
      </c>
      <c r="D18" s="409"/>
      <c r="E18" s="2087" t="s">
        <v>3083</v>
      </c>
      <c r="F18" s="409"/>
      <c r="G18" s="2087" t="s">
        <v>3117</v>
      </c>
      <c r="H18" s="407"/>
      <c r="I18" s="2086" t="s">
        <v>3083</v>
      </c>
      <c r="J18" s="407"/>
      <c r="K18" s="628"/>
      <c r="L18" s="2949"/>
      <c r="M18" s="2943"/>
      <c r="N18" s="2943"/>
      <c r="O18" s="3001"/>
      <c r="P18" s="3322"/>
      <c r="Q18" s="1534"/>
      <c r="R18" s="713"/>
      <c r="S18" s="714"/>
      <c r="T18" s="713"/>
      <c r="U18" s="714"/>
      <c r="V18" s="713"/>
      <c r="W18" s="714"/>
      <c r="X18" s="1537"/>
      <c r="Y18" s="3322"/>
      <c r="Z18" s="1538"/>
      <c r="AA18" s="1535">
        <v>1</v>
      </c>
      <c r="AB18" s="1535">
        <v>1</v>
      </c>
      <c r="AC18" s="1535">
        <v>1</v>
      </c>
    </row>
    <row r="19" spans="1:29" ht="69">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22"/>
      <c r="Q19" s="1534" t="str">
        <f>B19</f>
        <v>办公集聚程度</v>
      </c>
      <c r="R19" s="713" t="s">
        <v>17</v>
      </c>
      <c r="S19" s="714">
        <f>F19</f>
        <v>100</v>
      </c>
      <c r="T19" s="713" t="s">
        <v>17</v>
      </c>
      <c r="U19" s="714">
        <f>H19</f>
        <v>100</v>
      </c>
      <c r="V19" s="713" t="s">
        <v>17</v>
      </c>
      <c r="W19" s="714">
        <f>J19</f>
        <v>100</v>
      </c>
      <c r="X19" s="1537"/>
      <c r="Y19" s="3322"/>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322"/>
      <c r="Q20" s="1534"/>
      <c r="R20" s="713"/>
      <c r="S20" s="714"/>
      <c r="T20" s="713"/>
      <c r="U20" s="714"/>
      <c r="V20" s="713"/>
      <c r="W20" s="714"/>
      <c r="X20" s="1537"/>
      <c r="Y20" s="3322"/>
      <c r="Z20" s="1538"/>
      <c r="AA20" s="1535">
        <v>1</v>
      </c>
      <c r="AB20" s="1535">
        <v>1</v>
      </c>
      <c r="AC20" s="1535">
        <v>1</v>
      </c>
    </row>
    <row r="21" spans="1:29" ht="69">
      <c r="A21" s="387"/>
      <c r="B21" s="410" t="s">
        <v>2530</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49"/>
      <c r="M21" s="2943"/>
      <c r="N21" s="2943"/>
      <c r="O21" s="3001"/>
      <c r="P21" s="3322"/>
      <c r="Q21" s="1534" t="str">
        <f>B21</f>
        <v>交通便捷度</v>
      </c>
      <c r="R21" s="713" t="s">
        <v>17</v>
      </c>
      <c r="S21" s="714">
        <f>F21</f>
        <v>100</v>
      </c>
      <c r="T21" s="713" t="s">
        <v>17</v>
      </c>
      <c r="U21" s="714">
        <f>H21</f>
        <v>97</v>
      </c>
      <c r="V21" s="713" t="s">
        <v>17</v>
      </c>
      <c r="W21" s="714">
        <f>J21</f>
        <v>97</v>
      </c>
      <c r="X21" s="1537"/>
      <c r="Y21" s="3322"/>
      <c r="Z21" s="1538" t="str">
        <f>Q21</f>
        <v>交通便捷度</v>
      </c>
      <c r="AA21" s="1535">
        <f t="shared" si="3"/>
        <v>1</v>
      </c>
      <c r="AB21" s="1535">
        <f t="shared" si="4"/>
        <v>1.0309278350515463</v>
      </c>
      <c r="AC21" s="1535">
        <f t="shared" si="5"/>
        <v>1.0309278350515463</v>
      </c>
    </row>
    <row r="22" spans="1:29" ht="15">
      <c r="A22" s="387"/>
      <c r="B22" s="1292"/>
      <c r="C22" s="406" t="s">
        <v>3083</v>
      </c>
      <c r="D22" s="409"/>
      <c r="E22" s="2082" t="s">
        <v>3083</v>
      </c>
      <c r="F22" s="407"/>
      <c r="G22" s="2082" t="s">
        <v>3085</v>
      </c>
      <c r="H22" s="407"/>
      <c r="I22" s="2081" t="s">
        <v>3085</v>
      </c>
      <c r="J22" s="407"/>
      <c r="K22" s="628"/>
      <c r="L22" s="2949"/>
      <c r="M22" s="2943"/>
      <c r="N22" s="2943"/>
      <c r="O22" s="3001"/>
      <c r="P22" s="3322"/>
      <c r="Q22" s="1534"/>
      <c r="R22" s="713"/>
      <c r="S22" s="714"/>
      <c r="T22" s="713"/>
      <c r="U22" s="714"/>
      <c r="V22" s="713"/>
      <c r="W22" s="714"/>
      <c r="X22" s="1537"/>
      <c r="Y22" s="3322"/>
      <c r="Z22" s="1538"/>
      <c r="AA22" s="1535">
        <v>1</v>
      </c>
      <c r="AB22" s="1535">
        <v>1</v>
      </c>
      <c r="AC22" s="1535">
        <v>1</v>
      </c>
    </row>
    <row r="23" spans="1:29" ht="28.8">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322"/>
      <c r="Q23" s="1534" t="str">
        <f t="shared" ref="Q23:Q37" si="8">B23</f>
        <v>区域土地利用方向</v>
      </c>
      <c r="R23" s="713" t="s">
        <v>17</v>
      </c>
      <c r="S23" s="714">
        <f>F23</f>
        <v>100</v>
      </c>
      <c r="T23" s="713" t="s">
        <v>17</v>
      </c>
      <c r="U23" s="714">
        <f>H23</f>
        <v>100</v>
      </c>
      <c r="V23" s="713" t="s">
        <v>17</v>
      </c>
      <c r="W23" s="714">
        <f>J23</f>
        <v>100</v>
      </c>
      <c r="X23" s="1537"/>
      <c r="Y23" s="3322"/>
      <c r="Z23" s="1538" t="str">
        <f>Q23</f>
        <v>区域土地利用方向</v>
      </c>
      <c r="AA23" s="1535">
        <f t="shared" si="3"/>
        <v>1</v>
      </c>
      <c r="AB23" s="1535">
        <f t="shared" si="4"/>
        <v>1</v>
      </c>
      <c r="AC23" s="1535">
        <f t="shared" si="5"/>
        <v>1</v>
      </c>
    </row>
    <row r="24" spans="1:29" ht="15">
      <c r="A24" s="364"/>
      <c r="B24" s="415"/>
      <c r="C24" s="573" t="s">
        <v>3083</v>
      </c>
      <c r="D24" s="407"/>
      <c r="E24" s="573" t="s">
        <v>3083</v>
      </c>
      <c r="F24" s="407"/>
      <c r="G24" s="573" t="s">
        <v>3083</v>
      </c>
      <c r="H24" s="407"/>
      <c r="I24" s="573" t="s">
        <v>3083</v>
      </c>
      <c r="J24" s="407"/>
      <c r="K24" s="750"/>
      <c r="L24" s="2949"/>
      <c r="M24" s="2943"/>
      <c r="N24" s="2943"/>
      <c r="O24" s="3001"/>
      <c r="P24" s="3322"/>
      <c r="Q24" s="1534"/>
      <c r="R24" s="713"/>
      <c r="S24" s="714"/>
      <c r="T24" s="713"/>
      <c r="U24" s="714"/>
      <c r="V24" s="713"/>
      <c r="W24" s="714"/>
      <c r="X24" s="1537"/>
      <c r="Y24" s="3322"/>
      <c r="Z24" s="1538"/>
      <c r="AA24" s="1535"/>
      <c r="AB24" s="1535"/>
      <c r="AC24" s="1535"/>
    </row>
    <row r="25" spans="1:29" ht="41.4">
      <c r="A25" s="364"/>
      <c r="B25" s="1292" t="s">
        <v>2570</v>
      </c>
      <c r="C25" s="2139" t="str">
        <f>估价对象房地状况!C20</f>
        <v>区域自然环境：；人文环境；综合评价环境状况一般</v>
      </c>
      <c r="D25" s="409">
        <v>100</v>
      </c>
      <c r="E25" s="411"/>
      <c r="F25" s="409">
        <f>SUMIF(98:98,E26,99:99)-SUMIF(98:98,C26,99:99)+100</f>
        <v>100</v>
      </c>
      <c r="G25" s="411"/>
      <c r="H25" s="409">
        <f>SUMIF(98:98,G26,99:99)-SUMIF(98:98,C26,99:99)+100</f>
        <v>97</v>
      </c>
      <c r="I25" s="413"/>
      <c r="J25" s="409">
        <f>SUMIF(98:98,I26,99:99)-SUMIF(98:98,C26,99:99)+100</f>
        <v>97</v>
      </c>
      <c r="K25" s="629">
        <v>3</v>
      </c>
      <c r="L25" s="2949"/>
      <c r="M25" s="2943"/>
      <c r="N25" s="2943"/>
      <c r="O25" s="3001"/>
      <c r="P25" s="3322"/>
      <c r="Q25" s="1534" t="str">
        <f t="shared" si="8"/>
        <v>自然及人文环境状况</v>
      </c>
      <c r="R25" s="713" t="s">
        <v>17</v>
      </c>
      <c r="S25" s="714">
        <f>F25</f>
        <v>100</v>
      </c>
      <c r="T25" s="713" t="s">
        <v>17</v>
      </c>
      <c r="U25" s="714">
        <f>H25</f>
        <v>97</v>
      </c>
      <c r="V25" s="713" t="s">
        <v>17</v>
      </c>
      <c r="W25" s="714">
        <f>J25</f>
        <v>97</v>
      </c>
      <c r="X25" s="1537"/>
      <c r="Y25" s="3322"/>
      <c r="Z25" s="1538" t="str">
        <f>Q25</f>
        <v>自然及人文环境状况</v>
      </c>
      <c r="AA25" s="1535">
        <f t="shared" si="3"/>
        <v>1</v>
      </c>
      <c r="AB25" s="1535">
        <f t="shared" si="4"/>
        <v>1.0309278350515463</v>
      </c>
      <c r="AC25" s="1535">
        <f t="shared" si="5"/>
        <v>1.0309278350515463</v>
      </c>
    </row>
    <row r="26" spans="1:29" ht="15">
      <c r="A26" s="364"/>
      <c r="B26" s="415"/>
      <c r="C26" s="406" t="s">
        <v>3083</v>
      </c>
      <c r="D26" s="407"/>
      <c r="E26" s="2088" t="s">
        <v>3083</v>
      </c>
      <c r="F26" s="407"/>
      <c r="G26" s="2088" t="s">
        <v>3085</v>
      </c>
      <c r="H26" s="407"/>
      <c r="I26" s="406" t="s">
        <v>3085</v>
      </c>
      <c r="J26" s="407"/>
      <c r="K26" s="628"/>
      <c r="L26" s="2949"/>
      <c r="M26" s="2943"/>
      <c r="N26" s="2943"/>
      <c r="O26" s="3001"/>
      <c r="P26" s="3322"/>
      <c r="Q26" s="1534"/>
      <c r="R26" s="713"/>
      <c r="S26" s="714"/>
      <c r="T26" s="713"/>
      <c r="U26" s="714"/>
      <c r="V26" s="713"/>
      <c r="W26" s="714"/>
      <c r="X26" s="1537"/>
      <c r="Y26" s="3322"/>
      <c r="Z26" s="1538"/>
      <c r="AA26" s="1535">
        <v>1</v>
      </c>
      <c r="AB26" s="1535">
        <v>1</v>
      </c>
      <c r="AC26" s="1535">
        <v>1</v>
      </c>
    </row>
    <row r="27" spans="1:29" s="113" customFormat="1" ht="41.4">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94</v>
      </c>
      <c r="I27" s="413"/>
      <c r="J27" s="409">
        <f>SUMIF(100:100,I28,101:101)-SUMIF(100:100,C28,101:101)+100</f>
        <v>100</v>
      </c>
      <c r="K27" s="629">
        <v>3</v>
      </c>
      <c r="L27" s="2944"/>
      <c r="M27" s="2945"/>
      <c r="N27" s="2945"/>
      <c r="O27" s="2999"/>
      <c r="P27" s="3322"/>
      <c r="Q27" s="1525" t="str">
        <f t="shared" si="8"/>
        <v>公共配套设施</v>
      </c>
      <c r="R27" s="709" t="s">
        <v>17</v>
      </c>
      <c r="S27" s="710">
        <f>F27</f>
        <v>100</v>
      </c>
      <c r="T27" s="709" t="s">
        <v>17</v>
      </c>
      <c r="U27" s="710">
        <f>H27</f>
        <v>94</v>
      </c>
      <c r="V27" s="709" t="s">
        <v>17</v>
      </c>
      <c r="W27" s="710">
        <f>J27</f>
        <v>100</v>
      </c>
      <c r="X27" s="711"/>
      <c r="Y27" s="3322"/>
      <c r="Z27" s="55" t="str">
        <f>Q27</f>
        <v>公共配套设施</v>
      </c>
      <c r="AA27" s="1535">
        <f>D27/F27</f>
        <v>1</v>
      </c>
      <c r="AB27" s="1535">
        <f>D27/H27</f>
        <v>1.0638297872340425</v>
      </c>
      <c r="AC27" s="1535">
        <f>D27/J27</f>
        <v>1</v>
      </c>
    </row>
    <row r="28" spans="1:29" s="113" customFormat="1" ht="15">
      <c r="A28" s="605"/>
      <c r="B28" s="415"/>
      <c r="C28" s="2162" t="s">
        <v>3083</v>
      </c>
      <c r="D28" s="407"/>
      <c r="E28" s="2162" t="s">
        <v>3083</v>
      </c>
      <c r="F28" s="407"/>
      <c r="G28" s="2088" t="s">
        <v>3117</v>
      </c>
      <c r="H28" s="407"/>
      <c r="I28" s="406" t="s">
        <v>3083</v>
      </c>
      <c r="J28" s="407"/>
      <c r="K28" s="628"/>
      <c r="L28" s="2944"/>
      <c r="M28" s="2945"/>
      <c r="N28" s="2945"/>
      <c r="O28" s="2999"/>
      <c r="P28" s="3322"/>
      <c r="Q28" s="1525"/>
      <c r="R28" s="709"/>
      <c r="S28" s="710"/>
      <c r="T28" s="709"/>
      <c r="U28" s="710"/>
      <c r="V28" s="709"/>
      <c r="W28" s="710"/>
      <c r="X28" s="711"/>
      <c r="Y28" s="3322"/>
      <c r="Z28" s="55"/>
      <c r="AA28" s="1535">
        <v>1</v>
      </c>
      <c r="AB28" s="1535">
        <v>1</v>
      </c>
      <c r="AC28" s="1535">
        <v>1</v>
      </c>
    </row>
    <row r="29" spans="1:29" s="113" customFormat="1" ht="27.6">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4"/>
      <c r="M29" s="2945"/>
      <c r="N29" s="2945"/>
      <c r="O29" s="2999"/>
      <c r="P29" s="3322"/>
      <c r="Q29" s="1525" t="str">
        <f t="shared" ref="Q29" si="9">B29</f>
        <v>基础设施水平</v>
      </c>
      <c r="R29" s="709" t="s">
        <v>17</v>
      </c>
      <c r="S29" s="710">
        <f>F29</f>
        <v>100</v>
      </c>
      <c r="T29" s="709" t="s">
        <v>17</v>
      </c>
      <c r="U29" s="710">
        <f>H29</f>
        <v>100</v>
      </c>
      <c r="V29" s="709" t="s">
        <v>17</v>
      </c>
      <c r="W29" s="710">
        <f>J29</f>
        <v>100</v>
      </c>
      <c r="X29" s="711"/>
      <c r="Y29" s="3322"/>
      <c r="Z29" s="55" t="str">
        <f>Q29</f>
        <v>基础设施水平</v>
      </c>
      <c r="AA29" s="1535">
        <f>D29/F29</f>
        <v>1</v>
      </c>
      <c r="AB29" s="1535">
        <f>D29/H29</f>
        <v>1</v>
      </c>
      <c r="AC29" s="1535">
        <f>D29/J29</f>
        <v>1</v>
      </c>
    </row>
    <row r="30" spans="1:29" s="113" customFormat="1" ht="15">
      <c r="A30" s="605"/>
      <c r="B30" s="415"/>
      <c r="C30" s="2162" t="s">
        <v>3245</v>
      </c>
      <c r="D30" s="407"/>
      <c r="E30" s="2162" t="s">
        <v>3245</v>
      </c>
      <c r="F30" s="407"/>
      <c r="G30" s="2162" t="s">
        <v>3245</v>
      </c>
      <c r="H30" s="407"/>
      <c r="I30" s="2162" t="s">
        <v>3245</v>
      </c>
      <c r="J30" s="407"/>
      <c r="K30" s="628"/>
      <c r="L30" s="2944"/>
      <c r="M30" s="2945"/>
      <c r="N30" s="2945"/>
      <c r="O30" s="2999"/>
      <c r="P30" s="3322"/>
      <c r="Q30" s="1525"/>
      <c r="R30" s="709"/>
      <c r="S30" s="710"/>
      <c r="T30" s="709"/>
      <c r="U30" s="710"/>
      <c r="V30" s="709"/>
      <c r="W30" s="710"/>
      <c r="X30" s="711"/>
      <c r="Y30" s="3322"/>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22"/>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22"/>
      <c r="Z31" s="1538" t="str">
        <f t="shared" ref="Z31:Z45" si="13">Q31</f>
        <v>临街状况</v>
      </c>
      <c r="AA31" s="1535">
        <f t="shared" si="3"/>
        <v>1</v>
      </c>
      <c r="AB31" s="1535">
        <f t="shared" si="4"/>
        <v>1</v>
      </c>
      <c r="AC31" s="1535">
        <f t="shared" si="5"/>
        <v>1</v>
      </c>
    </row>
    <row r="32" spans="1:29" ht="28.8">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22"/>
      <c r="Q32" s="1534" t="str">
        <f t="shared" si="8"/>
        <v>毗邻道路的类型与等级</v>
      </c>
      <c r="R32" s="713" t="s">
        <v>17</v>
      </c>
      <c r="S32" s="714">
        <f t="shared" si="10"/>
        <v>100</v>
      </c>
      <c r="T32" s="713" t="s">
        <v>17</v>
      </c>
      <c r="U32" s="714">
        <f t="shared" si="11"/>
        <v>100</v>
      </c>
      <c r="V32" s="713" t="s">
        <v>17</v>
      </c>
      <c r="W32" s="714">
        <f t="shared" si="12"/>
        <v>100</v>
      </c>
      <c r="X32" s="1537"/>
      <c r="Y32" s="3322"/>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322"/>
      <c r="Q33" s="1534"/>
      <c r="R33" s="713"/>
      <c r="S33" s="714"/>
      <c r="T33" s="713"/>
      <c r="U33" s="714"/>
      <c r="V33" s="713"/>
      <c r="W33" s="714"/>
      <c r="X33" s="1537"/>
      <c r="Y33" s="3322"/>
      <c r="Z33" s="1538"/>
      <c r="AA33" s="1535">
        <v>1</v>
      </c>
      <c r="AB33" s="1535">
        <v>1</v>
      </c>
      <c r="AC33" s="1535">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22"/>
      <c r="Q34" s="1534" t="str">
        <f t="shared" si="8"/>
        <v>土地级别</v>
      </c>
      <c r="R34" s="713" t="s">
        <v>17</v>
      </c>
      <c r="S34" s="714">
        <f t="shared" si="10"/>
        <v>100</v>
      </c>
      <c r="T34" s="713" t="s">
        <v>17</v>
      </c>
      <c r="U34" s="714">
        <f t="shared" si="11"/>
        <v>100</v>
      </c>
      <c r="V34" s="713" t="s">
        <v>17</v>
      </c>
      <c r="W34" s="714">
        <f t="shared" si="12"/>
        <v>100</v>
      </c>
      <c r="X34" s="1537"/>
      <c r="Y34" s="3322"/>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22"/>
      <c r="Q35" s="1534">
        <f t="shared" si="8"/>
        <v>111</v>
      </c>
      <c r="R35" s="713" t="s">
        <v>17</v>
      </c>
      <c r="S35" s="714">
        <f t="shared" si="10"/>
        <v>100</v>
      </c>
      <c r="T35" s="713" t="s">
        <v>17</v>
      </c>
      <c r="U35" s="714">
        <f t="shared" si="11"/>
        <v>100</v>
      </c>
      <c r="V35" s="713" t="s">
        <v>17</v>
      </c>
      <c r="W35" s="714">
        <f t="shared" si="12"/>
        <v>100</v>
      </c>
      <c r="X35" s="1537"/>
      <c r="Y35" s="3322"/>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53" t="s">
        <v>2386</v>
      </c>
      <c r="Q36" s="1534">
        <f t="shared" si="8"/>
        <v>111</v>
      </c>
      <c r="R36" s="713" t="s">
        <v>17</v>
      </c>
      <c r="S36" s="714">
        <f t="shared" si="10"/>
        <v>100</v>
      </c>
      <c r="T36" s="713" t="s">
        <v>17</v>
      </c>
      <c r="U36" s="714">
        <f t="shared" si="11"/>
        <v>100</v>
      </c>
      <c r="V36" s="713" t="s">
        <v>17</v>
      </c>
      <c r="W36" s="714">
        <f t="shared" si="12"/>
        <v>100</v>
      </c>
      <c r="X36" s="1537"/>
      <c r="Y36" s="3326" t="s">
        <v>2386</v>
      </c>
      <c r="Z36" s="1538">
        <f t="shared" si="13"/>
        <v>111</v>
      </c>
      <c r="AA36" s="1535">
        <f t="shared" si="3"/>
        <v>1</v>
      </c>
      <c r="AB36" s="1535">
        <f t="shared" si="4"/>
        <v>1</v>
      </c>
      <c r="AC36" s="1535">
        <f t="shared" si="5"/>
        <v>1</v>
      </c>
    </row>
    <row r="37" spans="1:29" s="430" customFormat="1" ht="15.6"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26"/>
      <c r="Q37" s="1534">
        <f t="shared" si="8"/>
        <v>111</v>
      </c>
      <c r="R37" s="716" t="s">
        <v>17</v>
      </c>
      <c r="S37" s="717">
        <f t="shared" si="10"/>
        <v>100</v>
      </c>
      <c r="T37" s="716" t="s">
        <v>17</v>
      </c>
      <c r="U37" s="717">
        <f t="shared" si="11"/>
        <v>100</v>
      </c>
      <c r="V37" s="716" t="s">
        <v>17</v>
      </c>
      <c r="W37" s="717">
        <f t="shared" si="12"/>
        <v>100</v>
      </c>
      <c r="X37" s="718"/>
      <c r="Y37" s="3326"/>
      <c r="Z37" s="719">
        <f t="shared" si="13"/>
        <v>111</v>
      </c>
      <c r="AA37" s="1535">
        <f t="shared" si="3"/>
        <v>1</v>
      </c>
      <c r="AB37" s="1535">
        <f t="shared" si="4"/>
        <v>1</v>
      </c>
      <c r="AC37" s="1535">
        <f t="shared" si="5"/>
        <v>1</v>
      </c>
    </row>
    <row r="38" spans="1:29" ht="15.6">
      <c r="A38" s="431" t="s">
        <v>2384</v>
      </c>
      <c r="B38" s="415" t="s">
        <v>2572</v>
      </c>
      <c r="C38" s="635">
        <f>Sheet1!G6</f>
        <v>13473.9</v>
      </c>
      <c r="D38" s="426">
        <v>100</v>
      </c>
      <c r="E38" s="635">
        <f>土地案例!E4</f>
        <v>7524.48</v>
      </c>
      <c r="F38" s="426">
        <f>LOOKUP(E38,117:117,118:118)-LOOKUP(C38,117:117,118:118)+100</f>
        <v>99</v>
      </c>
      <c r="G38" s="635">
        <f>土地案例!E7</f>
        <v>20637.11</v>
      </c>
      <c r="H38" s="426">
        <f>LOOKUP(G38,117:117,118:118)-LOOKUP(C38,117:117,118:118)+100</f>
        <v>102</v>
      </c>
      <c r="I38" s="487">
        <f>土地案例!E8</f>
        <v>6591.19</v>
      </c>
      <c r="J38" s="426">
        <f>LOOKUP(I38,117:117,118:118)-LOOKUP(C38,117:117,118:118)+100</f>
        <v>99</v>
      </c>
      <c r="K38" s="570"/>
      <c r="L38" s="2949"/>
      <c r="M38" s="2943"/>
      <c r="N38" s="2943"/>
      <c r="O38" s="3001"/>
      <c r="P38" s="3326"/>
      <c r="Q38" s="1534" t="str">
        <f>B38</f>
        <v>宗地面积</v>
      </c>
      <c r="R38" s="713" t="s">
        <v>17</v>
      </c>
      <c r="S38" s="714">
        <f t="shared" si="10"/>
        <v>99</v>
      </c>
      <c r="T38" s="713" t="s">
        <v>17</v>
      </c>
      <c r="U38" s="714">
        <f t="shared" si="11"/>
        <v>102</v>
      </c>
      <c r="V38" s="713" t="s">
        <v>17</v>
      </c>
      <c r="W38" s="714">
        <f t="shared" si="12"/>
        <v>99</v>
      </c>
      <c r="X38" s="1537"/>
      <c r="Y38" s="3326"/>
      <c r="Z38" s="1538" t="str">
        <f t="shared" si="13"/>
        <v>宗地面积</v>
      </c>
      <c r="AA38" s="1535">
        <f t="shared" si="3"/>
        <v>1.0101010101010102</v>
      </c>
      <c r="AB38" s="1535">
        <f t="shared" si="4"/>
        <v>0.98039215686274506</v>
      </c>
      <c r="AC38" s="1535">
        <f t="shared" si="5"/>
        <v>1.0101010101010102</v>
      </c>
    </row>
    <row r="39" spans="1:29" ht="15">
      <c r="A39" s="431"/>
      <c r="B39" s="381" t="s">
        <v>2573</v>
      </c>
      <c r="C39" s="2090" t="s">
        <v>3256</v>
      </c>
      <c r="D39" s="394">
        <v>100</v>
      </c>
      <c r="E39" s="2090" t="s">
        <v>3254</v>
      </c>
      <c r="F39" s="394">
        <f>SUMIF(119:119,E39,120:120)-SUMIF(119:119,C39,120:120)+100</f>
        <v>102</v>
      </c>
      <c r="G39" s="2090" t="s">
        <v>3254</v>
      </c>
      <c r="H39" s="394">
        <f>SUMIF(119:119,G39,120:120)-SUMIF(119:119,C39,120:120)+100</f>
        <v>102</v>
      </c>
      <c r="I39" s="2090" t="s">
        <v>3254</v>
      </c>
      <c r="J39" s="394">
        <f>SUMIF(119:119,I39,120:120)-SUMIF(119:119,C39,120:120)+100</f>
        <v>102</v>
      </c>
      <c r="K39" s="569">
        <v>2</v>
      </c>
      <c r="L39" s="2949"/>
      <c r="M39" s="2943"/>
      <c r="N39" s="2943"/>
      <c r="O39" s="3001"/>
      <c r="P39" s="3326"/>
      <c r="Q39" s="1534" t="str">
        <f t="shared" ref="Q39:Q45" si="14">B39</f>
        <v>宗地形状</v>
      </c>
      <c r="R39" s="713" t="s">
        <v>17</v>
      </c>
      <c r="S39" s="714">
        <f t="shared" si="10"/>
        <v>102</v>
      </c>
      <c r="T39" s="713" t="s">
        <v>17</v>
      </c>
      <c r="U39" s="714">
        <f t="shared" si="11"/>
        <v>102</v>
      </c>
      <c r="V39" s="713" t="s">
        <v>17</v>
      </c>
      <c r="W39" s="714">
        <f t="shared" si="12"/>
        <v>102</v>
      </c>
      <c r="X39" s="1537"/>
      <c r="Y39" s="3326"/>
      <c r="Z39" s="1538" t="str">
        <f t="shared" si="13"/>
        <v>宗地形状</v>
      </c>
      <c r="AA39" s="1535">
        <f t="shared" si="3"/>
        <v>0.98039215686274506</v>
      </c>
      <c r="AB39" s="1535">
        <f t="shared" si="4"/>
        <v>0.98039215686274506</v>
      </c>
      <c r="AC39" s="1535">
        <f t="shared" si="5"/>
        <v>0.98039215686274506</v>
      </c>
    </row>
    <row r="40" spans="1:29" ht="15">
      <c r="A40" s="431"/>
      <c r="B40" s="381" t="s">
        <v>2574</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26"/>
      <c r="Q40" s="1534" t="str">
        <f t="shared" si="14"/>
        <v>临街宽度及深度</v>
      </c>
      <c r="R40" s="713" t="s">
        <v>17</v>
      </c>
      <c r="S40" s="714">
        <f t="shared" si="10"/>
        <v>100</v>
      </c>
      <c r="T40" s="713" t="s">
        <v>17</v>
      </c>
      <c r="U40" s="714">
        <f t="shared" si="11"/>
        <v>100</v>
      </c>
      <c r="V40" s="713" t="s">
        <v>17</v>
      </c>
      <c r="W40" s="714">
        <f t="shared" si="12"/>
        <v>100</v>
      </c>
      <c r="X40" s="1537"/>
      <c r="Y40" s="3326"/>
      <c r="Z40" s="1538" t="str">
        <f t="shared" si="13"/>
        <v>临街宽度及深度</v>
      </c>
      <c r="AA40" s="1535">
        <f t="shared" si="3"/>
        <v>1</v>
      </c>
      <c r="AB40" s="1535">
        <f t="shared" si="4"/>
        <v>1</v>
      </c>
      <c r="AC40" s="1535">
        <f t="shared" si="5"/>
        <v>1</v>
      </c>
    </row>
    <row r="41" spans="1:29" s="113" customFormat="1" ht="15">
      <c r="A41" s="432"/>
      <c r="B41" s="381" t="s">
        <v>2575</v>
      </c>
      <c r="C41" s="2164" t="s">
        <v>3245</v>
      </c>
      <c r="D41" s="132">
        <v>100</v>
      </c>
      <c r="E41" s="2164" t="s">
        <v>3251</v>
      </c>
      <c r="F41" s="394">
        <f>SUMIF(123:123,E41,124:124)-SUMIF(123:123,C41,124:124)+100</f>
        <v>96</v>
      </c>
      <c r="G41" s="2164" t="s">
        <v>3251</v>
      </c>
      <c r="H41" s="394">
        <f>SUMIF(123:123,G41,124:124)-SUMIF(123:123,C41,124:124)+100</f>
        <v>96</v>
      </c>
      <c r="I41" s="2164" t="s">
        <v>3251</v>
      </c>
      <c r="J41" s="394">
        <f>SUMIF(123:123,I41,124:124)-SUMIF(123:123,C41,124:124)+100</f>
        <v>96</v>
      </c>
      <c r="K41" s="569">
        <v>1</v>
      </c>
      <c r="L41" s="2944"/>
      <c r="M41" s="2945"/>
      <c r="N41" s="2945"/>
      <c r="O41" s="2999"/>
      <c r="P41" s="3326"/>
      <c r="Q41" s="1534" t="str">
        <f t="shared" si="14"/>
        <v>宗地开发程度</v>
      </c>
      <c r="R41" s="709" t="s">
        <v>17</v>
      </c>
      <c r="S41" s="710">
        <f t="shared" si="10"/>
        <v>96</v>
      </c>
      <c r="T41" s="709" t="s">
        <v>17</v>
      </c>
      <c r="U41" s="710">
        <f t="shared" si="11"/>
        <v>96</v>
      </c>
      <c r="V41" s="709" t="s">
        <v>17</v>
      </c>
      <c r="W41" s="710">
        <f t="shared" si="12"/>
        <v>96</v>
      </c>
      <c r="X41" s="711"/>
      <c r="Y41" s="3326"/>
      <c r="Z41" s="55" t="str">
        <f t="shared" si="13"/>
        <v>宗地开发程度</v>
      </c>
      <c r="AA41" s="712">
        <f t="shared" si="3"/>
        <v>1.0416666666666667</v>
      </c>
      <c r="AB41" s="712">
        <f t="shared" si="4"/>
        <v>1.0416666666666667</v>
      </c>
      <c r="AC41" s="712">
        <f t="shared" si="5"/>
        <v>1.0416666666666667</v>
      </c>
    </row>
    <row r="42" spans="1:29" ht="15">
      <c r="A42" s="431"/>
      <c r="B42" s="381" t="s">
        <v>2576</v>
      </c>
      <c r="C42" s="2090" t="s">
        <v>3083</v>
      </c>
      <c r="D42" s="394">
        <v>100</v>
      </c>
      <c r="E42" s="2090" t="s">
        <v>3083</v>
      </c>
      <c r="F42" s="394">
        <f>SUMIF(125:125,E42,126:126)-SUMIF(125:125,C42,126:126)+100</f>
        <v>100</v>
      </c>
      <c r="G42" s="2090" t="s">
        <v>3083</v>
      </c>
      <c r="H42" s="394">
        <f>SUMIF(125:125,G42,126:126)-SUMIF(125:125,C42,126:126)+100</f>
        <v>100</v>
      </c>
      <c r="I42" s="2090" t="s">
        <v>3083</v>
      </c>
      <c r="J42" s="394">
        <f>SUMIF(125:125,I42,126:126)-SUMIF(125:125,C42,126:126)+100</f>
        <v>100</v>
      </c>
      <c r="K42" s="569">
        <v>2</v>
      </c>
      <c r="L42" s="2949"/>
      <c r="M42" s="2943"/>
      <c r="N42" s="2943"/>
      <c r="O42" s="3001"/>
      <c r="P42" s="3326" t="s">
        <v>2386</v>
      </c>
      <c r="Q42" s="1534" t="str">
        <f t="shared" si="14"/>
        <v>工程地质条件</v>
      </c>
      <c r="R42" s="713" t="s">
        <v>17</v>
      </c>
      <c r="S42" s="714">
        <f t="shared" si="10"/>
        <v>100</v>
      </c>
      <c r="T42" s="713" t="s">
        <v>17</v>
      </c>
      <c r="U42" s="714">
        <f t="shared" si="11"/>
        <v>100</v>
      </c>
      <c r="V42" s="713" t="s">
        <v>17</v>
      </c>
      <c r="W42" s="714">
        <f t="shared" si="12"/>
        <v>100</v>
      </c>
      <c r="X42" s="1537"/>
      <c r="Y42" s="3326"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26"/>
      <c r="Q43" s="1534">
        <f t="shared" si="14"/>
        <v>111</v>
      </c>
      <c r="R43" s="713" t="s">
        <v>17</v>
      </c>
      <c r="S43" s="714">
        <f t="shared" si="10"/>
        <v>100</v>
      </c>
      <c r="T43" s="713" t="s">
        <v>17</v>
      </c>
      <c r="U43" s="714">
        <f t="shared" si="11"/>
        <v>100</v>
      </c>
      <c r="V43" s="713" t="s">
        <v>17</v>
      </c>
      <c r="W43" s="714">
        <f t="shared" si="12"/>
        <v>100</v>
      </c>
      <c r="X43" s="1537"/>
      <c r="Y43" s="3326"/>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26"/>
      <c r="Q44" s="1534">
        <f t="shared" si="14"/>
        <v>111</v>
      </c>
      <c r="R44" s="713" t="s">
        <v>17</v>
      </c>
      <c r="S44" s="714">
        <f t="shared" si="10"/>
        <v>100</v>
      </c>
      <c r="T44" s="713" t="s">
        <v>17</v>
      </c>
      <c r="U44" s="714">
        <f t="shared" si="11"/>
        <v>100</v>
      </c>
      <c r="V44" s="713" t="s">
        <v>17</v>
      </c>
      <c r="W44" s="714">
        <f t="shared" si="12"/>
        <v>100</v>
      </c>
      <c r="X44" s="1537"/>
      <c r="Y44" s="3326"/>
      <c r="Z44" s="1538">
        <f t="shared" si="13"/>
        <v>111</v>
      </c>
      <c r="AA44" s="1535">
        <f t="shared" si="3"/>
        <v>1</v>
      </c>
      <c r="AB44" s="1535">
        <f t="shared" si="4"/>
        <v>1</v>
      </c>
      <c r="AC44" s="1535">
        <f t="shared" si="5"/>
        <v>1</v>
      </c>
    </row>
    <row r="45" spans="1:29" s="430" customFormat="1" ht="15.6"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26"/>
      <c r="Q45" s="1534">
        <f t="shared" si="14"/>
        <v>111</v>
      </c>
      <c r="R45" s="716" t="s">
        <v>17</v>
      </c>
      <c r="S45" s="717">
        <f t="shared" si="10"/>
        <v>100</v>
      </c>
      <c r="T45" s="716" t="s">
        <v>17</v>
      </c>
      <c r="U45" s="717">
        <f t="shared" si="11"/>
        <v>100</v>
      </c>
      <c r="V45" s="716" t="s">
        <v>17</v>
      </c>
      <c r="W45" s="717">
        <f t="shared" si="12"/>
        <v>100</v>
      </c>
      <c r="X45" s="718"/>
      <c r="Y45" s="3326"/>
      <c r="Z45" s="719">
        <f t="shared" si="13"/>
        <v>111</v>
      </c>
      <c r="AA45" s="1535">
        <f t="shared" si="3"/>
        <v>1</v>
      </c>
      <c r="AB45" s="1535">
        <f t="shared" si="4"/>
        <v>1</v>
      </c>
      <c r="AC45" s="1535">
        <f t="shared" si="5"/>
        <v>1</v>
      </c>
    </row>
    <row r="46" spans="1:29" ht="14.4">
      <c r="A46" s="438" t="s">
        <v>2541</v>
      </c>
      <c r="B46" s="2166" t="s">
        <v>2577</v>
      </c>
      <c r="C46" s="638" t="s">
        <v>1</v>
      </c>
      <c r="D46" s="440"/>
      <c r="E46" s="441">
        <f>土地案例!S4</f>
        <v>5055</v>
      </c>
      <c r="F46" s="442"/>
      <c r="G46" s="443">
        <f>土地案例!S7</f>
        <v>2147</v>
      </c>
      <c r="H46" s="444"/>
      <c r="I46" s="441">
        <f>土地案例!S8</f>
        <v>4610</v>
      </c>
      <c r="J46" s="444"/>
      <c r="K46" s="722"/>
      <c r="L46" s="2951"/>
      <c r="M46" s="2952"/>
      <c r="N46" s="2943"/>
      <c r="O46" s="2952"/>
      <c r="P46" s="3328" t="str">
        <f>A46</f>
        <v>成交单价</v>
      </c>
      <c r="Q46" s="3328"/>
      <c r="R46" s="3316">
        <f>E46</f>
        <v>5055</v>
      </c>
      <c r="S46" s="3316"/>
      <c r="T46" s="3316">
        <f>G46</f>
        <v>2147</v>
      </c>
      <c r="U46" s="3316"/>
      <c r="V46" s="3316">
        <f>I46</f>
        <v>4610</v>
      </c>
      <c r="W46" s="3316"/>
      <c r="X46" s="698"/>
      <c r="Y46" s="720"/>
      <c r="Z46" s="698"/>
      <c r="AA46" s="698"/>
      <c r="AB46" s="698"/>
      <c r="AC46" s="698"/>
    </row>
    <row r="47" spans="1:29" ht="15" thickBot="1">
      <c r="A47" s="445" t="s">
        <v>2490</v>
      </c>
      <c r="B47" s="639"/>
      <c r="C47" s="448">
        <f>R48</f>
        <v>2057</v>
      </c>
      <c r="D47" s="2536" t="s">
        <v>3259</v>
      </c>
      <c r="E47" s="448">
        <f>R47</f>
        <v>2380</v>
      </c>
      <c r="F47" s="2537">
        <v>0.4</v>
      </c>
      <c r="G47" s="447">
        <f>T47</f>
        <v>1182</v>
      </c>
      <c r="H47" s="2537">
        <v>0.2</v>
      </c>
      <c r="I47" s="448">
        <f>V47</f>
        <v>2172</v>
      </c>
      <c r="J47" s="2537">
        <v>0.4</v>
      </c>
      <c r="K47" s="2539">
        <f>F47+H47+J47</f>
        <v>1</v>
      </c>
      <c r="L47" s="2951"/>
      <c r="M47" s="2952"/>
      <c r="N47" s="2952"/>
      <c r="O47" s="2952"/>
      <c r="P47" s="3328" t="str">
        <f>A47</f>
        <v>比较价值（元/平方米）</v>
      </c>
      <c r="Q47" s="3328"/>
      <c r="R47" s="3354">
        <f>ROUND(PRODUCT(R46,AA7:AA45),0)</f>
        <v>2380</v>
      </c>
      <c r="S47" s="3354"/>
      <c r="T47" s="3354">
        <f>ROUND(PRODUCT(T46,AB7:AB45),0)</f>
        <v>1182</v>
      </c>
      <c r="U47" s="3354"/>
      <c r="V47" s="3354">
        <f>ROUND(PRODUCT(V46,AC7:AC45),0)</f>
        <v>2172</v>
      </c>
      <c r="W47" s="3354"/>
      <c r="X47" s="698"/>
      <c r="Y47" s="698"/>
      <c r="Z47" s="698"/>
      <c r="AA47" s="698"/>
      <c r="AB47" s="698"/>
      <c r="AC47" s="698"/>
    </row>
    <row r="48" spans="1:29" ht="15" thickBot="1">
      <c r="A48" s="449" t="s">
        <v>2578</v>
      </c>
      <c r="B48" s="450"/>
      <c r="C48" s="451">
        <f>R48</f>
        <v>2057</v>
      </c>
      <c r="D48" s="451"/>
      <c r="E48" s="451"/>
      <c r="F48" s="451"/>
      <c r="G48" s="451"/>
      <c r="H48" s="451"/>
      <c r="I48" s="451"/>
      <c r="J48" s="451"/>
      <c r="K48" s="723"/>
      <c r="L48" s="2951"/>
      <c r="M48" s="2952"/>
      <c r="N48" s="2952"/>
      <c r="O48" s="2952"/>
      <c r="P48" s="3341" t="str">
        <f>A48</f>
        <v>估价对象XX用房的比较价值（楼面单价，元/平方米）</v>
      </c>
      <c r="Q48" s="3342"/>
      <c r="R48" s="3355">
        <f>ROUND(IF(D47="简单平均",AVERAGE(R47:W47),R47*F47+T47*H47+V47*J47),0)</f>
        <v>2057</v>
      </c>
      <c r="S48" s="3355"/>
      <c r="T48" s="3355"/>
      <c r="U48" s="3355"/>
      <c r="V48" s="3355"/>
      <c r="W48" s="3355"/>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f>IF(E46&lt;E47,E47/E46-1,E46/E47-1)</f>
        <v>1.1239495798319328</v>
      </c>
      <c r="F51" s="457" t="str">
        <f>IF(OR(E51&gt;=0.3,E51&lt;=-0.3),"超过30%","")</f>
        <v>超过30%</v>
      </c>
      <c r="G51" s="456">
        <f>IF(G46&lt;G47,G47/G46-1,G46/G47-1)</f>
        <v>0.81641285956006771</v>
      </c>
      <c r="H51" s="457" t="str">
        <f>IF(OR(G51&gt;=0.3,G51&lt;=-0.3),"超过30%","")</f>
        <v>超过30%</v>
      </c>
      <c r="I51" s="456">
        <f>IF(I46&lt;I47,I47/I46-1,I46/I47-1)</f>
        <v>1.1224677716390423</v>
      </c>
      <c r="J51" s="457" t="str">
        <f>IF(OR(I51&gt;=0.3,I51&lt;=-0.3),"超过30%","")</f>
        <v>超过30%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f>IF(E47&lt;G47,G47/E47-1,E47/G47-1)</f>
        <v>1.0135363790186127</v>
      </c>
      <c r="F52" s="457" t="str">
        <f>IF(OR(E52&gt;=0.2,E52&lt;=-0.2),"超过20%","")</f>
        <v>超过20%</v>
      </c>
      <c r="G52" s="456">
        <f>IF(G47&lt;I47,I47/G47-1,G47/I47-1)</f>
        <v>0.8375634517766497</v>
      </c>
      <c r="H52" s="457" t="str">
        <f>IF(OR(G52&gt;=0.2,G52&lt;=-0.2),"超过20%","")</f>
        <v>超过20%</v>
      </c>
      <c r="I52" s="456">
        <f>IF(I47&lt;E47,E47/I47-1,I47/E47-1)</f>
        <v>9.5764272559852648E-2</v>
      </c>
      <c r="J52" s="457"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f>IF(E46&lt;G46,G46/E46-1,E46/G46-1)</f>
        <v>1.3544480670703307</v>
      </c>
      <c r="F53" s="457" t="str">
        <f>IF(OR(E53&gt;=0.3,E53&lt;=-0.3),"超过30%","")</f>
        <v>超过30%</v>
      </c>
      <c r="G53" s="456">
        <f>IF(G46&lt;I46,I46/G46-1,G46/I46-1)</f>
        <v>1.1471821145784817</v>
      </c>
      <c r="H53" s="457" t="str">
        <f>IF(OR(G53&gt;=0.3,G53&lt;=-0.3),"超过30%","")</f>
        <v>超过30%</v>
      </c>
      <c r="I53" s="456">
        <f>IF(I46&lt;E46,E46/I46-1,I46/E46-1)</f>
        <v>9.6529284164859064E-2</v>
      </c>
      <c r="J53" s="457"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4.4"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7" t="s">
        <v>2581</v>
      </c>
      <c r="D55" s="2168" t="s">
        <v>2582</v>
      </c>
      <c r="E55" s="642" t="s">
        <v>2583</v>
      </c>
      <c r="F55" s="1020" t="s">
        <v>2584</v>
      </c>
      <c r="G55" s="3303" t="s">
        <v>2585</v>
      </c>
      <c r="H55" s="3356"/>
      <c r="I55" s="140"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f>C48</f>
        <v>2057</v>
      </c>
      <c r="C56" s="646">
        <v>1</v>
      </c>
      <c r="D56" s="1074">
        <v>1</v>
      </c>
      <c r="E56" s="646">
        <f>'数据-汇总表'!E8+'数据-汇总表'!E9</f>
        <v>43436.4</v>
      </c>
      <c r="F56" s="1016">
        <f t="shared" ref="F56:F65" si="15">ROUND(B56*E56/10000,0)</f>
        <v>8935</v>
      </c>
      <c r="G56" s="3299"/>
      <c r="H56" s="3328"/>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f>ROUND($C$48*C57*D57,0)</f>
        <v>0</v>
      </c>
      <c r="C57" s="176">
        <f t="shared" ref="C57:C65" si="16">IF($C$55="北京市系数",I57,J57)</f>
        <v>0</v>
      </c>
      <c r="D57" s="1075">
        <v>0.25</v>
      </c>
      <c r="E57" s="650"/>
      <c r="F57" s="1016">
        <f t="shared" si="15"/>
        <v>0</v>
      </c>
      <c r="G57" s="3357"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f t="shared" ref="B58:B65" si="17">ROUND($C$48*C58*D58,0)</f>
        <v>0</v>
      </c>
      <c r="C58" s="176">
        <f t="shared" si="16"/>
        <v>0</v>
      </c>
      <c r="D58" s="1075">
        <v>0.25</v>
      </c>
      <c r="E58" s="650"/>
      <c r="F58" s="1016">
        <f t="shared" si="15"/>
        <v>0</v>
      </c>
      <c r="G58" s="3357"/>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f t="shared" si="17"/>
        <v>0</v>
      </c>
      <c r="C59" s="176">
        <f t="shared" si="16"/>
        <v>0</v>
      </c>
      <c r="D59" s="1075">
        <v>0.25</v>
      </c>
      <c r="E59" s="650"/>
      <c r="F59" s="1016">
        <f t="shared" si="15"/>
        <v>0</v>
      </c>
      <c r="G59" s="3357"/>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f t="shared" si="17"/>
        <v>0</v>
      </c>
      <c r="C60" s="176">
        <f t="shared" si="16"/>
        <v>0</v>
      </c>
      <c r="D60" s="1075">
        <v>0.25</v>
      </c>
      <c r="E60" s="650"/>
      <c r="F60" s="1016">
        <f t="shared" si="15"/>
        <v>0</v>
      </c>
      <c r="G60" s="3357"/>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f t="shared" si="17"/>
        <v>0</v>
      </c>
      <c r="C61" s="176">
        <f t="shared" si="16"/>
        <v>0</v>
      </c>
      <c r="D61" s="1075">
        <v>0.25</v>
      </c>
      <c r="E61" s="223">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f t="shared" si="17"/>
        <v>0</v>
      </c>
      <c r="C62" s="176">
        <f t="shared" si="16"/>
        <v>0</v>
      </c>
      <c r="D62" s="1075">
        <v>0.25</v>
      </c>
      <c r="E62" s="223">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f t="shared" si="17"/>
        <v>0</v>
      </c>
      <c r="C63" s="176">
        <f t="shared" si="16"/>
        <v>0</v>
      </c>
      <c r="D63" s="1075">
        <v>0.25</v>
      </c>
      <c r="E63" s="223">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f t="shared" si="17"/>
        <v>0</v>
      </c>
      <c r="C64" s="176">
        <f t="shared" si="16"/>
        <v>0</v>
      </c>
      <c r="D64" s="1075">
        <v>0.25</v>
      </c>
      <c r="E64" s="223">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4.4" thickBot="1">
      <c r="A65" s="649" t="s">
        <v>2601</v>
      </c>
      <c r="B65" s="224">
        <f t="shared" si="17"/>
        <v>0</v>
      </c>
      <c r="C65" s="176">
        <f t="shared" si="16"/>
        <v>0</v>
      </c>
      <c r="D65" s="1075">
        <v>0.25</v>
      </c>
      <c r="E65" s="223">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thickBot="1">
      <c r="A66" s="651" t="s">
        <v>2602</v>
      </c>
      <c r="B66" s="652" t="s">
        <v>28</v>
      </c>
      <c r="C66" s="652" t="s">
        <v>29</v>
      </c>
      <c r="D66" s="652" t="s">
        <v>997</v>
      </c>
      <c r="E66" s="652">
        <f>IF(B46="楼面地价",SUM(E56:E65),'数据-汇总表'!D3)</f>
        <v>43436.4</v>
      </c>
      <c r="F66" s="653">
        <f>IF(B46="楼面地价",SUM(F56:F65),ROUND(C48*E66/10000,0))</f>
        <v>8935</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52"/>
      <c r="Q68" s="2952"/>
      <c r="R68" s="2952"/>
      <c r="S68" s="2952"/>
      <c r="T68" s="2952"/>
      <c r="U68" s="2952"/>
      <c r="V68" s="2952"/>
      <c r="W68" s="2952"/>
      <c r="X68" s="2952"/>
      <c r="Y68" s="2952"/>
      <c r="Z68" s="2952"/>
      <c r="AA68" s="2952"/>
      <c r="AB68" s="2952"/>
      <c r="AC68" s="2952"/>
    </row>
    <row r="69" spans="1:29" ht="22.2"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4.4">
      <c r="A70" s="2173" t="s">
        <v>2603</v>
      </c>
      <c r="B70" s="1268"/>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4" t="str">
        <f>"北京市平均增长率"&amp;TEXT(SUMIF(基准地价修正!N21:N25,A71,基准地价修正!P21:P25),"0.00%")</f>
        <v>北京市平均增长率1.83%</v>
      </c>
      <c r="C71" s="560">
        <v>100</v>
      </c>
      <c r="D71" s="552">
        <f>C71-$C$72</f>
        <v>99.8</v>
      </c>
      <c r="E71" s="552">
        <f t="shared" ref="E71:O71" si="20">D71-$C$72</f>
        <v>99.6</v>
      </c>
      <c r="F71" s="552">
        <f t="shared" si="20"/>
        <v>99.399999999999991</v>
      </c>
      <c r="G71" s="552">
        <f t="shared" si="20"/>
        <v>99.199999999999989</v>
      </c>
      <c r="H71" s="552">
        <f t="shared" si="20"/>
        <v>98.999999999999986</v>
      </c>
      <c r="I71" s="552">
        <f t="shared" si="20"/>
        <v>98.799999999999983</v>
      </c>
      <c r="J71" s="552">
        <f t="shared" si="20"/>
        <v>98.59999999999998</v>
      </c>
      <c r="K71" s="552">
        <f t="shared" si="20"/>
        <v>98.399999999999977</v>
      </c>
      <c r="L71" s="552">
        <f t="shared" si="20"/>
        <v>98.199999999999974</v>
      </c>
      <c r="M71" s="552">
        <f t="shared" si="20"/>
        <v>97.999999999999972</v>
      </c>
      <c r="N71" s="552">
        <f t="shared" si="20"/>
        <v>97.799999999999969</v>
      </c>
      <c r="O71" s="552">
        <f t="shared" si="20"/>
        <v>97.599999999999966</v>
      </c>
      <c r="P71" s="2966"/>
      <c r="Q71" s="2886"/>
      <c r="R71" s="2886"/>
      <c r="S71" s="2886"/>
      <c r="T71" s="2886"/>
      <c r="U71" s="2886"/>
      <c r="V71" s="2886"/>
      <c r="W71" s="2886"/>
      <c r="X71" s="2886"/>
      <c r="Y71" s="2886"/>
      <c r="Z71" s="2886"/>
      <c r="AA71" s="2886"/>
      <c r="AB71" s="2886"/>
      <c r="AC71" s="2886"/>
    </row>
    <row r="72" spans="1:29" s="113" customFormat="1" ht="15" thickBot="1">
      <c r="A72" s="472" t="s">
        <v>2406</v>
      </c>
      <c r="B72" s="473"/>
      <c r="C72" s="474">
        <v>0.2</v>
      </c>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4.4">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4.4"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ht="14.4">
      <c r="A75" s="484" t="s">
        <v>2409</v>
      </c>
      <c r="B75" s="485" t="s">
        <v>2375</v>
      </c>
      <c r="C75" s="3062" t="s">
        <v>3243</v>
      </c>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4.4" thickBot="1">
      <c r="A76" s="491"/>
      <c r="B76" s="492"/>
      <c r="C76" s="493">
        <v>100</v>
      </c>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9.4"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4.4"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 thickTop="1">
      <c r="A79" s="491"/>
      <c r="B79" s="503" t="s">
        <v>2379</v>
      </c>
      <c r="C79" s="504" t="str">
        <f>C80&amp;"（含）"&amp;"-"&amp;D80</f>
        <v>0（含）-2</v>
      </c>
      <c r="D79" s="504" t="str">
        <f t="shared" ref="D79:L79" si="21">D80&amp;"（含）"&amp;"-"&amp;E80</f>
        <v>2（含）-4</v>
      </c>
      <c r="E79" s="504" t="str">
        <f t="shared" si="21"/>
        <v>4（含）-6</v>
      </c>
      <c r="F79" s="504" t="str">
        <f t="shared" si="21"/>
        <v>6（含）-8</v>
      </c>
      <c r="G79" s="504" t="str">
        <f t="shared" si="21"/>
        <v>8（含）-</v>
      </c>
      <c r="H79" s="504" t="str">
        <f t="shared" si="21"/>
        <v>（含）-</v>
      </c>
      <c r="I79" s="504" t="str">
        <f t="shared" si="21"/>
        <v>（含）-</v>
      </c>
      <c r="J79" s="504" t="str">
        <f t="shared" si="21"/>
        <v>（含）-</v>
      </c>
      <c r="K79" s="504" t="str">
        <f t="shared" si="21"/>
        <v>（含）-</v>
      </c>
      <c r="L79" s="504" t="str">
        <f t="shared" si="21"/>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c r="A80" s="491"/>
      <c r="B80" s="505"/>
      <c r="C80" s="506">
        <v>0</v>
      </c>
      <c r="D80" s="506">
        <v>2</v>
      </c>
      <c r="E80" s="506">
        <v>4</v>
      </c>
      <c r="F80" s="506">
        <v>6</v>
      </c>
      <c r="G80" s="506">
        <v>8</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4.4"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1"/>
      <c r="O81" s="2981"/>
      <c r="P81" s="3005"/>
      <c r="Q81" s="2966"/>
      <c r="R81" s="2952"/>
      <c r="S81" s="2952"/>
      <c r="T81" s="2952"/>
      <c r="U81" s="2952"/>
      <c r="V81" s="2952"/>
      <c r="W81" s="2952"/>
      <c r="X81" s="2952"/>
      <c r="Y81" s="2952"/>
      <c r="Z81" s="2952"/>
      <c r="AA81" s="2952"/>
      <c r="AB81" s="2952"/>
      <c r="AC81" s="2952"/>
    </row>
    <row r="82" spans="1:29" s="430" customFormat="1" ht="14.4"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4.4"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4.4"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4.4"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4.4"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4.4"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ht="14.4">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4.4" thickBot="1">
      <c r="A91" s="491"/>
      <c r="B91" s="500"/>
      <c r="C91" s="501">
        <v>100</v>
      </c>
      <c r="D91" s="501">
        <f>C91-$K17</f>
        <v>95</v>
      </c>
      <c r="E91" s="501">
        <f>D91-$K17</f>
        <v>90</v>
      </c>
      <c r="F91" s="501">
        <f>E91-$K17</f>
        <v>85</v>
      </c>
      <c r="G91" s="501">
        <f>F91-$K17</f>
        <v>80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4.4" thickBot="1">
      <c r="A95" s="491"/>
      <c r="B95" s="500"/>
      <c r="C95" s="501">
        <v>100</v>
      </c>
      <c r="D95" s="501">
        <f>C95-$K21</f>
        <v>97</v>
      </c>
      <c r="E95" s="501">
        <f>D95-$K21</f>
        <v>94</v>
      </c>
      <c r="F95" s="501">
        <f>E95-$K21</f>
        <v>91</v>
      </c>
      <c r="G95" s="501">
        <f>F95-$K21</f>
        <v>88</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29.4"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4.4"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9.4"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4.4" thickBot="1">
      <c r="A99" s="536"/>
      <c r="B99" s="500"/>
      <c r="C99" s="501">
        <v>100</v>
      </c>
      <c r="D99" s="501">
        <f>C99-$K25</f>
        <v>97</v>
      </c>
      <c r="E99" s="501">
        <f>D99-$K25</f>
        <v>94</v>
      </c>
      <c r="F99" s="501">
        <f>E99-$K25</f>
        <v>91</v>
      </c>
      <c r="G99" s="501">
        <f>F99-$K25</f>
        <v>88</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4.4" thickBot="1">
      <c r="A101" s="510"/>
      <c r="B101" s="500"/>
      <c r="C101" s="501">
        <v>100</v>
      </c>
      <c r="D101" s="501">
        <f>C101-$K27</f>
        <v>97</v>
      </c>
      <c r="E101" s="501">
        <f>D101-$K27</f>
        <v>94</v>
      </c>
      <c r="F101" s="501">
        <f>E101-$K27</f>
        <v>91</v>
      </c>
      <c r="G101" s="501">
        <f>F101-$K27</f>
        <v>88</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 thickTop="1">
      <c r="A102" s="510"/>
      <c r="B102" s="503" t="s">
        <v>2476</v>
      </c>
      <c r="C102" s="616" t="s">
        <v>2496</v>
      </c>
      <c r="D102" s="616" t="s">
        <v>2497</v>
      </c>
      <c r="E102" s="616" t="s">
        <v>2498</v>
      </c>
      <c r="F102" s="616" t="s">
        <v>2499</v>
      </c>
      <c r="G102" s="616" t="s">
        <v>2500</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4.4" thickBot="1">
      <c r="A103" s="510"/>
      <c r="B103" s="503"/>
      <c r="C103" s="501">
        <v>100</v>
      </c>
      <c r="D103" s="501">
        <f>C103-$K29</f>
        <v>99</v>
      </c>
      <c r="E103" s="501">
        <f>D103-$K29</f>
        <v>98</v>
      </c>
      <c r="F103" s="501">
        <f>E103-$K29</f>
        <v>97</v>
      </c>
      <c r="G103" s="501">
        <f>F103-$K29</f>
        <v>96</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4.4"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1"/>
      <c r="O105" s="2981"/>
      <c r="P105" s="3005"/>
      <c r="Q105" s="2966"/>
      <c r="R105" s="2952"/>
      <c r="S105" s="2952"/>
      <c r="T105" s="2952"/>
      <c r="U105" s="2952"/>
      <c r="V105" s="2952"/>
      <c r="W105" s="2952"/>
      <c r="X105" s="2952"/>
      <c r="Y105" s="2952"/>
      <c r="Z105" s="2952"/>
      <c r="AA105" s="2952"/>
      <c r="AB105" s="2952"/>
      <c r="AC105" s="2952"/>
    </row>
    <row r="106" spans="1:29" ht="29.4"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1"/>
      <c r="O107" s="2981"/>
      <c r="P107" s="3005"/>
      <c r="Q107" s="2966"/>
      <c r="R107" s="2952"/>
      <c r="S107" s="2952"/>
      <c r="T107" s="2952"/>
      <c r="U107" s="2952"/>
      <c r="V107" s="2952"/>
      <c r="W107" s="2952"/>
      <c r="X107" s="2952"/>
      <c r="Y107" s="2952"/>
      <c r="Z107" s="2952"/>
      <c r="AA107" s="2952"/>
      <c r="AB107" s="2952"/>
      <c r="AC107" s="2952"/>
    </row>
    <row r="108" spans="1:29" ht="1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1"/>
      <c r="O109" s="2981"/>
      <c r="P109" s="3005"/>
      <c r="Q109" s="2966"/>
      <c r="R109" s="2952"/>
      <c r="S109" s="2952"/>
      <c r="T109" s="2952"/>
      <c r="U109" s="2952"/>
      <c r="V109" s="2952"/>
      <c r="W109" s="2952"/>
      <c r="X109" s="2952"/>
      <c r="Y109" s="2952"/>
      <c r="Z109" s="2952"/>
      <c r="AA109" s="2952"/>
      <c r="AB109" s="2952"/>
      <c r="AC109" s="2952"/>
    </row>
    <row r="110" spans="1:29" ht="14.4"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4.4"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4.4"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4.4"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4.4"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4.4"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7.6">
      <c r="A116" s="484" t="s">
        <v>2384</v>
      </c>
      <c r="B116" s="485" t="s">
        <v>2612</v>
      </c>
      <c r="C116" s="486" t="str">
        <f>C117&amp;"(含)"&amp;"-"&amp;D117</f>
        <v>0(含)-5000</v>
      </c>
      <c r="D116" s="486" t="str">
        <f t="shared" ref="D116:M116" si="26">D117&amp;"(含)"&amp;"-"&amp;E117</f>
        <v>5000(含)-10000</v>
      </c>
      <c r="E116" s="486" t="str">
        <f t="shared" si="26"/>
        <v>10000(含)-15000</v>
      </c>
      <c r="F116" s="486" t="str">
        <f t="shared" si="26"/>
        <v>15000(含)-20000</v>
      </c>
      <c r="G116" s="486" t="str">
        <f t="shared" si="26"/>
        <v>20000(含)-</v>
      </c>
      <c r="H116" s="486" t="str">
        <f t="shared" si="26"/>
        <v>(含)-</v>
      </c>
      <c r="I116" s="486" t="str">
        <f t="shared" si="26"/>
        <v>(含)-</v>
      </c>
      <c r="J116" s="486" t="str">
        <f t="shared" si="26"/>
        <v>(含)-</v>
      </c>
      <c r="K116" s="486" t="str">
        <f t="shared" si="26"/>
        <v>(含)-</v>
      </c>
      <c r="L116" s="486" t="str">
        <f t="shared" si="26"/>
        <v>(含)-</v>
      </c>
      <c r="M116" s="486" t="str">
        <f t="shared" si="26"/>
        <v>(含)-</v>
      </c>
      <c r="N116" s="2980"/>
      <c r="O116" s="2980"/>
      <c r="P116" s="3005"/>
      <c r="Q116" s="2966"/>
      <c r="R116" s="2952"/>
      <c r="S116" s="2952"/>
      <c r="T116" s="2952"/>
      <c r="U116" s="2952"/>
      <c r="V116" s="2952"/>
      <c r="W116" s="2952"/>
      <c r="X116" s="2952"/>
      <c r="Y116" s="2952"/>
      <c r="Z116" s="2952"/>
      <c r="AA116" s="2952"/>
      <c r="AB116" s="2952"/>
      <c r="AC116" s="2952"/>
    </row>
    <row r="117" spans="1:29">
      <c r="A117" s="491"/>
      <c r="B117" s="503"/>
      <c r="C117" s="552">
        <v>0</v>
      </c>
      <c r="D117" s="552">
        <v>5000</v>
      </c>
      <c r="E117" s="552">
        <v>10000</v>
      </c>
      <c r="F117" s="552">
        <v>15000</v>
      </c>
      <c r="G117" s="552">
        <v>20000</v>
      </c>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4.4" thickBot="1">
      <c r="A118" s="491"/>
      <c r="B118" s="500"/>
      <c r="C118" s="527">
        <v>100</v>
      </c>
      <c r="D118" s="548">
        <v>101</v>
      </c>
      <c r="E118" s="548">
        <v>102</v>
      </c>
      <c r="F118" s="548">
        <v>103</v>
      </c>
      <c r="G118" s="548">
        <v>104</v>
      </c>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3064" t="s">
        <v>3253</v>
      </c>
      <c r="D119" s="3064" t="s">
        <v>3255</v>
      </c>
      <c r="E119" s="3064" t="s">
        <v>3257</v>
      </c>
      <c r="F119" s="3064" t="s">
        <v>3258</v>
      </c>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4.4"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4.4"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3063" t="s">
        <v>3246</v>
      </c>
      <c r="D123" s="3063" t="s">
        <v>3247</v>
      </c>
      <c r="E123" s="3063" t="s">
        <v>3249</v>
      </c>
      <c r="F123" s="3063" t="s">
        <v>3250</v>
      </c>
      <c r="G123" s="3063" t="s">
        <v>3252</v>
      </c>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4.4"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3063" t="s">
        <v>3248</v>
      </c>
      <c r="D125" s="3063"/>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1"/>
      <c r="O126" s="2981"/>
      <c r="P126" s="3005"/>
      <c r="Q126" s="2966"/>
      <c r="R126" s="2952"/>
      <c r="S126" s="2952"/>
      <c r="T126" s="2952"/>
      <c r="U126" s="2952"/>
      <c r="V126" s="2952"/>
      <c r="W126" s="2952"/>
      <c r="X126" s="2952"/>
      <c r="Y126" s="2952"/>
      <c r="Z126" s="2952"/>
      <c r="AA126" s="2952"/>
      <c r="AB126" s="2952"/>
      <c r="AC126" s="2952"/>
    </row>
    <row r="127" spans="1:29" ht="14.4"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4.4"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4.4"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4.4"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4.4"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4.4"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5" priority="18" stopIfTrue="1" operator="containsText" text="超过">
      <formula>NOT(ISERROR(SEARCH("超过",F51)))</formula>
    </cfRule>
  </conditionalFormatting>
  <conditionalFormatting sqref="J53">
    <cfRule type="containsText" dxfId="124" priority="17" stopIfTrue="1" operator="containsText" text="超过">
      <formula>NOT(ISERROR(SEARCH("超过",J53)))</formula>
    </cfRule>
  </conditionalFormatting>
  <conditionalFormatting sqref="H53">
    <cfRule type="containsText" dxfId="123" priority="16" stopIfTrue="1" operator="containsText" text="超过">
      <formula>NOT(ISERROR(SEARCH("超过",H53)))</formula>
    </cfRule>
  </conditionalFormatting>
  <conditionalFormatting sqref="F53">
    <cfRule type="containsText" dxfId="122" priority="15" stopIfTrue="1" operator="containsText" text="超过">
      <formula>NOT(ISERROR(SEARCH("超过",F53)))</formula>
    </cfRule>
  </conditionalFormatting>
  <conditionalFormatting sqref="F52 H52 J52">
    <cfRule type="containsText" dxfId="121" priority="14" stopIfTrue="1" operator="containsText" text="超过">
      <formula>NOT(ISERROR(SEARCH("超过",F52)))</formula>
    </cfRule>
  </conditionalFormatting>
  <conditionalFormatting sqref="E51">
    <cfRule type="expression" dxfId="120" priority="13" stopIfTrue="1">
      <formula>$F$51="超过30%"</formula>
    </cfRule>
  </conditionalFormatting>
  <conditionalFormatting sqref="G53">
    <cfRule type="expression" dxfId="119" priority="12" stopIfTrue="1">
      <formula>$H$53="超过30%"</formula>
    </cfRule>
  </conditionalFormatting>
  <conditionalFormatting sqref="E52">
    <cfRule type="expression" dxfId="118" priority="11" stopIfTrue="1">
      <formula>$F$52="超过20%"</formula>
    </cfRule>
  </conditionalFormatting>
  <conditionalFormatting sqref="E53">
    <cfRule type="expression" dxfId="117" priority="10" stopIfTrue="1">
      <formula>$F$53="超过30%"</formula>
    </cfRule>
  </conditionalFormatting>
  <conditionalFormatting sqref="G51">
    <cfRule type="expression" dxfId="116" priority="9" stopIfTrue="1">
      <formula>$H$53+$H$51="超过30%"</formula>
    </cfRule>
  </conditionalFormatting>
  <conditionalFormatting sqref="G52">
    <cfRule type="expression" dxfId="115" priority="8" stopIfTrue="1">
      <formula>$H$52="超过20%"</formula>
    </cfRule>
  </conditionalFormatting>
  <conditionalFormatting sqref="I51">
    <cfRule type="expression" dxfId="114" priority="7" stopIfTrue="1">
      <formula>$J$51="超过30%"</formula>
    </cfRule>
  </conditionalFormatting>
  <conditionalFormatting sqref="I52">
    <cfRule type="expression" dxfId="113" priority="6" stopIfTrue="1">
      <formula>$J$52="超过20%"</formula>
    </cfRule>
  </conditionalFormatting>
  <conditionalFormatting sqref="I53">
    <cfRule type="expression" dxfId="112" priority="5" stopIfTrue="1">
      <formula>$J$53="超过30%"</formula>
    </cfRule>
  </conditionalFormatting>
  <conditionalFormatting sqref="F47">
    <cfRule type="expression" dxfId="111" priority="4">
      <formula>$D$47="简单平均"</formula>
    </cfRule>
  </conditionalFormatting>
  <conditionalFormatting sqref="H47">
    <cfRule type="expression" dxfId="110" priority="3">
      <formula>$D$47="简单平均"</formula>
    </cfRule>
  </conditionalFormatting>
  <conditionalFormatting sqref="J47">
    <cfRule type="expression" dxfId="109" priority="2">
      <formula>$D$47="简单平均"</formula>
    </cfRule>
  </conditionalFormatting>
  <conditionalFormatting sqref="F7:F45 H7:H45 J7:J45">
    <cfRule type="cellIs" dxfId="10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A16" workbookViewId="0">
      <selection activeCell="N37" sqref="N37"/>
    </sheetView>
  </sheetViews>
  <sheetFormatPr defaultColWidth="10" defaultRowHeight="15.6"/>
  <cols>
    <col min="1" max="1" width="22.21875" style="3075" customWidth="1"/>
    <col min="2" max="2" width="7.6640625" style="3075" customWidth="1"/>
    <col min="3" max="3" width="10.77734375" style="3075" customWidth="1"/>
    <col min="4" max="4" width="14.44140625" style="3075" customWidth="1"/>
    <col min="5" max="5" width="11.21875" style="3075" customWidth="1"/>
    <col min="6" max="6" width="11.109375" style="3075" customWidth="1"/>
    <col min="7" max="7" width="16.77734375" style="3075" customWidth="1"/>
    <col min="8" max="8" width="6.88671875" style="3075" customWidth="1"/>
    <col min="9" max="9" width="13.77734375" style="3075" customWidth="1"/>
    <col min="10" max="10" width="7.77734375" style="3075" customWidth="1"/>
    <col min="11" max="11" width="11.21875" style="3075" customWidth="1"/>
    <col min="12" max="12" width="12.21875" style="3075" customWidth="1"/>
    <col min="13" max="13" width="6.33203125" style="3075" customWidth="1"/>
    <col min="14" max="14" width="22.21875" style="3075" customWidth="1"/>
    <col min="15" max="15" width="9.33203125" style="3075" customWidth="1"/>
    <col min="16" max="16" width="8.33203125" style="3075" customWidth="1"/>
    <col min="17" max="17" width="7.88671875" style="3075" customWidth="1"/>
    <col min="18" max="18" width="8.44140625" style="3075" customWidth="1"/>
    <col min="19" max="21" width="22.21875" style="3075" customWidth="1"/>
    <col min="22" max="16384" width="10" style="3075"/>
  </cols>
  <sheetData>
    <row r="1" spans="1:20">
      <c r="A1" s="3075" t="s">
        <v>3151</v>
      </c>
      <c r="B1" s="3075" t="s">
        <v>3152</v>
      </c>
      <c r="C1" s="3075" t="s">
        <v>3153</v>
      </c>
      <c r="D1" s="3075" t="s">
        <v>3154</v>
      </c>
      <c r="E1" s="3075" t="s">
        <v>3155</v>
      </c>
      <c r="F1" s="3075" t="s">
        <v>3156</v>
      </c>
      <c r="G1" s="3075" t="s">
        <v>3157</v>
      </c>
      <c r="H1" s="3075" t="s">
        <v>3158</v>
      </c>
      <c r="I1" s="3075" t="s">
        <v>3159</v>
      </c>
      <c r="J1" s="3075" t="s">
        <v>3160</v>
      </c>
      <c r="K1" s="3075" t="s">
        <v>3161</v>
      </c>
      <c r="L1" s="3075" t="s">
        <v>3162</v>
      </c>
      <c r="M1" s="3075" t="s">
        <v>3163</v>
      </c>
      <c r="N1" s="3075" t="s">
        <v>3164</v>
      </c>
      <c r="O1" s="3075" t="s">
        <v>3165</v>
      </c>
      <c r="P1" s="3075" t="s">
        <v>3166</v>
      </c>
      <c r="Q1" s="3075" t="s">
        <v>3167</v>
      </c>
      <c r="R1" s="3075" t="s">
        <v>3168</v>
      </c>
      <c r="S1" s="3075" t="s">
        <v>3169</v>
      </c>
      <c r="T1" s="3075" t="s">
        <v>3170</v>
      </c>
    </row>
    <row r="2" spans="1:20">
      <c r="A2" s="3075" t="s">
        <v>3171</v>
      </c>
      <c r="B2" s="3075" t="s">
        <v>3172</v>
      </c>
      <c r="C2" s="3075" t="s">
        <v>3173</v>
      </c>
      <c r="D2" s="3075" t="s">
        <v>3174</v>
      </c>
      <c r="E2" s="3075">
        <v>4872</v>
      </c>
      <c r="F2" s="3075">
        <v>8769.6</v>
      </c>
      <c r="G2" s="3075" t="s">
        <v>3175</v>
      </c>
      <c r="H2" s="3075" t="s">
        <v>3176</v>
      </c>
      <c r="I2" s="3075" t="s">
        <v>3177</v>
      </c>
      <c r="J2" s="3075" t="s">
        <v>3178</v>
      </c>
      <c r="K2" s="3076">
        <v>44285</v>
      </c>
      <c r="L2" s="3076">
        <v>44285</v>
      </c>
      <c r="M2" s="3075" t="s">
        <v>3179</v>
      </c>
      <c r="N2" s="3075" t="s">
        <v>3180</v>
      </c>
      <c r="O2" s="3075">
        <v>1325</v>
      </c>
      <c r="P2" s="3075">
        <v>50</v>
      </c>
      <c r="Q2" s="3075" t="s">
        <v>3181</v>
      </c>
      <c r="R2" s="3075">
        <v>2764</v>
      </c>
      <c r="S2" s="3075">
        <v>3152</v>
      </c>
      <c r="T2" s="3075">
        <v>108.6</v>
      </c>
    </row>
    <row r="3" spans="1:20" s="3077" customFormat="1">
      <c r="A3" s="3077" t="s">
        <v>3182</v>
      </c>
      <c r="B3" s="3077" t="s">
        <v>3172</v>
      </c>
      <c r="C3" s="3077" t="s">
        <v>3183</v>
      </c>
      <c r="D3" s="3077" t="s">
        <v>3174</v>
      </c>
      <c r="E3" s="3077">
        <v>856</v>
      </c>
      <c r="F3" s="3077">
        <v>513.6</v>
      </c>
      <c r="G3" s="3077" t="s">
        <v>3184</v>
      </c>
      <c r="H3" s="3077" t="s">
        <v>3176</v>
      </c>
      <c r="I3" s="3077" t="s">
        <v>3185</v>
      </c>
      <c r="J3" s="3077" t="s">
        <v>3178</v>
      </c>
      <c r="K3" s="3078">
        <v>44235</v>
      </c>
      <c r="L3" s="3078">
        <v>44235</v>
      </c>
      <c r="M3" s="3077" t="s">
        <v>3179</v>
      </c>
      <c r="N3" s="3077" t="s">
        <v>3186</v>
      </c>
      <c r="O3" s="3077">
        <v>383</v>
      </c>
      <c r="P3" s="3077">
        <v>30</v>
      </c>
      <c r="Q3" s="3077" t="s">
        <v>3187</v>
      </c>
      <c r="R3" s="3077">
        <v>383</v>
      </c>
      <c r="S3" s="3077">
        <v>7457</v>
      </c>
      <c r="T3" s="3077">
        <v>0</v>
      </c>
    </row>
    <row r="4" spans="1:20" s="3079" customFormat="1">
      <c r="A4" s="3079" t="s">
        <v>3188</v>
      </c>
      <c r="B4" s="3079" t="s">
        <v>3172</v>
      </c>
      <c r="C4" s="3079" t="s">
        <v>3189</v>
      </c>
      <c r="D4" s="3079" t="s">
        <v>3174</v>
      </c>
      <c r="E4" s="3079">
        <v>7524.48</v>
      </c>
      <c r="F4" s="3079">
        <v>45146.879999999997</v>
      </c>
      <c r="G4" s="3079" t="s">
        <v>3190</v>
      </c>
      <c r="H4" s="3079" t="s">
        <v>3176</v>
      </c>
      <c r="I4" s="3079" t="s">
        <v>3177</v>
      </c>
      <c r="J4" s="3079" t="s">
        <v>3178</v>
      </c>
      <c r="K4" s="3080">
        <v>44195</v>
      </c>
      <c r="L4" s="3080">
        <v>44195</v>
      </c>
      <c r="M4" s="3079" t="s">
        <v>3179</v>
      </c>
      <c r="N4" s="3079" t="s">
        <v>3244</v>
      </c>
      <c r="O4" s="3079" t="s">
        <v>3191</v>
      </c>
      <c r="P4" s="3079">
        <v>4600</v>
      </c>
      <c r="Q4" s="3079" t="s">
        <v>3192</v>
      </c>
      <c r="R4" s="3079">
        <v>22821.75</v>
      </c>
      <c r="S4" s="3079">
        <v>5055</v>
      </c>
      <c r="T4" s="3079">
        <v>0</v>
      </c>
    </row>
    <row r="5" spans="1:20">
      <c r="A5" s="3075" t="s">
        <v>3193</v>
      </c>
      <c r="B5" s="3075" t="s">
        <v>3172</v>
      </c>
      <c r="C5" s="3075" t="s">
        <v>3194</v>
      </c>
      <c r="D5" s="3075" t="s">
        <v>3174</v>
      </c>
      <c r="E5" s="3075">
        <v>5005</v>
      </c>
      <c r="F5" s="3075">
        <v>2502.5</v>
      </c>
      <c r="G5" s="3075" t="s">
        <v>3195</v>
      </c>
      <c r="H5" s="3075" t="s">
        <v>3176</v>
      </c>
      <c r="I5" s="3075" t="s">
        <v>3185</v>
      </c>
      <c r="J5" s="3075" t="s">
        <v>3178</v>
      </c>
      <c r="K5" s="3076">
        <v>44155</v>
      </c>
      <c r="L5" s="3076">
        <v>44155</v>
      </c>
      <c r="M5" s="3075" t="s">
        <v>3179</v>
      </c>
      <c r="N5" s="3075" t="s">
        <v>3196</v>
      </c>
      <c r="O5" s="3075">
        <v>310</v>
      </c>
      <c r="P5" s="3075">
        <v>62</v>
      </c>
      <c r="Q5" s="3075" t="s">
        <v>3197</v>
      </c>
      <c r="R5" s="3075">
        <v>1000</v>
      </c>
      <c r="S5" s="3075">
        <v>3996</v>
      </c>
      <c r="T5" s="3075">
        <v>222.58</v>
      </c>
    </row>
    <row r="6" spans="1:20">
      <c r="A6" s="3075" t="s">
        <v>3198</v>
      </c>
      <c r="B6" s="3075" t="s">
        <v>3172</v>
      </c>
      <c r="C6" s="3075" t="s">
        <v>3199</v>
      </c>
      <c r="D6" s="3075" t="s">
        <v>3174</v>
      </c>
      <c r="E6" s="3075">
        <v>5200</v>
      </c>
      <c r="F6" s="3075">
        <v>5200</v>
      </c>
      <c r="G6" s="3075" t="s">
        <v>3200</v>
      </c>
      <c r="H6" s="3075" t="s">
        <v>3201</v>
      </c>
      <c r="I6" s="3075" t="s">
        <v>3185</v>
      </c>
      <c r="J6" s="3075" t="s">
        <v>3178</v>
      </c>
      <c r="K6" s="3076">
        <v>44152</v>
      </c>
      <c r="L6" s="3076">
        <v>44152</v>
      </c>
      <c r="M6" s="3075" t="s">
        <v>3179</v>
      </c>
      <c r="N6" s="3075" t="s">
        <v>3202</v>
      </c>
      <c r="O6" s="3075" t="s">
        <v>3191</v>
      </c>
      <c r="P6" s="3075">
        <v>300</v>
      </c>
      <c r="Q6" s="3075" t="s">
        <v>3203</v>
      </c>
      <c r="R6" s="3075">
        <v>1118</v>
      </c>
      <c r="S6" s="3075">
        <v>2150</v>
      </c>
      <c r="T6" s="3075">
        <v>0</v>
      </c>
    </row>
    <row r="7" spans="1:20" s="3079" customFormat="1">
      <c r="A7" s="3079" t="s">
        <v>3204</v>
      </c>
      <c r="B7" s="3079" t="s">
        <v>3172</v>
      </c>
      <c r="C7" s="3079" t="s">
        <v>3205</v>
      </c>
      <c r="D7" s="3079" t="s">
        <v>3174</v>
      </c>
      <c r="E7" s="3079">
        <v>20637.11</v>
      </c>
      <c r="F7" s="3079">
        <v>72229.89</v>
      </c>
      <c r="G7" s="3079" t="s">
        <v>3206</v>
      </c>
      <c r="H7" s="3079" t="s">
        <v>3176</v>
      </c>
      <c r="I7" s="3079" t="s">
        <v>3177</v>
      </c>
      <c r="J7" s="3079" t="s">
        <v>3178</v>
      </c>
      <c r="K7" s="3080">
        <v>44118</v>
      </c>
      <c r="L7" s="3080">
        <v>44118</v>
      </c>
      <c r="M7" s="3079" t="s">
        <v>3179</v>
      </c>
      <c r="N7" s="3079" t="s">
        <v>3207</v>
      </c>
      <c r="O7" s="3079">
        <v>15507.76</v>
      </c>
      <c r="P7" s="3079">
        <v>3200</v>
      </c>
      <c r="Q7" s="3079" t="s">
        <v>3208</v>
      </c>
      <c r="R7" s="3079">
        <v>15507.76</v>
      </c>
      <c r="S7" s="3079">
        <v>2147</v>
      </c>
      <c r="T7" s="3079">
        <v>0</v>
      </c>
    </row>
    <row r="8" spans="1:20" s="3079" customFormat="1">
      <c r="A8" s="3079" t="s">
        <v>3209</v>
      </c>
      <c r="B8" s="3079" t="s">
        <v>3172</v>
      </c>
      <c r="C8" s="3079" t="s">
        <v>3210</v>
      </c>
      <c r="D8" s="3079" t="s">
        <v>3174</v>
      </c>
      <c r="E8" s="3079">
        <v>6591.19</v>
      </c>
      <c r="F8" s="3079">
        <v>7909.43</v>
      </c>
      <c r="G8" s="3079" t="s">
        <v>3211</v>
      </c>
      <c r="H8" s="3079" t="s">
        <v>3201</v>
      </c>
      <c r="I8" s="3079" t="s">
        <v>3212</v>
      </c>
      <c r="J8" s="3079" t="s">
        <v>3178</v>
      </c>
      <c r="K8" s="3080">
        <v>44034</v>
      </c>
      <c r="L8" s="3080">
        <v>44034</v>
      </c>
      <c r="M8" s="3079" t="s">
        <v>3179</v>
      </c>
      <c r="N8" s="3079" t="s">
        <v>3213</v>
      </c>
      <c r="O8" s="3079">
        <v>3646.25</v>
      </c>
      <c r="P8" s="3079">
        <v>750</v>
      </c>
      <c r="Q8" s="3079" t="s">
        <v>1298</v>
      </c>
      <c r="R8" s="3079">
        <v>3646.25</v>
      </c>
      <c r="S8" s="3079">
        <v>4610</v>
      </c>
      <c r="T8" s="3079">
        <v>0</v>
      </c>
    </row>
    <row r="9" spans="1:20" s="3077" customFormat="1">
      <c r="A9" s="3077" t="s">
        <v>3214</v>
      </c>
      <c r="B9" s="3077" t="s">
        <v>3172</v>
      </c>
      <c r="C9" s="3077" t="s">
        <v>3215</v>
      </c>
      <c r="D9" s="3077" t="s">
        <v>3174</v>
      </c>
      <c r="E9" s="3077">
        <v>6573</v>
      </c>
      <c r="F9" s="3077">
        <v>6573</v>
      </c>
      <c r="G9" s="3077" t="s">
        <v>3200</v>
      </c>
      <c r="H9" s="3077" t="s">
        <v>3176</v>
      </c>
      <c r="I9" s="3077" t="s">
        <v>3185</v>
      </c>
      <c r="J9" s="3077" t="s">
        <v>3178</v>
      </c>
      <c r="K9" s="3078">
        <v>44018</v>
      </c>
      <c r="L9" s="3078">
        <v>44018</v>
      </c>
      <c r="M9" s="3077" t="s">
        <v>3179</v>
      </c>
      <c r="N9" s="3077" t="s">
        <v>3216</v>
      </c>
      <c r="O9" s="3077" t="s">
        <v>3191</v>
      </c>
      <c r="P9" s="3077">
        <v>2000</v>
      </c>
      <c r="Q9" s="3077" t="s">
        <v>3217</v>
      </c>
      <c r="R9" s="3077">
        <v>4002.96</v>
      </c>
      <c r="S9" s="3077">
        <v>6090</v>
      </c>
      <c r="T9" s="3077">
        <v>0</v>
      </c>
    </row>
    <row r="10" spans="1:20" s="3077" customFormat="1">
      <c r="A10" s="3077" t="s">
        <v>3218</v>
      </c>
      <c r="B10" s="3077" t="s">
        <v>3172</v>
      </c>
      <c r="C10" s="3077" t="s">
        <v>3219</v>
      </c>
      <c r="D10" s="3077" t="s">
        <v>3174</v>
      </c>
      <c r="E10" s="3077">
        <v>11129</v>
      </c>
      <c r="F10" s="3077">
        <v>5564.5</v>
      </c>
      <c r="G10" s="3077" t="s">
        <v>3220</v>
      </c>
      <c r="H10" s="3077" t="s">
        <v>3176</v>
      </c>
      <c r="I10" s="3077" t="s">
        <v>3185</v>
      </c>
      <c r="J10" s="3077" t="s">
        <v>3178</v>
      </c>
      <c r="K10" s="3078">
        <v>44006</v>
      </c>
      <c r="L10" s="3078">
        <v>44006</v>
      </c>
      <c r="M10" s="3077" t="s">
        <v>3179</v>
      </c>
      <c r="N10" s="3077" t="s">
        <v>3221</v>
      </c>
      <c r="O10" s="3077" t="s">
        <v>3191</v>
      </c>
      <c r="P10" s="3077">
        <v>600</v>
      </c>
      <c r="Q10" s="3077" t="s">
        <v>3222</v>
      </c>
      <c r="R10" s="3077">
        <v>1888.59</v>
      </c>
      <c r="S10" s="3077">
        <v>3394</v>
      </c>
      <c r="T10" s="3077">
        <v>0</v>
      </c>
    </row>
    <row r="11" spans="1:20" s="3077" customFormat="1">
      <c r="A11" s="3077" t="s">
        <v>3223</v>
      </c>
      <c r="B11" s="3077" t="s">
        <v>3172</v>
      </c>
      <c r="C11" s="3077" t="s">
        <v>3194</v>
      </c>
      <c r="D11" s="3077" t="s">
        <v>3174</v>
      </c>
      <c r="E11" s="3077">
        <v>3925</v>
      </c>
      <c r="F11" s="3077">
        <v>1962.5</v>
      </c>
      <c r="G11" s="3077" t="s">
        <v>3220</v>
      </c>
      <c r="H11" s="3077" t="s">
        <v>3176</v>
      </c>
      <c r="I11" s="3077" t="s">
        <v>3185</v>
      </c>
      <c r="J11" s="3077" t="s">
        <v>3178</v>
      </c>
      <c r="K11" s="3078">
        <v>44006</v>
      </c>
      <c r="L11" s="3078">
        <v>44006</v>
      </c>
      <c r="M11" s="3077" t="s">
        <v>3179</v>
      </c>
      <c r="N11" s="3077" t="s">
        <v>3224</v>
      </c>
      <c r="O11" s="3077" t="s">
        <v>3191</v>
      </c>
      <c r="P11" s="3077">
        <v>130</v>
      </c>
      <c r="Q11" s="3077" t="s">
        <v>3222</v>
      </c>
      <c r="R11" s="3077">
        <v>411.34</v>
      </c>
      <c r="S11" s="3077">
        <v>2096</v>
      </c>
      <c r="T11" s="3077">
        <v>0</v>
      </c>
    </row>
    <row r="12" spans="1:20" s="3081" customFormat="1">
      <c r="A12" s="3081" t="s">
        <v>3225</v>
      </c>
      <c r="B12" s="3081" t="s">
        <v>3172</v>
      </c>
      <c r="C12" s="3081" t="s">
        <v>3226</v>
      </c>
      <c r="D12" s="3081" t="s">
        <v>3174</v>
      </c>
      <c r="E12" s="3081">
        <v>1168</v>
      </c>
      <c r="F12" s="3081">
        <v>1985.6</v>
      </c>
      <c r="G12" s="3081" t="s">
        <v>3227</v>
      </c>
      <c r="H12" s="3081" t="s">
        <v>3176</v>
      </c>
      <c r="I12" s="3081" t="s">
        <v>3185</v>
      </c>
      <c r="J12" s="3081" t="s">
        <v>3178</v>
      </c>
      <c r="K12" s="3082">
        <v>43966</v>
      </c>
      <c r="L12" s="3082">
        <v>43966</v>
      </c>
      <c r="M12" s="3081" t="s">
        <v>3179</v>
      </c>
      <c r="N12" s="3081" t="s">
        <v>3228</v>
      </c>
      <c r="O12" s="3081">
        <v>666</v>
      </c>
      <c r="P12" s="3081">
        <v>30</v>
      </c>
      <c r="Q12" s="3081" t="s">
        <v>3229</v>
      </c>
      <c r="R12" s="3081">
        <v>666</v>
      </c>
      <c r="S12" s="3081">
        <v>3354</v>
      </c>
      <c r="T12" s="3081">
        <v>0</v>
      </c>
    </row>
    <row r="13" spans="1:20" s="3077" customFormat="1">
      <c r="A13" s="3077" t="s">
        <v>3230</v>
      </c>
      <c r="B13" s="3077" t="s">
        <v>3172</v>
      </c>
      <c r="C13" s="3077" t="s">
        <v>3231</v>
      </c>
      <c r="D13" s="3077" t="s">
        <v>3174</v>
      </c>
      <c r="E13" s="3077">
        <v>2000</v>
      </c>
      <c r="F13" s="3077">
        <v>2000</v>
      </c>
      <c r="G13" s="3077" t="s">
        <v>3200</v>
      </c>
      <c r="H13" s="3077" t="s">
        <v>3176</v>
      </c>
      <c r="I13" s="3077" t="s">
        <v>3185</v>
      </c>
      <c r="J13" s="3077" t="s">
        <v>3178</v>
      </c>
      <c r="K13" s="3078">
        <v>43966</v>
      </c>
      <c r="L13" s="3078">
        <v>43966</v>
      </c>
      <c r="M13" s="3077" t="s">
        <v>3179</v>
      </c>
      <c r="N13" s="3077" t="s">
        <v>3232</v>
      </c>
      <c r="O13" s="3077">
        <v>471</v>
      </c>
      <c r="P13" s="3077">
        <v>30</v>
      </c>
      <c r="Q13" s="3077" t="s">
        <v>3229</v>
      </c>
      <c r="R13" s="3077">
        <v>471</v>
      </c>
      <c r="S13" s="3077">
        <v>2355</v>
      </c>
      <c r="T13" s="3077">
        <v>0</v>
      </c>
    </row>
    <row r="14" spans="1:20">
      <c r="A14" s="3075" t="s">
        <v>3233</v>
      </c>
      <c r="B14" s="3075" t="s">
        <v>3172</v>
      </c>
      <c r="C14" s="3075" t="s">
        <v>3234</v>
      </c>
      <c r="D14" s="3075" t="s">
        <v>3174</v>
      </c>
      <c r="E14" s="3075">
        <v>1095</v>
      </c>
      <c r="F14" s="3075">
        <v>1423.5</v>
      </c>
      <c r="G14" s="3075" t="s">
        <v>3235</v>
      </c>
      <c r="H14" s="3075" t="s">
        <v>3176</v>
      </c>
      <c r="I14" s="3075" t="s">
        <v>3185</v>
      </c>
      <c r="J14" s="3075" t="s">
        <v>3178</v>
      </c>
      <c r="K14" s="3076">
        <v>43966</v>
      </c>
      <c r="L14" s="3076">
        <v>43966</v>
      </c>
      <c r="M14" s="3075" t="s">
        <v>3179</v>
      </c>
      <c r="N14" s="3075" t="s">
        <v>3236</v>
      </c>
      <c r="O14" s="3075">
        <v>389</v>
      </c>
      <c r="P14" s="3075">
        <v>30</v>
      </c>
      <c r="Q14" s="3075" t="s">
        <v>3229</v>
      </c>
      <c r="R14" s="3075">
        <v>389</v>
      </c>
      <c r="S14" s="3075">
        <v>2733</v>
      </c>
      <c r="T14" s="3075">
        <v>0</v>
      </c>
    </row>
    <row r="15" spans="1:20" s="3077" customFormat="1">
      <c r="A15" s="3077" t="s">
        <v>3237</v>
      </c>
      <c r="B15" s="3077" t="s">
        <v>3172</v>
      </c>
      <c r="C15" s="3077" t="s">
        <v>3238</v>
      </c>
      <c r="D15" s="3077" t="s">
        <v>3174</v>
      </c>
      <c r="E15" s="3077">
        <v>3357.64</v>
      </c>
      <c r="F15" s="3077">
        <v>3357.64</v>
      </c>
      <c r="G15" s="3077" t="s">
        <v>3200</v>
      </c>
      <c r="H15" s="3077" t="s">
        <v>3176</v>
      </c>
      <c r="I15" s="3077" t="s">
        <v>3185</v>
      </c>
      <c r="J15" s="3077" t="s">
        <v>3178</v>
      </c>
      <c r="K15" s="3078">
        <v>43705</v>
      </c>
      <c r="L15" s="3078">
        <v>43705</v>
      </c>
      <c r="M15" s="3077" t="s">
        <v>3179</v>
      </c>
      <c r="N15" s="3077" t="s">
        <v>3239</v>
      </c>
      <c r="O15" s="3077">
        <v>2014.58</v>
      </c>
      <c r="P15" s="3077">
        <v>2000</v>
      </c>
      <c r="Q15" s="3077" t="s">
        <v>1298</v>
      </c>
      <c r="R15" s="3077">
        <v>2039.72</v>
      </c>
      <c r="S15" s="3077">
        <v>6075</v>
      </c>
      <c r="T15" s="3077">
        <v>1.25</v>
      </c>
    </row>
    <row r="16" spans="1:20" s="3077" customFormat="1">
      <c r="A16" s="3077" t="s">
        <v>3218</v>
      </c>
      <c r="B16" s="3077" t="s">
        <v>3172</v>
      </c>
      <c r="C16" s="3077" t="s">
        <v>3240</v>
      </c>
      <c r="D16" s="3077" t="s">
        <v>3174</v>
      </c>
      <c r="E16" s="3077">
        <v>1856</v>
      </c>
      <c r="F16" s="3077">
        <v>928</v>
      </c>
      <c r="G16" s="3077" t="s">
        <v>3241</v>
      </c>
      <c r="H16" s="3077" t="s">
        <v>3176</v>
      </c>
      <c r="I16" s="3077" t="s">
        <v>3185</v>
      </c>
      <c r="J16" s="3077" t="s">
        <v>3178</v>
      </c>
      <c r="K16" s="3078">
        <v>43622</v>
      </c>
      <c r="L16" s="3078">
        <v>43622</v>
      </c>
      <c r="M16" s="3077" t="s">
        <v>3179</v>
      </c>
      <c r="N16" s="3077" t="s">
        <v>3242</v>
      </c>
      <c r="O16" s="3077" t="s">
        <v>3191</v>
      </c>
      <c r="P16" s="3077">
        <v>75</v>
      </c>
      <c r="Q16" s="3077" t="s">
        <v>1298</v>
      </c>
      <c r="R16" s="3077">
        <v>501.12</v>
      </c>
      <c r="S16" s="3077">
        <v>5400</v>
      </c>
      <c r="T16" s="3077">
        <v>0</v>
      </c>
    </row>
  </sheetData>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4" sqref="W34"/>
    </sheetView>
  </sheetViews>
  <sheetFormatPr defaultColWidth="9" defaultRowHeight="13.2"/>
  <cols>
    <col min="1" max="1" width="11.44140625" style="135" customWidth="1"/>
    <col min="2" max="2" width="9.21875" style="27" customWidth="1"/>
    <col min="3" max="3" width="5" style="27" customWidth="1"/>
    <col min="4" max="4" width="9" style="27"/>
    <col min="5" max="5" width="6.8867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344" t="s">
        <v>2826</v>
      </c>
      <c r="D1" s="3345"/>
      <c r="E1" s="3345"/>
      <c r="F1" s="3345"/>
      <c r="G1" s="3345"/>
      <c r="H1" s="3345"/>
      <c r="I1" s="3345"/>
      <c r="J1" s="3345"/>
      <c r="K1" s="3345"/>
      <c r="L1" s="3345"/>
      <c r="M1" s="3345"/>
      <c r="N1" s="3345"/>
      <c r="O1" s="3345"/>
      <c r="P1" s="3345"/>
      <c r="Q1" s="3345"/>
      <c r="R1" s="3345"/>
      <c r="S1" s="3346"/>
      <c r="T1" s="1113" t="s">
        <v>2827</v>
      </c>
    </row>
    <row r="2" spans="1:45" s="663" customFormat="1" ht="39.6">
      <c r="A2" s="1114"/>
      <c r="B2" s="659" t="s">
        <v>2828</v>
      </c>
      <c r="C2" s="660" t="str">
        <f t="shared" ref="C2:L2" si="0">C3&amp;"(含)"&amp;"-"&amp;D3</f>
        <v>0(含)-8000</v>
      </c>
      <c r="D2" s="661" t="str">
        <f t="shared" si="0"/>
        <v>8000(含)-16000</v>
      </c>
      <c r="E2" s="661" t="str">
        <f t="shared" si="0"/>
        <v>16000(含)-24000</v>
      </c>
      <c r="F2" s="661" t="str">
        <f t="shared" si="0"/>
        <v>24000(含)-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v>0</v>
      </c>
      <c r="D3" s="665">
        <v>8000</v>
      </c>
      <c r="E3" s="665">
        <v>16000</v>
      </c>
      <c r="F3" s="665">
        <v>24000</v>
      </c>
      <c r="G3" s="665"/>
      <c r="H3" s="665"/>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7"/>
      <c r="B4" s="1118"/>
      <c r="C4" s="1119">
        <v>100</v>
      </c>
      <c r="D4" s="1119">
        <v>101</v>
      </c>
      <c r="E4" s="1119">
        <v>102</v>
      </c>
      <c r="F4" s="1119">
        <v>103</v>
      </c>
      <c r="G4" s="1119"/>
      <c r="H4" s="1119"/>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69" t="s">
        <v>3260</v>
      </c>
      <c r="C5" s="1125"/>
      <c r="D5" s="1125"/>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8"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8"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8"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8"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c r="D17" s="1140"/>
      <c r="E17" s="1140"/>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8" thickBot="1">
      <c r="A18" s="1150"/>
      <c r="B18" s="1151"/>
      <c r="C18" s="1152"/>
      <c r="D18" s="1152"/>
      <c r="E18" s="1152"/>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2" thickBot="1">
      <c r="A20" s="670" t="s">
        <v>2837</v>
      </c>
      <c r="B20" s="300">
        <f>IF(D20="——",S22,S22-F20)</f>
        <v>8917</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6">
      <c r="A21" s="670" t="s">
        <v>2839</v>
      </c>
      <c r="B21" s="300">
        <f>ROUND(B20*10000/B22,0)</f>
        <v>2053</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43436.400000000009</v>
      </c>
      <c r="C22" s="3347" t="s">
        <v>33</v>
      </c>
      <c r="D22" s="3348"/>
      <c r="E22" s="3348"/>
      <c r="F22" s="3348"/>
      <c r="G22" s="3348"/>
      <c r="H22" s="3348"/>
      <c r="I22" s="3348"/>
      <c r="J22" s="3348"/>
      <c r="K22" s="3348"/>
      <c r="L22" s="3348"/>
      <c r="M22" s="3348"/>
      <c r="N22" s="3348"/>
      <c r="O22" s="3348"/>
      <c r="P22" s="3348"/>
      <c r="Q22" s="3349"/>
      <c r="R22" s="671">
        <f>ROUND(S22*10000/B22,0)</f>
        <v>2053</v>
      </c>
      <c r="S22" s="24">
        <f>SUM(S24:S10000)</f>
        <v>8917</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Sheet1!G6</f>
        <v>13473.9</v>
      </c>
      <c r="B24" s="673">
        <f>Sheet1!I6</f>
        <v>21692.98</v>
      </c>
      <c r="C24" s="3039">
        <v>1</v>
      </c>
      <c r="D24" s="3040"/>
      <c r="E24" s="3039">
        <v>1</v>
      </c>
      <c r="F24" s="3040"/>
      <c r="G24" s="3039">
        <v>1</v>
      </c>
      <c r="H24" s="3040"/>
      <c r="I24" s="3039">
        <v>1</v>
      </c>
      <c r="J24" s="3040"/>
      <c r="K24" s="3039">
        <v>1</v>
      </c>
      <c r="L24" s="3040"/>
      <c r="M24" s="3039">
        <v>1</v>
      </c>
      <c r="N24" s="3040"/>
      <c r="O24" s="3039">
        <v>1</v>
      </c>
      <c r="P24" s="3040"/>
      <c r="Q24" s="3039">
        <v>1</v>
      </c>
      <c r="R24" s="676">
        <f>'土地比较法-住宅、综合'!C48</f>
        <v>2057</v>
      </c>
      <c r="S24" s="674">
        <f t="shared" ref="S24:S54" si="11">ROUND(R24*B24/10000,0)</f>
        <v>4462</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f>Sheet1!G5</f>
        <v>10767.3</v>
      </c>
      <c r="B25" s="673">
        <f>Sheet1!I5</f>
        <v>17335.349999999999</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2057</v>
      </c>
      <c r="S25" s="322">
        <f t="shared" si="11"/>
        <v>3566</v>
      </c>
    </row>
    <row r="26" spans="1:45">
      <c r="A26" s="155">
        <f>Sheet1!G4</f>
        <v>2773.6</v>
      </c>
      <c r="B26" s="673">
        <f>Sheet1!I4</f>
        <v>4408.0700000000033</v>
      </c>
      <c r="C26" s="24">
        <f t="shared" ref="C26:C89" si="12">IF(B26="",1,(LOOKUP(B26,$3:$3,$4:$4)-LOOKUP($B$24,$3:$3,$4:$4)+100)/100)</f>
        <v>0.98</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2016</v>
      </c>
      <c r="S26" s="322">
        <f t="shared" si="11"/>
        <v>889</v>
      </c>
    </row>
    <row r="27" spans="1:45">
      <c r="A27" s="155"/>
      <c r="B27" s="673"/>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673"/>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673"/>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673"/>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673"/>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673"/>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673"/>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673"/>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673"/>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90" zoomScaleNormal="70" zoomScaleSheetLayoutView="90" workbookViewId="0">
      <selection activeCell="J53" sqref="J5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0" customWidth="1"/>
    <col min="12" max="12" width="16.33203125" style="264" customWidth="1"/>
    <col min="13" max="13" width="13" style="264" customWidth="1"/>
    <col min="14" max="14" width="13.77734375" style="1566" customWidth="1"/>
    <col min="15" max="15" width="5.109375" style="1566" customWidth="1"/>
    <col min="16" max="16" width="25.77734375" style="1566" customWidth="1"/>
    <col min="17" max="17" width="13.77734375" style="1566" customWidth="1"/>
    <col min="18" max="18" width="20.44140625" style="1566" customWidth="1"/>
    <col min="19" max="19" width="13.21875" style="1566" customWidth="1"/>
    <col min="20" max="37" width="9" style="1566"/>
    <col min="38" max="16384" width="9" style="264"/>
  </cols>
  <sheetData>
    <row r="1" spans="1:37" s="299" customFormat="1" ht="21.6">
      <c r="A1" s="1557" t="s">
        <v>1554</v>
      </c>
      <c r="B1" s="721"/>
      <c r="C1" s="1561" t="s">
        <v>1343</v>
      </c>
      <c r="D1" s="1544" t="s">
        <v>70</v>
      </c>
      <c r="E1" s="1545" t="s">
        <v>1352</v>
      </c>
      <c r="F1" s="1192">
        <f ca="1">J53</f>
        <v>9.32</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13108</v>
      </c>
      <c r="C2" s="1569" t="s">
        <v>1481</v>
      </c>
      <c r="D2" s="1569"/>
      <c r="E2" s="1570"/>
      <c r="F2" s="1571"/>
      <c r="G2" s="2933"/>
      <c r="H2" s="2922"/>
      <c r="I2" s="2922"/>
      <c r="J2" s="2922"/>
      <c r="K2" s="2923"/>
      <c r="L2" s="2922"/>
      <c r="M2" s="2922"/>
    </row>
    <row r="3" spans="1:37" ht="18" customHeight="1" thickBot="1">
      <c r="A3" s="1572" t="s">
        <v>1482</v>
      </c>
      <c r="B3" s="1573">
        <f ca="1">IF(ISERROR(B2*10000/F43),0,ROUND(B2*10000/F43,0))</f>
        <v>3018</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1429</v>
      </c>
      <c r="D5" s="1546" t="s">
        <v>1367</v>
      </c>
      <c r="E5" s="1202"/>
      <c r="F5" s="1203"/>
      <c r="G5" s="1566"/>
      <c r="H5" s="305">
        <v>1</v>
      </c>
      <c r="I5" s="306" t="s">
        <v>1366</v>
      </c>
      <c r="J5" s="1201">
        <f ca="1">J6+J10+J12</f>
        <v>0</v>
      </c>
      <c r="K5" s="1546" t="s">
        <v>1367</v>
      </c>
      <c r="L5" s="1202"/>
      <c r="M5" s="1203"/>
    </row>
    <row r="6" spans="1:37" ht="18" customHeight="1">
      <c r="A6" s="1200" t="s">
        <v>1003</v>
      </c>
      <c r="B6" s="3360" t="s">
        <v>1368</v>
      </c>
      <c r="C6" s="1205">
        <f ca="1">ROUND(F6*F8*F7*(1-F9)/10000,0)</f>
        <v>1427</v>
      </c>
      <c r="D6" s="160" t="s">
        <v>2849</v>
      </c>
      <c r="E6" s="308" t="s">
        <v>1370</v>
      </c>
      <c r="F6" s="309">
        <f ca="1">INDIRECT("'数据-取费表'!u"&amp;$G$1)</f>
        <v>1</v>
      </c>
      <c r="G6" s="1566"/>
      <c r="H6" s="1200" t="s">
        <v>1003</v>
      </c>
      <c r="I6" s="3360" t="s">
        <v>1368</v>
      </c>
      <c r="J6" s="307">
        <f ca="1">ROUND(M6*M8*M7*(1-M9)/10000,0)</f>
        <v>0</v>
      </c>
      <c r="K6" s="160" t="s">
        <v>2848</v>
      </c>
      <c r="L6" s="308" t="s">
        <v>1370</v>
      </c>
      <c r="M6" s="309">
        <f ca="1">INDIRECT("'数据-取费表'!z"&amp;$G$1)</f>
        <v>0</v>
      </c>
    </row>
    <row r="7" spans="1:37" ht="18" customHeight="1">
      <c r="A7" s="1204"/>
      <c r="B7" s="3361"/>
      <c r="C7" s="1206"/>
      <c r="D7" s="313"/>
      <c r="E7" s="1207" t="s">
        <v>1371</v>
      </c>
      <c r="F7" s="309">
        <f ca="1">IF(INDIRECT("'数据-取费表'!ah"&amp;$G$1)="",INDIRECT("'数据-取费表'!k"&amp;$G$1),INDIRECT("'数据-取费表'!ah"&amp;$G$1))</f>
        <v>43436.4</v>
      </c>
      <c r="G7" s="1566"/>
      <c r="H7" s="310"/>
      <c r="I7" s="3361"/>
      <c r="J7" s="312"/>
      <c r="K7" s="313"/>
      <c r="L7" s="308" t="s">
        <v>1371</v>
      </c>
      <c r="M7" s="309">
        <f ca="1">F7</f>
        <v>43436.4</v>
      </c>
    </row>
    <row r="8" spans="1:37" ht="18" customHeight="1">
      <c r="A8" s="310"/>
      <c r="B8" s="3361"/>
      <c r="C8" s="312"/>
      <c r="D8" s="313"/>
      <c r="E8" s="308" t="s">
        <v>1372</v>
      </c>
      <c r="F8" s="309">
        <f ca="1">INDIRECT("'数据-取费表'!ai"&amp;$G$1)</f>
        <v>365</v>
      </c>
      <c r="G8" s="1566"/>
      <c r="H8" s="310"/>
      <c r="I8" s="3361"/>
      <c r="J8" s="312"/>
      <c r="K8" s="313"/>
      <c r="L8" s="308" t="s">
        <v>1372</v>
      </c>
      <c r="M8" s="309">
        <f ca="1">INDIRECT("'数据-取费表'!ai"&amp;$G$1)</f>
        <v>365</v>
      </c>
    </row>
    <row r="9" spans="1:37" ht="18" customHeight="1">
      <c r="A9" s="310"/>
      <c r="B9" s="3362"/>
      <c r="C9" s="312"/>
      <c r="D9" s="313"/>
      <c r="E9" s="308" t="s">
        <v>1373</v>
      </c>
      <c r="F9" s="318">
        <f ca="1">INDIRECT("'数据-取费表'!w"&amp;$G$1)</f>
        <v>0.1</v>
      </c>
      <c r="G9" s="1566"/>
      <c r="H9" s="310"/>
      <c r="I9" s="3362"/>
      <c r="J9" s="312"/>
      <c r="K9" s="313"/>
      <c r="L9" s="319" t="s">
        <v>1373</v>
      </c>
      <c r="M9" s="320">
        <f ca="1">INDIRECT("'数据-取费表'!ab"&amp;$G$1)</f>
        <v>0</v>
      </c>
    </row>
    <row r="10" spans="1:37" ht="18" customHeight="1">
      <c r="A10" s="1200" t="s">
        <v>1007</v>
      </c>
      <c r="B10" s="1547" t="s">
        <v>1374</v>
      </c>
      <c r="C10" s="322">
        <f ca="1">ROUND(IF(F10="押一",C6/12*F11,IF(F10="押二",C6/12*2*F11,IF(F10="押三",C6/12*3*F11,C11*F11))),0)</f>
        <v>2</v>
      </c>
      <c r="D10" s="1548" t="s">
        <v>2857</v>
      </c>
      <c r="E10" s="319" t="s">
        <v>1375</v>
      </c>
      <c r="F10" s="1275" t="s">
        <v>3079</v>
      </c>
      <c r="G10" s="1566"/>
      <c r="H10" s="1200" t="s">
        <v>1007</v>
      </c>
      <c r="I10" s="1547" t="s">
        <v>1374</v>
      </c>
      <c r="J10" s="307">
        <f ca="1">ROUND(IF(M10="押一",J6/12*M11,IF(M10="押二",J6/12*2*M11,IF(M10="押三",J6/12*3*M11,J11*M11))),0)</f>
        <v>0</v>
      </c>
      <c r="K10" s="1548" t="s">
        <v>2856</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18675</v>
      </c>
      <c r="D13" s="1240" t="s">
        <v>1380</v>
      </c>
      <c r="E13" s="1240" t="s">
        <v>1381</v>
      </c>
      <c r="F13" s="1241">
        <f ca="1">INDIRECT("'数据-取费表'!y"&amp;$G$1)</f>
        <v>0.81</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15203</v>
      </c>
      <c r="D14" s="1527" t="s">
        <v>1383</v>
      </c>
      <c r="E14" s="1524"/>
      <c r="F14" s="325"/>
      <c r="G14" s="1566"/>
      <c r="H14" s="1112" t="s">
        <v>1003</v>
      </c>
      <c r="I14" s="308" t="s">
        <v>1384</v>
      </c>
      <c r="J14" s="24">
        <f ca="1">C29</f>
        <v>23056</v>
      </c>
      <c r="K14" s="15"/>
      <c r="L14" s="915"/>
      <c r="M14" s="916"/>
    </row>
    <row r="15" spans="1:37" s="1579" customFormat="1" ht="18" customHeight="1" thickBot="1">
      <c r="A15" s="1112" t="s">
        <v>1004</v>
      </c>
      <c r="B15" s="308" t="s">
        <v>1385</v>
      </c>
      <c r="C15" s="24">
        <f ca="1">ROUND(C14*F15,0)</f>
        <v>456</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580</v>
      </c>
      <c r="K16" s="1246" t="s">
        <v>1390</v>
      </c>
      <c r="L16" s="1247"/>
      <c r="M16" s="1203"/>
    </row>
    <row r="17" spans="1:37" s="1579" customFormat="1" ht="18" customHeight="1">
      <c r="A17" s="1112" t="s">
        <v>1355</v>
      </c>
      <c r="B17" s="308" t="s">
        <v>1391</v>
      </c>
      <c r="C17" s="24">
        <f ca="1">ROUND(F17*(F43+INDIRECT("'数据-取费表'!S"&amp;$G$1))/10000,0)</f>
        <v>869</v>
      </c>
      <c r="D17" s="308" t="s">
        <v>1392</v>
      </c>
      <c r="E17" s="308" t="s">
        <v>1393</v>
      </c>
      <c r="F17" s="26">
        <f>'数据-取费表'!B35</f>
        <v>200</v>
      </c>
      <c r="G17" s="1578"/>
      <c r="H17" s="1112" t="s">
        <v>1003</v>
      </c>
      <c r="I17" s="308" t="s">
        <v>1394</v>
      </c>
      <c r="J17" s="2532">
        <f ca="1">ROUND(IF(AND(项目基本情况!B11="自然人",项目基本情况!B10="北京市"),J6*M17/(1+'数据-取费表'!C42),J18+J19+J20),0)</f>
        <v>234</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228</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16756</v>
      </c>
      <c r="D19" s="136" t="s">
        <v>1401</v>
      </c>
      <c r="E19" s="1542"/>
      <c r="F19" s="26"/>
      <c r="G19" s="1566"/>
      <c r="H19" s="1112" t="s">
        <v>1004</v>
      </c>
      <c r="I19" s="308" t="s">
        <v>1402</v>
      </c>
      <c r="J19" s="24">
        <f ca="1">IF(K19="按租金收入计税",ROUND(J6*M19/(1+'数据-取费表'!C42),2),ROUND(C29*M19*0.7,2))</f>
        <v>193.67</v>
      </c>
      <c r="K19" s="1552" t="s">
        <v>1403</v>
      </c>
      <c r="L19" s="308" t="s">
        <v>1387</v>
      </c>
      <c r="M19" s="328">
        <f>IF(K19="按租金收入计税",'数据-取费表'!B51,'数据-取费表'!B50)</f>
        <v>1.2E-2</v>
      </c>
    </row>
    <row r="20" spans="1:37" s="1579" customFormat="1" ht="18" customHeight="1">
      <c r="A20" s="1112" t="s">
        <v>1007</v>
      </c>
      <c r="B20" s="308" t="s">
        <v>1404</v>
      </c>
      <c r="C20" s="24">
        <f ca="1">ROUND(C19*F20,0)</f>
        <v>335</v>
      </c>
      <c r="D20" s="329" t="s">
        <v>1405</v>
      </c>
      <c r="E20" s="308" t="s">
        <v>1387</v>
      </c>
      <c r="F20" s="328">
        <f>'数据-取费表'!B37</f>
        <v>0.02</v>
      </c>
      <c r="G20" s="1578"/>
      <c r="H20" s="1112" t="s">
        <v>1354</v>
      </c>
      <c r="I20" s="160" t="s">
        <v>1406</v>
      </c>
      <c r="J20" s="25">
        <f ca="1">ROUND(M20*M21/10000,2)</f>
        <v>40.520000000000003</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27014.799999999999</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345.8</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744</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-580</v>
      </c>
      <c r="K25" s="1254" t="s">
        <v>1429</v>
      </c>
      <c r="L25" s="1255"/>
      <c r="M25" s="1256"/>
    </row>
    <row r="26" spans="1:37">
      <c r="A26" s="1112" t="s">
        <v>1002</v>
      </c>
      <c r="B26" s="308" t="s">
        <v>1430</v>
      </c>
      <c r="C26" s="24">
        <f ca="1">ROUND((C19+C20)*F26,0)</f>
        <v>3418</v>
      </c>
      <c r="D26" s="329" t="s">
        <v>1431</v>
      </c>
      <c r="E26" s="319" t="s">
        <v>1432</v>
      </c>
      <c r="F26" s="318">
        <f ca="1">INDIRECT("'数据-取费表'!q"&amp;$G$1)</f>
        <v>0.2</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4.0000000000000001E-3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23056</v>
      </c>
      <c r="D29" s="1251"/>
      <c r="E29" s="1249"/>
      <c r="F29" s="1252"/>
      <c r="G29" s="1578"/>
      <c r="H29" s="340" t="s">
        <v>1001</v>
      </c>
      <c r="I29" s="341" t="s">
        <v>1444</v>
      </c>
      <c r="J29" s="342">
        <f ca="1">ROUND(J26/(1+F40)^F41,0)</f>
        <v>0</v>
      </c>
      <c r="K29" s="343" t="s">
        <v>1445</v>
      </c>
      <c r="L29" s="344"/>
      <c r="M29" s="345">
        <f ca="1">INDIRECT("'数据-取费表'!k"&amp;$G$1)</f>
        <v>43436.4</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675</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280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76.11</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163.09</v>
      </c>
      <c r="D33" s="1552" t="s">
        <v>3075</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IF(项目基本情况!B11="自然人","——",ROUND(F34*F35/10000,2))</f>
        <v>40.520000000000003</v>
      </c>
      <c r="D34" s="330" t="s">
        <v>1407</v>
      </c>
      <c r="E34" s="308" t="s">
        <v>1408</v>
      </c>
      <c r="F34" s="331">
        <f>'数据-取费表'!B52</f>
        <v>15</v>
      </c>
      <c r="G34" s="1566"/>
      <c r="H34" s="2924"/>
      <c r="I34" s="1580"/>
      <c r="J34" s="1581"/>
      <c r="K34" s="2929"/>
      <c r="L34" s="2930"/>
      <c r="M34" s="2930"/>
    </row>
    <row r="35" spans="1:18" ht="18" customHeight="1">
      <c r="A35" s="1262"/>
      <c r="B35" s="1260"/>
      <c r="C35" s="29"/>
      <c r="D35" s="333"/>
      <c r="E35" s="308" t="s">
        <v>1412</v>
      </c>
      <c r="F35" s="309">
        <f ca="1">INDIRECT("'数据-取费表'!r"&amp;$G$1)</f>
        <v>27014.799999999999</v>
      </c>
      <c r="G35" s="1566"/>
      <c r="H35" s="2924"/>
      <c r="I35" s="1580"/>
      <c r="J35" s="1581"/>
      <c r="K35" s="2928"/>
      <c r="L35" s="2927"/>
      <c r="M35" s="2927"/>
    </row>
    <row r="36" spans="1:18" ht="18" customHeight="1">
      <c r="A36" s="1261" t="s">
        <v>1007</v>
      </c>
      <c r="B36" s="308" t="s">
        <v>1414</v>
      </c>
      <c r="C36" s="24">
        <f ca="1">ROUND(C29*F36,1)</f>
        <v>345.8</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ROUND(C13*F37,1)</f>
        <v>28</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21.4</v>
      </c>
      <c r="D38" s="1251" t="s">
        <v>1424</v>
      </c>
      <c r="E38" s="1249" t="s">
        <v>1420</v>
      </c>
      <c r="F38" s="1245">
        <f ca="1">INDIRECT("'数据-取费表'!Am"&amp;$G$1)</f>
        <v>1.4999999999999999E-2</v>
      </c>
      <c r="G38" s="1566"/>
      <c r="H38" s="2927"/>
      <c r="I38" s="1580"/>
      <c r="J38" s="1581"/>
      <c r="K38" s="2931"/>
      <c r="L38" s="2927"/>
      <c r="M38" s="2927"/>
    </row>
    <row r="39" spans="1:18" ht="24.6" customHeight="1" thickTop="1">
      <c r="A39" s="1238" t="s">
        <v>999</v>
      </c>
      <c r="B39" s="1253" t="s">
        <v>1448</v>
      </c>
      <c r="C39" s="316">
        <f ca="1">C5-C30</f>
        <v>754</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6041</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9.32</v>
      </c>
      <c r="G41" s="1566"/>
      <c r="H41" s="1351"/>
      <c r="I41" s="1580"/>
      <c r="J41" s="1581"/>
      <c r="K41" s="2768"/>
      <c r="L41" s="1351"/>
      <c r="M41" s="1351"/>
    </row>
    <row r="42" spans="1:18" ht="18" customHeight="1">
      <c r="A42" s="314"/>
      <c r="B42" s="315"/>
      <c r="C42" s="316"/>
      <c r="D42" s="333"/>
      <c r="E42" s="308" t="s">
        <v>1442</v>
      </c>
      <c r="F42" s="318">
        <f ca="1">INDIRECT("'数据-取费表'!v"&amp;$G$1)</f>
        <v>0.03</v>
      </c>
      <c r="G42" s="1566"/>
      <c r="H42" s="1351"/>
      <c r="I42" s="1580"/>
      <c r="J42" s="1581"/>
      <c r="K42" s="2768"/>
      <c r="L42" s="1351"/>
      <c r="M42" s="1351"/>
    </row>
    <row r="43" spans="1:18" ht="18" customHeight="1" thickBot="1">
      <c r="A43" s="340" t="s">
        <v>1001</v>
      </c>
      <c r="B43" s="341" t="s">
        <v>1452</v>
      </c>
      <c r="C43" s="342">
        <f ca="1">ROUND(C40*10000/F43,0)</f>
        <v>1391</v>
      </c>
      <c r="D43" s="343" t="s">
        <v>1453</v>
      </c>
      <c r="E43" s="344" t="s">
        <v>1454</v>
      </c>
      <c r="F43" s="345">
        <f ca="1">INDIRECT("'数据-取费表'!k"&amp;$G$1)</f>
        <v>43436.4</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8" thickBot="1">
      <c r="A46" s="1586" t="s">
        <v>1485</v>
      </c>
      <c r="C46" s="1587">
        <f ca="1">C68-C40</f>
        <v>-22834</v>
      </c>
      <c r="D46" s="1588" t="str">
        <f>C2</f>
        <v>万元</v>
      </c>
      <c r="E46" s="1582"/>
      <c r="F46" s="1582"/>
      <c r="I46" s="1589" t="s">
        <v>1486</v>
      </c>
      <c r="J46" s="1590"/>
      <c r="K46" s="1591"/>
      <c r="L46" s="1592">
        <f ca="1">IF(M47="住宅",0,IF(L48&gt;J51,L60,J60))</f>
        <v>7067</v>
      </c>
      <c r="O46" s="1593" t="s">
        <v>1487</v>
      </c>
      <c r="P46" s="1594" t="s">
        <v>1488</v>
      </c>
      <c r="Q46" s="1595" t="s">
        <v>1489</v>
      </c>
      <c r="R46" s="1595" t="s">
        <v>1490</v>
      </c>
    </row>
    <row r="47" spans="1:18" s="1566" customFormat="1" ht="13.8" thickBot="1">
      <c r="A47" s="1076" t="s">
        <v>1361</v>
      </c>
      <c r="B47" s="1108" t="s">
        <v>1362</v>
      </c>
      <c r="C47" s="1276" t="s">
        <v>1363</v>
      </c>
      <c r="D47" s="1108" t="s">
        <v>1364</v>
      </c>
      <c r="E47" s="1188" t="s">
        <v>1365</v>
      </c>
      <c r="F47" s="1189"/>
      <c r="G47" s="730"/>
      <c r="I47" s="1596" t="s">
        <v>1491</v>
      </c>
      <c r="J47" s="1597" t="s">
        <v>3076</v>
      </c>
      <c r="K47" s="1598" t="s">
        <v>1492</v>
      </c>
      <c r="L47" s="1599">
        <f ca="1">INDIRECT("'数据-取费表'!d"&amp;$G$1)</f>
        <v>40</v>
      </c>
      <c r="M47" s="1562" t="str">
        <f>IF(ISNUMBER(FIND("住宅",C1)),"住宅","非住宅")</f>
        <v>非住宅</v>
      </c>
      <c r="O47" s="1600" t="s">
        <v>1008</v>
      </c>
      <c r="P47" s="1601" t="s">
        <v>1493</v>
      </c>
      <c r="Q47" s="1602">
        <f ca="1">C40+J29</f>
        <v>6041</v>
      </c>
      <c r="R47" s="1602" t="s">
        <v>1494</v>
      </c>
    </row>
    <row r="48" spans="1:18" s="1566" customFormat="1" ht="40.200000000000003" thickBot="1">
      <c r="A48" s="1269" t="s">
        <v>1103</v>
      </c>
      <c r="B48" s="306" t="s">
        <v>1366</v>
      </c>
      <c r="C48" s="1541">
        <f ca="1">C49+C53+C55</f>
        <v>0</v>
      </c>
      <c r="D48" s="1271"/>
      <c r="E48" s="1272"/>
      <c r="F48" s="1092"/>
      <c r="G48" s="730"/>
      <c r="H48" s="731"/>
      <c r="I48" s="1603" t="s">
        <v>1495</v>
      </c>
      <c r="J48" s="1604" t="s">
        <v>3077</v>
      </c>
      <c r="K48" s="1605" t="s">
        <v>1496</v>
      </c>
      <c r="L48" s="1606">
        <f ca="1">INDIRECT("'数据-取费表'!f"&amp;$G$1)</f>
        <v>9.32</v>
      </c>
      <c r="O48" s="1600" t="s">
        <v>1009</v>
      </c>
      <c r="P48" s="1601" t="s">
        <v>1497</v>
      </c>
      <c r="Q48" s="1602">
        <f ca="1">J60</f>
        <v>7067</v>
      </c>
      <c r="R48" s="1602" t="s">
        <v>1498</v>
      </c>
    </row>
    <row r="49" spans="1:18" s="1566" customFormat="1" ht="13.8" thickBot="1">
      <c r="A49" s="1105" t="s">
        <v>1104</v>
      </c>
      <c r="B49" s="1553" t="s">
        <v>1455</v>
      </c>
      <c r="C49" s="1273">
        <f ca="1">ROUND(F49*F51*F50*(1-F52)/10000,0)</f>
        <v>0</v>
      </c>
      <c r="D49" s="1185" t="s">
        <v>2850</v>
      </c>
      <c r="E49" s="1554" t="s">
        <v>1456</v>
      </c>
      <c r="F49" s="1190"/>
      <c r="G49" s="1607"/>
      <c r="H49" s="731"/>
      <c r="I49" s="1603" t="s">
        <v>1499</v>
      </c>
      <c r="J49" s="1608">
        <f>'数据-取费表'!N18</f>
        <v>2008</v>
      </c>
      <c r="K49" s="1605" t="s">
        <v>1500</v>
      </c>
      <c r="L49" s="1609"/>
      <c r="O49" s="1610" t="s">
        <v>1010</v>
      </c>
      <c r="P49" s="1601" t="s">
        <v>1501</v>
      </c>
      <c r="Q49" s="1602">
        <f ca="1">C29</f>
        <v>23056</v>
      </c>
      <c r="R49" s="1602" t="s">
        <v>1494</v>
      </c>
    </row>
    <row r="50" spans="1:18" s="1566" customFormat="1" ht="13.8" thickBot="1">
      <c r="A50" s="1106"/>
      <c r="B50" s="1109"/>
      <c r="C50" s="1277"/>
      <c r="D50" s="1083"/>
      <c r="E50" s="1186" t="s">
        <v>1371</v>
      </c>
      <c r="F50" s="1187">
        <f ca="1">F7</f>
        <v>43436.4</v>
      </c>
      <c r="H50" s="731"/>
      <c r="I50" s="1603" t="s">
        <v>1502</v>
      </c>
      <c r="J50" s="1611">
        <f>SUMPRODUCT((I63:I65=J47)*(J62:L62=J48)*(J63:L65))</f>
        <v>60</v>
      </c>
      <c r="K50" s="1605" t="s">
        <v>1503</v>
      </c>
      <c r="L50" s="1609"/>
      <c r="M50" s="1612"/>
      <c r="O50" s="1610" t="s">
        <v>1011</v>
      </c>
      <c r="P50" s="1601" t="s">
        <v>1504</v>
      </c>
      <c r="Q50" s="1613">
        <f ca="1">J58</f>
        <v>0.628</v>
      </c>
      <c r="R50" s="1602"/>
    </row>
    <row r="51" spans="1:18" s="1566" customFormat="1" ht="13.8" thickBot="1">
      <c r="A51" s="1107"/>
      <c r="B51" s="1109"/>
      <c r="C51" s="1110"/>
      <c r="D51" s="1083"/>
      <c r="E51" s="1111" t="s">
        <v>1372</v>
      </c>
      <c r="F51" s="309">
        <f ca="1">F8</f>
        <v>365</v>
      </c>
      <c r="I51" s="1614" t="s">
        <v>1505</v>
      </c>
      <c r="J51" s="1615">
        <f>IF(J49="",J50,J49+J50-YEAR('数据-取费表'!B2))</f>
        <v>47</v>
      </c>
      <c r="K51" s="1616" t="s">
        <v>1506</v>
      </c>
      <c r="L51" s="1617">
        <f ca="1">ROUND(-PV(INDIRECT("'数据-取费表'!h"&amp;$G$1),J51,(C39-C13*C76),0),0)</f>
        <v>-11627</v>
      </c>
      <c r="M51" s="1618"/>
      <c r="O51" s="1610" t="s">
        <v>1012</v>
      </c>
      <c r="P51" s="1601" t="s">
        <v>1507</v>
      </c>
      <c r="Q51" s="1613">
        <f>J52</f>
        <v>0.08</v>
      </c>
      <c r="R51" s="1602"/>
    </row>
    <row r="52" spans="1:18" s="1566" customFormat="1" ht="13.8" thickBot="1">
      <c r="A52" s="1107"/>
      <c r="B52" s="1109"/>
      <c r="C52" s="1110"/>
      <c r="D52" s="1083"/>
      <c r="E52" s="1111" t="s">
        <v>1373</v>
      </c>
      <c r="F52" s="1184"/>
      <c r="I52" s="1619" t="s">
        <v>1508</v>
      </c>
      <c r="J52" s="3089">
        <v>0.08</v>
      </c>
      <c r="K52" s="1619" t="s">
        <v>1509</v>
      </c>
      <c r="L52" s="1620"/>
      <c r="O52" s="1610" t="s">
        <v>1013</v>
      </c>
      <c r="P52" s="1601" t="s">
        <v>1510</v>
      </c>
      <c r="Q52" s="1602">
        <f ca="1">J53</f>
        <v>9.32</v>
      </c>
      <c r="R52" s="1602" t="s">
        <v>1511</v>
      </c>
    </row>
    <row r="53" spans="1:18" s="1566" customFormat="1" ht="36.6" thickBot="1">
      <c r="A53" s="1313" t="s">
        <v>1105</v>
      </c>
      <c r="B53" s="1555" t="s">
        <v>1374</v>
      </c>
      <c r="C53" s="322">
        <f ca="1">ROUND(IF(F53="押一",C49/12*F11,IF(F53="押二",C49/12*2*F11,IF(F53="押三",C49/12*3*F11,C54*F11))),0)</f>
        <v>0</v>
      </c>
      <c r="D53" s="1548" t="s">
        <v>2856</v>
      </c>
      <c r="E53" s="319" t="s">
        <v>1375</v>
      </c>
      <c r="F53" s="1275"/>
      <c r="I53" s="1621" t="s">
        <v>1512</v>
      </c>
      <c r="J53" s="2384">
        <f ca="1">IF(M47="住宅",IF(D1="——",MAX(J51,L48),MAX(J51,L48-'数据-取费表'!B24)),IF(D1="——",MIN(J51,L48),MIN(J51,L48-'数据-取费表'!B24)))</f>
        <v>9.32</v>
      </c>
      <c r="K53" s="3358" t="s">
        <v>1513</v>
      </c>
      <c r="L53" s="3359"/>
      <c r="O53" s="1600" t="s">
        <v>1014</v>
      </c>
      <c r="P53" s="1601" t="s">
        <v>1514</v>
      </c>
      <c r="Q53" s="1602">
        <f ca="1">Q47+Q48</f>
        <v>13108</v>
      </c>
      <c r="R53" s="1602" t="s">
        <v>1015</v>
      </c>
    </row>
    <row r="54" spans="1:18" s="1566" customFormat="1" ht="24.6"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8" thickBot="1">
      <c r="A55" s="1242" t="s">
        <v>1043</v>
      </c>
      <c r="B55" s="1551" t="s">
        <v>1378</v>
      </c>
      <c r="C55" s="1243"/>
      <c r="D55" s="1548"/>
      <c r="E55" s="1556"/>
      <c r="F55" s="1622"/>
      <c r="I55" s="1625" t="s">
        <v>1516</v>
      </c>
      <c r="J55" s="1626">
        <f ca="1">ROUND(IF(J47="钢混",J57/J50,1-(1-2%)*(J50-J57)/J50),3)</f>
        <v>0.628</v>
      </c>
      <c r="K55" s="1627" t="s">
        <v>1517</v>
      </c>
      <c r="L55" s="1628" t="s">
        <v>1518</v>
      </c>
      <c r="O55" s="1593" t="s">
        <v>1487</v>
      </c>
      <c r="P55" s="1594" t="s">
        <v>1488</v>
      </c>
      <c r="Q55" s="1595" t="s">
        <v>1489</v>
      </c>
      <c r="R55" s="1595" t="s">
        <v>1490</v>
      </c>
    </row>
    <row r="56" spans="1:18" s="1566" customFormat="1" ht="37.200000000000003" thickTop="1" thickBot="1">
      <c r="A56" s="1087">
        <v>2</v>
      </c>
      <c r="B56" s="1088" t="s">
        <v>1379</v>
      </c>
      <c r="C56" s="238">
        <f ca="1">C13</f>
        <v>18675</v>
      </c>
      <c r="D56" s="1629"/>
      <c r="E56" s="1630"/>
      <c r="F56" s="1622"/>
      <c r="I56" s="1631" t="s">
        <v>1519</v>
      </c>
      <c r="J56" s="3088" t="s">
        <v>3078</v>
      </c>
      <c r="K56" s="1603" t="s">
        <v>1520</v>
      </c>
      <c r="L56" s="1606" t="str">
        <f ca="1">IF(L48&lt;J51,"——",L48-J53)</f>
        <v>——</v>
      </c>
      <c r="O56" s="1600" t="s">
        <v>1008</v>
      </c>
      <c r="P56" s="1601" t="s">
        <v>1493</v>
      </c>
      <c r="Q56" s="1602">
        <f ca="1">C40+J29</f>
        <v>6041</v>
      </c>
      <c r="R56" s="1602" t="s">
        <v>1494</v>
      </c>
    </row>
    <row r="57" spans="1:18" s="1566" customFormat="1" ht="24.6" thickBot="1">
      <c r="A57" s="1633"/>
      <c r="B57" s="1080" t="s">
        <v>1443</v>
      </c>
      <c r="C57" s="244">
        <f ca="1">C29</f>
        <v>23056</v>
      </c>
      <c r="D57" s="1634"/>
      <c r="E57" s="1635"/>
      <c r="F57" s="1636"/>
      <c r="I57" s="1637" t="s">
        <v>1521</v>
      </c>
      <c r="J57" s="1638">
        <f ca="1">IF(OR(M47="住宅",J51&lt;L48,J56="是"),"——",J51-L48)</f>
        <v>37.68</v>
      </c>
      <c r="K57" s="1603" t="s">
        <v>1522</v>
      </c>
      <c r="L57" s="1606" t="str">
        <f ca="1">IF(L48&lt;J51,"——",IF(L55="比较法",L49,IF(L55="基准地价",L50,L51)))</f>
        <v>——</v>
      </c>
      <c r="O57" s="1600" t="s">
        <v>1009</v>
      </c>
      <c r="P57" s="1601" t="s">
        <v>1523</v>
      </c>
      <c r="Q57" s="1602">
        <f ca="1">L60</f>
        <v>0</v>
      </c>
      <c r="R57" s="1602" t="s">
        <v>1524</v>
      </c>
    </row>
    <row r="58" spans="1:18" s="1566" customFormat="1" ht="24.6" thickBot="1">
      <c r="A58" s="321" t="s">
        <v>998</v>
      </c>
      <c r="B58" s="1088" t="s">
        <v>1389</v>
      </c>
      <c r="C58" s="322">
        <f ca="1">ROUND(C59+C64+C65+C66,0)</f>
        <v>2351</v>
      </c>
      <c r="D58" s="1090" t="s">
        <v>1390</v>
      </c>
      <c r="E58" s="1091"/>
      <c r="F58" s="1092"/>
      <c r="I58" s="1637" t="s">
        <v>1525</v>
      </c>
      <c r="J58" s="1639">
        <f ca="1">IF(J55&lt;0.4,0.4,J55)</f>
        <v>0.628</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6" thickBot="1">
      <c r="A59" s="1112" t="s">
        <v>1003</v>
      </c>
      <c r="B59" s="1080" t="s">
        <v>1394</v>
      </c>
      <c r="C59" s="2532">
        <f ca="1">ROUND(IF(AND(项目基本情况!B11="自然人",项目基本情况!B10="北京市"),C49*F59/(1+'数据-取费表'!C42),C60+C61+C62),0)</f>
        <v>1977</v>
      </c>
      <c r="D59" s="1093" t="s">
        <v>1395</v>
      </c>
      <c r="E59" s="1094" t="s">
        <v>1396</v>
      </c>
      <c r="F59" s="2531" t="str">
        <f>IF(项目基本情况!B11="企业","——",IF('数据-取费表'!B10="住宅",IF(F49*F50*F51/12/(1+'数据-取费表'!F30)&gt;100000,4%,2.5%),IF(F49*F50*F51/12/(1+'数据-取费表'!F30)&gt;100000,12%,7%)))</f>
        <v>——</v>
      </c>
      <c r="I59" s="1637" t="s">
        <v>1528</v>
      </c>
      <c r="J59" s="1638">
        <f ca="1">IF(OR(M47="住宅",J51&lt;L48,J56="是"),"——",ROUND(C29*J58,0))</f>
        <v>14479</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2"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f ca="1">IF(OR(M47="住宅",J51&lt;L48,J56="是"),"0",ROUND(J59/(1+J52)^J53,0))</f>
        <v>7067</v>
      </c>
      <c r="K60" s="1642" t="s">
        <v>1531</v>
      </c>
      <c r="L60" s="1641">
        <f ca="1">IF(OR(M47="住宅",L48&lt;J51),0,ROUND(L57*(L58/L59-1),0))</f>
        <v>0</v>
      </c>
      <c r="O60" s="1610" t="s">
        <v>1012</v>
      </c>
      <c r="P60" s="1601" t="s">
        <v>1532</v>
      </c>
      <c r="Q60" s="1602" t="e">
        <f ca="1">L58</f>
        <v>#DIV/0!</v>
      </c>
      <c r="R60" s="1602" t="s">
        <v>1533</v>
      </c>
    </row>
    <row r="61" spans="1:18" s="1566" customFormat="1" ht="13.8" thickBot="1">
      <c r="A61" s="1112" t="s">
        <v>1457</v>
      </c>
      <c r="B61" s="1080" t="s">
        <v>1458</v>
      </c>
      <c r="C61" s="24">
        <f ca="1">IF(项目基本情况!B11="自然人","——",IF(D61="按租金收入计税",ROUND(C49*F61/(1+'数据-取费表'!C42),2),IF(D61="按房产原值计税",ROUND(C57*F61*0.7,2),INDIRECT("'数据-取费表'!Aj"&amp;$G$1))))</f>
        <v>1936.7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8" thickBot="1">
      <c r="A62" s="1112" t="s">
        <v>1460</v>
      </c>
      <c r="B62" s="1079" t="s">
        <v>1461</v>
      </c>
      <c r="C62" s="25">
        <f ca="1">IF(项目基本情况!B11="自然人","——",ROUND(F62*F63/10000,2))</f>
        <v>40.520000000000003</v>
      </c>
      <c r="D62" s="1095" t="s">
        <v>1462</v>
      </c>
      <c r="E62" s="1080" t="s">
        <v>1463</v>
      </c>
      <c r="F62" s="331">
        <f t="shared" si="0"/>
        <v>15</v>
      </c>
      <c r="I62" s="1644" t="s">
        <v>1535</v>
      </c>
      <c r="J62" s="1645" t="s">
        <v>1536</v>
      </c>
      <c r="K62" s="1645" t="s">
        <v>1537</v>
      </c>
      <c r="L62" s="1645" t="s">
        <v>1538</v>
      </c>
      <c r="M62" s="1646" t="s">
        <v>1539</v>
      </c>
      <c r="O62" s="1600" t="s">
        <v>1014</v>
      </c>
      <c r="P62" s="1601" t="s">
        <v>1540</v>
      </c>
      <c r="Q62" s="1602">
        <f ca="1">Q56+Q57</f>
        <v>6041</v>
      </c>
      <c r="R62" s="1602" t="s">
        <v>1015</v>
      </c>
    </row>
    <row r="63" spans="1:18" s="1566" customFormat="1" ht="13.8" thickBot="1">
      <c r="A63" s="332"/>
      <c r="B63" s="1086"/>
      <c r="C63" s="29"/>
      <c r="D63" s="1096"/>
      <c r="E63" s="1080" t="s">
        <v>1464</v>
      </c>
      <c r="F63" s="309">
        <f t="shared" ca="1" si="0"/>
        <v>27014.799999999999</v>
      </c>
      <c r="I63" s="1644" t="s">
        <v>1541</v>
      </c>
      <c r="J63" s="1645">
        <v>70</v>
      </c>
      <c r="K63" s="1645">
        <v>50</v>
      </c>
      <c r="L63" s="1645">
        <v>80</v>
      </c>
      <c r="M63" s="1647">
        <v>0.02</v>
      </c>
      <c r="O63" s="1585" t="s">
        <v>1542</v>
      </c>
      <c r="P63" s="1563"/>
      <c r="Q63" s="1563"/>
      <c r="R63" s="1563"/>
    </row>
    <row r="64" spans="1:18" s="1566" customFormat="1" ht="13.8" thickBot="1">
      <c r="A64" s="1112" t="s">
        <v>1465</v>
      </c>
      <c r="B64" s="1080" t="s">
        <v>1466</v>
      </c>
      <c r="C64" s="24">
        <f ca="1">ROUND(C57*F64,1)</f>
        <v>345.8</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8" thickBot="1">
      <c r="A65" s="1112" t="s">
        <v>1468</v>
      </c>
      <c r="B65" s="1080" t="s">
        <v>1418</v>
      </c>
      <c r="C65" s="24">
        <f ca="1">ROUND(C56*F65,1)</f>
        <v>28</v>
      </c>
      <c r="D65" s="1094" t="s">
        <v>1419</v>
      </c>
      <c r="E65" s="1080" t="s">
        <v>1420</v>
      </c>
      <c r="F65" s="336">
        <f t="shared" ca="1" si="0"/>
        <v>1.5E-3</v>
      </c>
      <c r="I65" s="1644" t="s">
        <v>1544</v>
      </c>
      <c r="J65" s="1645">
        <v>40</v>
      </c>
      <c r="K65" s="1645">
        <v>30</v>
      </c>
      <c r="L65" s="1645">
        <v>50</v>
      </c>
      <c r="M65" s="1647">
        <v>0.02</v>
      </c>
      <c r="O65" s="1600" t="s">
        <v>1008</v>
      </c>
      <c r="P65" s="1601" t="s">
        <v>1545</v>
      </c>
      <c r="Q65" s="1602">
        <f ca="1">C40+J29</f>
        <v>6041</v>
      </c>
      <c r="R65" s="1602" t="s">
        <v>1494</v>
      </c>
    </row>
    <row r="66" spans="1:18" s="1566" customFormat="1" ht="16.2" thickBot="1">
      <c r="A66" s="1112" t="s">
        <v>1469</v>
      </c>
      <c r="B66" s="1080" t="s">
        <v>1404</v>
      </c>
      <c r="C66" s="24">
        <f ca="1">ROUND(C48*F66,1)</f>
        <v>0</v>
      </c>
      <c r="D66" s="1094" t="s">
        <v>1470</v>
      </c>
      <c r="E66" s="1080" t="s">
        <v>1387</v>
      </c>
      <c r="F66" s="318">
        <f t="shared" ca="1" si="0"/>
        <v>1.4999999999999999E-2</v>
      </c>
      <c r="O66" s="1600" t="s">
        <v>1009</v>
      </c>
      <c r="P66" s="1601" t="s">
        <v>1523</v>
      </c>
      <c r="Q66" s="1602">
        <f ca="1">L60</f>
        <v>0</v>
      </c>
      <c r="R66" s="1602" t="s">
        <v>1546</v>
      </c>
    </row>
    <row r="67" spans="1:18" s="1566" customFormat="1" ht="24.6" thickBot="1">
      <c r="A67" s="1087" t="s">
        <v>999</v>
      </c>
      <c r="B67" s="1097" t="s">
        <v>1428</v>
      </c>
      <c r="C67" s="322">
        <f ca="1">C48-C58</f>
        <v>-2351</v>
      </c>
      <c r="D67" s="1093" t="s">
        <v>1429</v>
      </c>
      <c r="E67" s="1098"/>
      <c r="F67" s="1099"/>
      <c r="O67" s="1610" t="s">
        <v>1010</v>
      </c>
      <c r="P67" s="1601" t="s">
        <v>1527</v>
      </c>
      <c r="Q67" s="1648">
        <f ca="1">L51</f>
        <v>-11627</v>
      </c>
      <c r="R67" s="1602" t="s">
        <v>1547</v>
      </c>
    </row>
    <row r="68" spans="1:18" s="1566" customFormat="1" ht="16.2" thickBot="1">
      <c r="A68" s="1077" t="s">
        <v>1000</v>
      </c>
      <c r="B68" s="1078" t="s">
        <v>1450</v>
      </c>
      <c r="C68" s="307">
        <f ca="1">ROUND(C67*(1-((1+F70)/(1+F68))^F69)/(F68-F70),0)</f>
        <v>-16793</v>
      </c>
      <c r="D68" s="1095" t="s">
        <v>1434</v>
      </c>
      <c r="E68" s="1080" t="s">
        <v>1435</v>
      </c>
      <c r="F68" s="318">
        <f ca="1">F40</f>
        <v>5.5E-2</v>
      </c>
      <c r="O68" s="1610" t="s">
        <v>1011</v>
      </c>
      <c r="P68" s="1649" t="s">
        <v>1548</v>
      </c>
      <c r="Q68" s="1602">
        <f ca="1">ROUND(Q69-Q70*Q71,0)</f>
        <v>-647</v>
      </c>
      <c r="R68" s="1602" t="s">
        <v>1019</v>
      </c>
    </row>
    <row r="69" spans="1:18" s="1566" customFormat="1" ht="13.8" thickBot="1">
      <c r="A69" s="1081"/>
      <c r="B69" s="1082"/>
      <c r="C69" s="312"/>
      <c r="D69" s="1100" t="s">
        <v>1438</v>
      </c>
      <c r="E69" s="1080" t="s">
        <v>1439</v>
      </c>
      <c r="F69" s="339">
        <f ca="1">F41</f>
        <v>9.32</v>
      </c>
      <c r="O69" s="1610" t="s">
        <v>1016</v>
      </c>
      <c r="P69" s="1649" t="s">
        <v>1549</v>
      </c>
      <c r="Q69" s="1602">
        <f ca="1">C39</f>
        <v>754</v>
      </c>
      <c r="R69" s="1602" t="s">
        <v>1494</v>
      </c>
    </row>
    <row r="70" spans="1:18" s="1566" customFormat="1" ht="13.8" thickBot="1">
      <c r="A70" s="1084"/>
      <c r="B70" s="1085"/>
      <c r="C70" s="316"/>
      <c r="D70" s="1096"/>
      <c r="E70" s="1080" t="s">
        <v>1442</v>
      </c>
      <c r="F70" s="1184"/>
      <c r="O70" s="1610" t="s">
        <v>1017</v>
      </c>
      <c r="P70" s="1649" t="s">
        <v>1550</v>
      </c>
      <c r="Q70" s="1602">
        <f ca="1">C13</f>
        <v>18675</v>
      </c>
      <c r="R70" s="1602" t="s">
        <v>1494</v>
      </c>
    </row>
    <row r="71" spans="1:18" s="1566" customFormat="1" ht="13.8" thickBot="1">
      <c r="A71" s="1101" t="s">
        <v>1001</v>
      </c>
      <c r="B71" s="1102" t="s">
        <v>1452</v>
      </c>
      <c r="C71" s="342">
        <f ca="1">ROUND(C68*10000/F71,0)</f>
        <v>-3866</v>
      </c>
      <c r="D71" s="1103" t="s">
        <v>1453</v>
      </c>
      <c r="E71" s="1104" t="s">
        <v>1454</v>
      </c>
      <c r="F71" s="345">
        <f ca="1">F43</f>
        <v>43436.4</v>
      </c>
      <c r="O71" s="1610" t="s">
        <v>1018</v>
      </c>
      <c r="P71" s="1649" t="s">
        <v>1551</v>
      </c>
      <c r="Q71" s="1613">
        <f ca="1">C76</f>
        <v>7.4999999999999997E-2</v>
      </c>
      <c r="R71" s="1602"/>
    </row>
    <row r="72" spans="1:18" s="1566" customFormat="1" ht="13.8" thickBot="1">
      <c r="B72" s="734"/>
      <c r="C72" s="734"/>
      <c r="O72" s="1610" t="s">
        <v>1012</v>
      </c>
      <c r="P72" s="1601" t="s">
        <v>1529</v>
      </c>
      <c r="Q72" s="1613">
        <f>L52</f>
        <v>0</v>
      </c>
      <c r="R72" s="1602"/>
    </row>
    <row r="73" spans="1:18" ht="16.2" thickBot="1">
      <c r="A73" s="1566"/>
      <c r="B73" s="734"/>
      <c r="C73" s="734"/>
      <c r="D73" s="1566"/>
      <c r="E73" s="1566"/>
      <c r="F73" s="1566"/>
      <c r="O73" s="1610" t="s">
        <v>1013</v>
      </c>
      <c r="P73" s="1601" t="s">
        <v>1532</v>
      </c>
      <c r="Q73" s="1602" t="e">
        <f ca="1">L58</f>
        <v>#DIV/0!</v>
      </c>
      <c r="R73" s="1602" t="s">
        <v>1533</v>
      </c>
    </row>
    <row r="74" spans="1:18" ht="13.8"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8" thickBot="1">
      <c r="A75" s="1566"/>
      <c r="B75" s="346" t="s">
        <v>1471</v>
      </c>
      <c r="C75" s="347">
        <f ca="1">ROUND(C13*C76,0)</f>
        <v>1401</v>
      </c>
      <c r="D75" s="1566"/>
      <c r="E75" s="1566"/>
      <c r="F75" s="1566"/>
      <c r="K75" s="1584"/>
      <c r="L75" s="1566"/>
      <c r="O75" s="1600" t="s">
        <v>1014</v>
      </c>
      <c r="P75" s="1601" t="s">
        <v>1514</v>
      </c>
      <c r="Q75" s="1602">
        <f ca="1">Q65+Q66</f>
        <v>6041</v>
      </c>
      <c r="R75" s="1602" t="s">
        <v>1015</v>
      </c>
    </row>
    <row r="76" spans="1:18">
      <c r="B76" s="348" t="s">
        <v>1472</v>
      </c>
      <c r="C76" s="349">
        <f ca="1">INDIRECT("'数据-取费表'!j"&amp;$G$1)</f>
        <v>7.4999999999999997E-2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-0.8580000000000001</v>
      </c>
    </row>
    <row r="80" spans="1:18">
      <c r="B80" s="346" t="s">
        <v>1476</v>
      </c>
      <c r="C80" s="280">
        <f ca="1">ROUND(C75/C39,3)</f>
        <v>1.8580000000000001</v>
      </c>
    </row>
    <row r="81" spans="2:3">
      <c r="B81" s="276" t="s">
        <v>1477</v>
      </c>
      <c r="C81" s="244"/>
    </row>
    <row r="82" spans="2:3">
      <c r="B82" s="279" t="s">
        <v>1478</v>
      </c>
      <c r="C82" s="281">
        <f ca="1">1-C83</f>
        <v>-2.0910000000000002</v>
      </c>
    </row>
    <row r="83" spans="2:3">
      <c r="B83" s="279" t="s">
        <v>1479</v>
      </c>
      <c r="C83" s="280">
        <f ca="1">ROUND(C13/C40,3)</f>
        <v>3.0910000000000002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6" priority="56">
      <formula>$L$48&gt;$J$51</formula>
    </cfRule>
  </conditionalFormatting>
  <conditionalFormatting sqref="I55 I60">
    <cfRule type="expression" dxfId="105" priority="57">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0" customWidth="1"/>
    <col min="12" max="12" width="16.33203125" style="264" customWidth="1"/>
    <col min="13" max="13" width="13" style="264" customWidth="1"/>
    <col min="14" max="14" width="13.77734375" style="1566" customWidth="1"/>
    <col min="15" max="15" width="5.109375" style="1566" customWidth="1"/>
    <col min="16" max="16" width="25.77734375" style="1566" customWidth="1"/>
    <col min="17" max="17" width="13.77734375" style="1566" customWidth="1"/>
    <col min="18" max="18" width="20.44140625" style="1566" customWidth="1"/>
    <col min="19" max="19" width="13.21875" style="1566" customWidth="1"/>
    <col min="20" max="37" width="9" style="1566"/>
    <col min="38" max="16384" width="9" style="264"/>
  </cols>
  <sheetData>
    <row r="1" spans="1:37" s="299" customFormat="1" ht="21.6">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0</v>
      </c>
      <c r="D5" s="1546" t="s">
        <v>1566</v>
      </c>
      <c r="E5" s="1202"/>
      <c r="F5" s="1203"/>
      <c r="G5" s="1566"/>
      <c r="H5" s="305">
        <v>1</v>
      </c>
      <c r="I5" s="306" t="s">
        <v>1565</v>
      </c>
      <c r="J5" s="1201">
        <f ca="1">J6+J10+J12</f>
        <v>0</v>
      </c>
      <c r="K5" s="1546" t="s">
        <v>1566</v>
      </c>
      <c r="L5" s="1202"/>
      <c r="M5" s="1203"/>
    </row>
    <row r="6" spans="1:37" ht="18" customHeight="1">
      <c r="A6" s="1200" t="s">
        <v>1003</v>
      </c>
      <c r="B6" s="3360" t="s">
        <v>1368</v>
      </c>
      <c r="C6" s="1205">
        <f ca="1">ROUND(F6*F8*F7*(1-F9),0)</f>
        <v>0</v>
      </c>
      <c r="D6" s="160" t="s">
        <v>2846</v>
      </c>
      <c r="E6" s="308" t="s">
        <v>1370</v>
      </c>
      <c r="F6" s="309">
        <f ca="1">INDIRECT("'数据-取费表'!u"&amp;$G$1)</f>
        <v>0</v>
      </c>
      <c r="G6" s="1566"/>
      <c r="H6" s="1200" t="s">
        <v>1003</v>
      </c>
      <c r="I6" s="3360" t="s">
        <v>1368</v>
      </c>
      <c r="J6" s="307">
        <f ca="1">ROUND(M6*M8*M7*(1-M9),0)</f>
        <v>0</v>
      </c>
      <c r="K6" s="1558" t="s">
        <v>2847</v>
      </c>
      <c r="L6" s="308" t="s">
        <v>1370</v>
      </c>
      <c r="M6" s="309">
        <f ca="1">INDIRECT("'数据-取费表'!z"&amp;$G$1)</f>
        <v>0</v>
      </c>
    </row>
    <row r="7" spans="1:37" ht="18" customHeight="1">
      <c r="A7" s="1204"/>
      <c r="B7" s="3361"/>
      <c r="C7" s="1206"/>
      <c r="D7" s="313"/>
      <c r="E7" s="1207" t="s">
        <v>1371</v>
      </c>
      <c r="F7" s="309">
        <f ca="1">IF(INDIRECT("'数据-取费表'!ah"&amp;$G$1)="",INDIRECT("'数据-取费表'!k"&amp;$G$1),INDIRECT("'数据-取费表'!ah"&amp;$G$1))</f>
        <v>0</v>
      </c>
      <c r="G7" s="1566"/>
      <c r="H7" s="310"/>
      <c r="I7" s="3361"/>
      <c r="J7" s="312"/>
      <c r="K7" s="313"/>
      <c r="L7" s="308" t="s">
        <v>1371</v>
      </c>
      <c r="M7" s="309">
        <f ca="1">F7</f>
        <v>0</v>
      </c>
    </row>
    <row r="8" spans="1:37" ht="18" customHeight="1">
      <c r="A8" s="310"/>
      <c r="B8" s="3361"/>
      <c r="C8" s="312"/>
      <c r="D8" s="313"/>
      <c r="E8" s="308" t="s">
        <v>1372</v>
      </c>
      <c r="F8" s="309">
        <f ca="1">INDIRECT("'数据-取费表'!ai"&amp;$G$1)</f>
        <v>0</v>
      </c>
      <c r="G8" s="1566"/>
      <c r="H8" s="310"/>
      <c r="I8" s="3361"/>
      <c r="J8" s="312"/>
      <c r="K8" s="313"/>
      <c r="L8" s="308" t="s">
        <v>1372</v>
      </c>
      <c r="M8" s="309">
        <f ca="1">INDIRECT("'数据-取费表'!ai"&amp;$G$1)</f>
        <v>0</v>
      </c>
    </row>
    <row r="9" spans="1:37" ht="18" customHeight="1">
      <c r="A9" s="310"/>
      <c r="B9" s="3362"/>
      <c r="C9" s="312"/>
      <c r="D9" s="313"/>
      <c r="E9" s="308" t="s">
        <v>1373</v>
      </c>
      <c r="F9" s="318">
        <f ca="1">INDIRECT("'数据-取费表'!w"&amp;$G$1)</f>
        <v>0</v>
      </c>
      <c r="G9" s="1566"/>
      <c r="H9" s="310"/>
      <c r="I9" s="3362"/>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2856</v>
      </c>
      <c r="E10" s="319" t="s">
        <v>1375</v>
      </c>
      <c r="F10" s="1275"/>
      <c r="G10" s="1566"/>
      <c r="H10" s="1200" t="s">
        <v>1007</v>
      </c>
      <c r="I10" s="1547" t="s">
        <v>1374</v>
      </c>
      <c r="J10" s="307">
        <f ca="1">ROUND(IF(M10="押一",J6/12*M11,IF(M10="押二",J6/12*2*M11,IF(M10="押三",J6/12*3*M11,J11*M11))),0)</f>
        <v>0</v>
      </c>
      <c r="K10" s="1559" t="s">
        <v>2858</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IF(K19="按租金收入计税",ROUND(J6*M19/(1+'数据-取费表'!C42),0),ROUND(C29*M19*0.7,0))</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ROUND(M20*M21,0)</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15</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ROUND(C13*F37,0)</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1"/>
      <c r="I41" s="1580"/>
      <c r="J41" s="1581"/>
      <c r="K41" s="2768"/>
      <c r="L41" s="1351"/>
      <c r="M41" s="1351"/>
    </row>
    <row r="42" spans="1:18" ht="18" customHeight="1">
      <c r="A42" s="314"/>
      <c r="B42" s="315"/>
      <c r="C42" s="316"/>
      <c r="D42" s="333"/>
      <c r="E42" s="308" t="s">
        <v>1442</v>
      </c>
      <c r="F42" s="318">
        <f ca="1">INDIRECT("'数据-取费表'!v"&amp;$G$1)</f>
        <v>0</v>
      </c>
      <c r="G42" s="1566"/>
      <c r="H42" s="1351"/>
      <c r="I42" s="1580"/>
      <c r="J42" s="1581"/>
      <c r="K42" s="2768"/>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8"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8"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40.200000000000003"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8" thickBot="1">
      <c r="A49" s="1105" t="s">
        <v>1104</v>
      </c>
      <c r="B49" s="1553" t="s">
        <v>1455</v>
      </c>
      <c r="C49" s="1273">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8"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8"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8"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70" t="s">
        <v>1105</v>
      </c>
      <c r="B53" s="329" t="s">
        <v>1374</v>
      </c>
      <c r="C53" s="322">
        <f ca="1">ROUND(IF(F53="押一",C49/12*F11,IF(F53="押二",C49/12*2*F11,IF(F53="押三",C49/12*3*F11,C54*F11))),0)</f>
        <v>0</v>
      </c>
      <c r="D53" s="1548" t="s">
        <v>2859</v>
      </c>
      <c r="E53" s="319" t="s">
        <v>1375</v>
      </c>
      <c r="F53" s="1275"/>
      <c r="I53" s="1621" t="s">
        <v>1512</v>
      </c>
      <c r="J53" s="2384">
        <f ca="1">IF(M47="住宅",IF(D1="——",MAX(J51,L48),MAX(J51,L48-'数据-取费表'!B24)),IF(D1="——",MIN(J51,L48),MIN(J51,L48-'数据-取费表'!B24)))</f>
        <v>0</v>
      </c>
      <c r="K53" s="3358" t="s">
        <v>1513</v>
      </c>
      <c r="L53" s="3359"/>
      <c r="O53" s="1600" t="s">
        <v>1014</v>
      </c>
      <c r="P53" s="1601" t="s">
        <v>1514</v>
      </c>
      <c r="Q53" s="1602" t="e">
        <f ca="1">Q47+Q48</f>
        <v>#DIV/0!</v>
      </c>
      <c r="R53" s="1602" t="s">
        <v>1015</v>
      </c>
    </row>
    <row r="54" spans="1:18" s="1566" customFormat="1" ht="13.8"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8" thickBot="1">
      <c r="A55" s="1242" t="s">
        <v>1043</v>
      </c>
      <c r="B55" s="1551" t="s">
        <v>1378</v>
      </c>
      <c r="C55" s="1243"/>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6" thickBot="1">
      <c r="A57" s="1633"/>
      <c r="B57" s="1080" t="s">
        <v>1443</v>
      </c>
      <c r="C57" s="244">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6" thickBot="1">
      <c r="A58" s="321" t="s">
        <v>998</v>
      </c>
      <c r="B58" s="1088" t="s">
        <v>1389</v>
      </c>
      <c r="C58" s="322">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6"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2"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8" thickBot="1">
      <c r="A61" s="1112" t="s">
        <v>1457</v>
      </c>
      <c r="B61" s="1080" t="s">
        <v>1458</v>
      </c>
      <c r="C61" s="24">
        <f ca="1">IF(项目基本情况!B11="自然人","——",IF(D61="按租金收入计税",ROUND(C49*F61/(1+'数据-取费表'!C42),0),IF(D61="按房产原值计税",ROUND(C57*F61*0.7,0),INDIRECT("'数据-取费表'!Aj"&amp;$G$1))))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8" thickBot="1">
      <c r="A62" s="1112" t="s">
        <v>1460</v>
      </c>
      <c r="B62" s="1079" t="s">
        <v>1461</v>
      </c>
      <c r="C62" s="25">
        <f ca="1">IF(项目基本情况!B11="自然人","——",ROUND(F62*F63,0))</f>
        <v>0</v>
      </c>
      <c r="D62" s="1095" t="s">
        <v>1462</v>
      </c>
      <c r="E62" s="1080" t="s">
        <v>1463</v>
      </c>
      <c r="F62" s="331">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8"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8" thickBot="1">
      <c r="A64" s="1112" t="s">
        <v>1465</v>
      </c>
      <c r="B64" s="1080" t="s">
        <v>1466</v>
      </c>
      <c r="C64" s="24">
        <f ca="1">ROUND(C57*F64,0)</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8" thickBot="1">
      <c r="A65" s="1112" t="s">
        <v>1468</v>
      </c>
      <c r="B65" s="1080" t="s">
        <v>1418</v>
      </c>
      <c r="C65" s="24">
        <f ca="1">ROUND(C56*F65,0)</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2" thickBot="1">
      <c r="A66" s="1112" t="s">
        <v>1469</v>
      </c>
      <c r="B66" s="1080" t="s">
        <v>1404</v>
      </c>
      <c r="C66" s="24">
        <f ca="1">ROUND(C48*F66,0)</f>
        <v>0</v>
      </c>
      <c r="D66" s="1094" t="s">
        <v>1470</v>
      </c>
      <c r="E66" s="1080" t="s">
        <v>1387</v>
      </c>
      <c r="F66" s="318">
        <f t="shared" ca="1" si="0"/>
        <v>0</v>
      </c>
      <c r="O66" s="1600" t="s">
        <v>1009</v>
      </c>
      <c r="P66" s="1601" t="s">
        <v>1523</v>
      </c>
      <c r="Q66" s="1602" t="e">
        <f ca="1">L60</f>
        <v>#DIV/0!</v>
      </c>
      <c r="R66" s="1602" t="s">
        <v>1546</v>
      </c>
    </row>
    <row r="67" spans="1:18" s="1566" customFormat="1" ht="24.6"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2"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8" thickBot="1">
      <c r="A69" s="1081"/>
      <c r="B69" s="1082"/>
      <c r="C69" s="312"/>
      <c r="D69" s="1100" t="s">
        <v>1438</v>
      </c>
      <c r="E69" s="1080" t="s">
        <v>1439</v>
      </c>
      <c r="F69" s="339">
        <f ca="1">F41</f>
        <v>0</v>
      </c>
      <c r="O69" s="1610" t="s">
        <v>1016</v>
      </c>
      <c r="P69" s="1649" t="s">
        <v>1549</v>
      </c>
      <c r="Q69" s="1602">
        <f ca="1">C39</f>
        <v>0</v>
      </c>
      <c r="R69" s="1602" t="s">
        <v>1494</v>
      </c>
    </row>
    <row r="70" spans="1:18" s="1566" customFormat="1" ht="13.8" thickBot="1">
      <c r="A70" s="1084"/>
      <c r="B70" s="1085"/>
      <c r="C70" s="316"/>
      <c r="D70" s="1096"/>
      <c r="E70" s="1080" t="s">
        <v>1442</v>
      </c>
      <c r="F70" s="1184">
        <f ca="1">F42</f>
        <v>0</v>
      </c>
      <c r="O70" s="1610" t="s">
        <v>1017</v>
      </c>
      <c r="P70" s="1649" t="s">
        <v>1550</v>
      </c>
      <c r="Q70" s="1602">
        <f ca="1">C13</f>
        <v>0</v>
      </c>
      <c r="R70" s="1602" t="s">
        <v>1494</v>
      </c>
    </row>
    <row r="71" spans="1:18" s="1566" customFormat="1" ht="13.8" thickBot="1">
      <c r="A71" s="1101" t="s">
        <v>1001</v>
      </c>
      <c r="B71" s="1102" t="s">
        <v>1452</v>
      </c>
      <c r="C71" s="342" t="e">
        <f ca="1">ROUND(C68/F71,0)</f>
        <v>#DIV/0!</v>
      </c>
      <c r="D71" s="1103" t="s">
        <v>1453</v>
      </c>
      <c r="E71" s="1104" t="s">
        <v>1454</v>
      </c>
      <c r="F71" s="345">
        <f ca="1">F43</f>
        <v>0</v>
      </c>
      <c r="O71" s="1610" t="s">
        <v>1018</v>
      </c>
      <c r="P71" s="1649" t="s">
        <v>1551</v>
      </c>
      <c r="Q71" s="1613">
        <f ca="1">C76</f>
        <v>0</v>
      </c>
      <c r="R71" s="1602"/>
    </row>
    <row r="72" spans="1:18" s="1566" customFormat="1" ht="13.8" thickBot="1">
      <c r="B72" s="734"/>
      <c r="C72" s="734"/>
      <c r="O72" s="1610" t="s">
        <v>1012</v>
      </c>
      <c r="P72" s="1601" t="s">
        <v>1529</v>
      </c>
      <c r="Q72" s="1613">
        <f>L52</f>
        <v>0</v>
      </c>
      <c r="R72" s="1602"/>
    </row>
    <row r="73" spans="1:18" ht="16.2" thickBot="1">
      <c r="A73" s="1566"/>
      <c r="B73" s="734"/>
      <c r="C73" s="734"/>
      <c r="D73" s="1566"/>
      <c r="E73" s="1566"/>
      <c r="F73" s="1566"/>
      <c r="O73" s="1610" t="s">
        <v>1013</v>
      </c>
      <c r="P73" s="1601" t="s">
        <v>1532</v>
      </c>
      <c r="Q73" s="1602" t="e">
        <f ca="1">L58</f>
        <v>#DIV/0!</v>
      </c>
      <c r="R73" s="1602" t="s">
        <v>1533</v>
      </c>
    </row>
    <row r="74" spans="1:18" ht="13.8"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8"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0" customWidth="1"/>
    <col min="2" max="16384" width="9" style="1660"/>
  </cols>
  <sheetData>
    <row r="1" spans="1:1" ht="22.8">
      <c r="A1" s="1659" t="s">
        <v>1576</v>
      </c>
    </row>
    <row r="2" spans="1:1">
      <c r="A2" s="1661"/>
    </row>
    <row r="3" spans="1:1" ht="17.399999999999999">
      <c r="A3" s="1662" t="str">
        <f>项目基本情况!B5&amp;"："</f>
        <v>：</v>
      </c>
    </row>
    <row r="4" spans="1:1" ht="17.399999999999999">
      <c r="A4" s="1663" t="str">
        <f>"受贵公司委托，我公司对"&amp;项目基本情况!S1&amp;"进行了预评估。"</f>
        <v>受贵公司委托，我公司对房地产市场价值进行了预评估。</v>
      </c>
    </row>
    <row r="5" spans="1:1" ht="17.399999999999999">
      <c r="A5" s="1664" t="s">
        <v>1577</v>
      </c>
    </row>
    <row r="6" spans="1:1" ht="17.399999999999999">
      <c r="A6" s="1665" t="s">
        <v>1578</v>
      </c>
    </row>
    <row r="7" spans="1:1" ht="52.2">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估价对象为房地产，为所有。根据《国有土地使用证》[]，估价对象（分摊）出让国有建设用地使用权面积为27014.8平方米，建筑面积为43436.4平方米。</v>
      </c>
    </row>
    <row r="8" spans="1:1" ht="54.6">
      <c r="A8" s="1666" t="s">
        <v>1579</v>
      </c>
    </row>
    <row r="9" spans="1:1" ht="17.399999999999999">
      <c r="A9" s="1665" t="s">
        <v>1580</v>
      </c>
    </row>
    <row r="10" spans="1:1" ht="52.2">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估价对象为房地产,属开发建设的，该项目尚在开发建设中。根据《国有土地使用证》[]，估价对象（分摊）出让国有建设用地使用权面积为27014.8平方米，规划建筑面积为43436.4平方米。</v>
      </c>
    </row>
    <row r="11" spans="1:1" ht="72">
      <c r="A11" s="1666" t="s">
        <v>1581</v>
      </c>
    </row>
    <row r="12" spans="1:1" ht="17.399999999999999">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8" t="s">
        <v>1583</v>
      </c>
    </row>
    <row r="15" spans="1:1" ht="17.399999999999999">
      <c r="A15" s="1669" t="str">
        <f>TEXT(项目基本情况!D3,"yyyy年m月d日;;")&amp;IF(项目基本情况!D3=项目基本情况!B3,"（评估专业人员实地查勘之日）","")</f>
        <v>2021年12月31日</v>
      </c>
    </row>
    <row r="16" spans="1:1" ht="17.399999999999999">
      <c r="A16" s="1668" t="s">
        <v>1584</v>
      </c>
    </row>
    <row r="17" spans="1:1" ht="69.599999999999994">
      <c r="A17" s="1663" t="s">
        <v>1585</v>
      </c>
    </row>
    <row r="18" spans="1:1" ht="69.59999999999999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63" t="str">
        <f>IF(项目基本情况!B9="房地产市场价值","——",IF(项目基本情况!E8="房地产抵押价值",定义!C54,IF(项目基本情况!E8="已注销",定义!C55,定义!C56)))</f>
        <v>——</v>
      </c>
    </row>
    <row r="21" spans="1:1" ht="17.399999999999999">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63" t="str">
        <f>IF(项目基本情况!B9="房地产市场价值","——",IF(项目基本情况!E9="——","",定义!C57))</f>
        <v>——</v>
      </c>
    </row>
    <row r="23" spans="1:1" ht="17.399999999999999">
      <c r="A23" s="1668" t="s">
        <v>1574</v>
      </c>
    </row>
    <row r="24" spans="1:1" ht="17.399999999999999">
      <c r="A24" s="1670" t="str">
        <f>"本次评估采用的主估价方法为"&amp;结果表!K4&amp;"和"&amp;结果表!L4&amp;"。"</f>
        <v>本次评估采用的主估价方法为成本法和收益法。</v>
      </c>
    </row>
    <row r="25" spans="1:1" ht="17.399999999999999">
      <c r="A25" s="1670"/>
    </row>
    <row r="26" spans="1:1" ht="17.399999999999999">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20656</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4755</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5212368</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4.0500000000000001E-2</v>
      </c>
      <c r="G7" s="225"/>
    </row>
    <row r="8" spans="1:8" s="229" customFormat="1">
      <c r="A8" s="885" t="s">
        <v>2162</v>
      </c>
      <c r="B8" s="221" t="s">
        <v>2163</v>
      </c>
      <c r="C8" s="226">
        <f ca="1">IF(G8="已包含在土地购买价格中",0,C9+C10)</f>
        <v>5212368</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2166</v>
      </c>
      <c r="C10" s="231">
        <f ca="1">ROUND(D10*E10,0)</f>
        <v>5212368</v>
      </c>
      <c r="D10" s="953">
        <f ca="1">IF(B1="",'数据-汇总表'!E6,IF(INDIRECT("'数据-取费表'!c"&amp;$G$1)="住宅",INDIRECT("'数据-取费表'!s"&amp;$G$1),INDIRECT("'数据-取费表'!k"&amp;$G$1)+INDIRECT("'数据-取费表'!s"&amp;$G$1)))</f>
        <v>43436.4</v>
      </c>
      <c r="E10" s="231">
        <f>'数据-取费表'!B28</f>
        <v>120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8687280</v>
      </c>
      <c r="D19" s="957">
        <f ca="1">D9+D10</f>
        <v>43436.4</v>
      </c>
      <c r="E19" s="217">
        <f>'数据-取费表'!B31</f>
        <v>200</v>
      </c>
      <c r="F19" s="237"/>
      <c r="G19" s="2040"/>
    </row>
    <row r="20" spans="1:7" s="220" customFormat="1" ht="13.5" customHeight="1">
      <c r="A20" s="261" t="s">
        <v>2260</v>
      </c>
      <c r="B20" s="216" t="s">
        <v>2261</v>
      </c>
      <c r="C20" s="238">
        <f ca="1">ROUND((C5+C19)*F20,0)</f>
        <v>277993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1247664</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463339</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772232</v>
      </c>
      <c r="D24" s="244"/>
      <c r="E24" s="244"/>
      <c r="F24" s="245"/>
      <c r="G24" s="246" t="s">
        <v>2272</v>
      </c>
    </row>
    <row r="25" spans="1:7" s="220" customFormat="1" ht="24">
      <c r="A25" s="887" t="s">
        <v>2162</v>
      </c>
      <c r="B25" s="221" t="s">
        <v>2273</v>
      </c>
      <c r="C25" s="1289">
        <f ca="1">ROUND(IF('数据-取费表'!B22&lt;=1,C20*F22*'数据-取费表'!B22/2,C20*(POWER((1+F22),'数据-取费表'!B22/2)-1)),0)</f>
        <v>12093</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6.4">
      <c r="A27" s="261" t="s">
        <v>2198</v>
      </c>
      <c r="B27" s="250" t="s">
        <v>2199</v>
      </c>
      <c r="C27" s="251">
        <f ca="1">C28</f>
        <v>2835528</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ROUND((C5+C19+C20)*F27,0)</f>
        <v>2835528</v>
      </c>
      <c r="D28" s="241"/>
      <c r="E28" s="242"/>
      <c r="F28" s="252"/>
      <c r="G28" s="253"/>
    </row>
    <row r="29" spans="1:7" s="220" customFormat="1" ht="13.5" customHeight="1">
      <c r="A29" s="887"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19809973</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167555913</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152027400</v>
      </c>
      <c r="D34" s="223"/>
      <c r="E34" s="226"/>
      <c r="F34" s="263"/>
      <c r="G34" s="225"/>
    </row>
    <row r="35" spans="1:7" ht="13.5" customHeight="1">
      <c r="A35" s="887" t="s">
        <v>796</v>
      </c>
      <c r="B35" s="221" t="s">
        <v>2213</v>
      </c>
      <c r="C35" s="226">
        <f ca="1">ROUND(C34*F35,0)</f>
        <v>4560822</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8687280</v>
      </c>
      <c r="D37" s="223">
        <f ca="1">D19</f>
        <v>43436.4</v>
      </c>
      <c r="E37" s="255">
        <f>'数据-取费表'!B35</f>
        <v>200</v>
      </c>
      <c r="F37" s="265"/>
      <c r="G37" s="267"/>
    </row>
    <row r="38" spans="1:7" ht="13.5" customHeight="1">
      <c r="A38" s="887" t="s">
        <v>799</v>
      </c>
      <c r="B38" s="221" t="s">
        <v>2219</v>
      </c>
      <c r="C38" s="226">
        <f ca="1">ROUND(C34*F38,0)</f>
        <v>2280411</v>
      </c>
      <c r="D38" s="226"/>
      <c r="E38" s="226"/>
      <c r="F38" s="265">
        <f>'数据-取费表'!B36</f>
        <v>1.4999999999999999E-2</v>
      </c>
      <c r="G38" s="225" t="s">
        <v>2214</v>
      </c>
    </row>
    <row r="39" spans="1:7" s="220" customFormat="1" ht="13.5" customHeight="1">
      <c r="A39" s="261" t="s">
        <v>2220</v>
      </c>
      <c r="B39" s="216" t="s">
        <v>2221</v>
      </c>
      <c r="C39" s="238">
        <f ca="1">ROUND(C33*F20,0)</f>
        <v>3351118</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7434456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7288682</v>
      </c>
      <c r="D42" s="244"/>
      <c r="E42" s="244"/>
      <c r="F42" s="245"/>
      <c r="G42" s="3350" t="s">
        <v>2277</v>
      </c>
    </row>
    <row r="43" spans="1:7" ht="13.5" customHeight="1">
      <c r="A43" s="887" t="s">
        <v>792</v>
      </c>
      <c r="B43" s="221" t="s">
        <v>2231</v>
      </c>
      <c r="C43" s="244">
        <f ca="1">ROUND(IF('数据-取费表'!B22&lt;=1,C39*F22*'数据-取费表'!B20/2,C39*(POWER((1+F22),'数据-取费表'!B20/2)-1)),0)</f>
        <v>145774</v>
      </c>
      <c r="D43" s="244"/>
      <c r="E43" s="244"/>
      <c r="F43" s="245"/>
      <c r="G43" s="3351"/>
    </row>
    <row r="44" spans="1:7" ht="13.5" customHeight="1">
      <c r="A44" s="887" t="s">
        <v>793</v>
      </c>
      <c r="B44" s="221" t="s">
        <v>2232</v>
      </c>
      <c r="C44" s="244">
        <f ca="1">ROUND(IF('数据-取费表'!B22&lt;=1,C40*F22*'数据-取费表'!B20/2,C40*(POWER((1+F22),'数据-取费表'!B20/2)-1)),4)</f>
        <v>8.9999999999999998E-4</v>
      </c>
      <c r="D44" s="244"/>
      <c r="E44" s="244"/>
      <c r="F44" s="245"/>
      <c r="G44" s="3352"/>
    </row>
    <row r="45" spans="1:7" s="220" customFormat="1" ht="13.5" customHeight="1">
      <c r="A45" s="261" t="s">
        <v>2233</v>
      </c>
      <c r="B45" s="250" t="s">
        <v>2199</v>
      </c>
      <c r="C45" s="251">
        <f ca="1">C46</f>
        <v>34181406</v>
      </c>
      <c r="D45" s="241">
        <f ca="1">C47</f>
        <v>4.0000000000000001E-3</v>
      </c>
      <c r="E45" s="242" t="s">
        <v>2225</v>
      </c>
      <c r="F45" s="2535">
        <f ca="1">F27</f>
        <v>0.2</v>
      </c>
      <c r="G45" s="253" t="s">
        <v>2234</v>
      </c>
    </row>
    <row r="46" spans="1:7" s="220" customFormat="1" ht="13.5" customHeight="1">
      <c r="A46" s="887" t="s">
        <v>791</v>
      </c>
      <c r="B46" s="254" t="s">
        <v>2235</v>
      </c>
      <c r="C46" s="255">
        <f ca="1">ROUND((C33+C39)*F27,0)</f>
        <v>34181406</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230552064</v>
      </c>
      <c r="D49" s="238"/>
      <c r="E49" s="238"/>
      <c r="F49" s="270"/>
      <c r="G49" s="240" t="s">
        <v>2240</v>
      </c>
    </row>
    <row r="50" spans="1:7" s="264" customFormat="1">
      <c r="A50" s="261" t="s">
        <v>2241</v>
      </c>
      <c r="B50" s="216" t="s">
        <v>2242</v>
      </c>
      <c r="C50" s="238"/>
      <c r="D50" s="238"/>
      <c r="E50" s="238"/>
      <c r="F50" s="270">
        <f>IF('数据-取费表'!B24=0,'数据-取费表'!N16,1)</f>
        <v>0.81</v>
      </c>
      <c r="G50" s="253"/>
    </row>
    <row r="51" spans="1:7" ht="16.5" customHeight="1">
      <c r="A51" s="261" t="s">
        <v>2244</v>
      </c>
      <c r="B51" s="216" t="s">
        <v>2279</v>
      </c>
      <c r="C51" s="238">
        <f ca="1">ROUND(C49*F50,0)</f>
        <v>186747172</v>
      </c>
      <c r="D51" s="238"/>
      <c r="E51" s="238"/>
      <c r="F51" s="270"/>
      <c r="G51" s="240" t="s">
        <v>2246</v>
      </c>
    </row>
    <row r="52" spans="1:7" s="214" customFormat="1" ht="16.8" thickBot="1">
      <c r="A52" s="271" t="s">
        <v>2247</v>
      </c>
      <c r="B52" s="272"/>
      <c r="C52" s="273">
        <f ca="1">C31+C51</f>
        <v>206557145</v>
      </c>
      <c r="D52" s="272"/>
      <c r="E52" s="272"/>
      <c r="F52" s="272"/>
      <c r="G52" s="274"/>
    </row>
    <row r="55" spans="1:7" ht="15">
      <c r="B55" s="276" t="s">
        <v>2248</v>
      </c>
      <c r="C55" s="277"/>
    </row>
    <row r="56" spans="1:7">
      <c r="B56" s="279" t="s">
        <v>1478</v>
      </c>
      <c r="C56" s="281">
        <f ca="1">1-C57</f>
        <v>9.5999999999999974E-2</v>
      </c>
    </row>
    <row r="57" spans="1:7">
      <c r="B57" s="279" t="s">
        <v>1479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88" customWidth="1"/>
    <col min="3" max="3" width="10.33203125" style="931" customWidth="1"/>
    <col min="4" max="4" width="9.88671875" style="888" customWidth="1"/>
    <col min="5" max="5" width="9.44140625" style="736" customWidth="1"/>
    <col min="6" max="6" width="10.109375" style="888" customWidth="1"/>
    <col min="7" max="7" width="10.77734375" style="888" customWidth="1"/>
    <col min="8" max="8" width="10" style="888" customWidth="1"/>
    <col min="9" max="11" width="9.44140625" style="888" customWidth="1"/>
    <col min="12" max="12" width="9" style="888" customWidth="1"/>
    <col min="13" max="13" width="10.44140625" style="888" bestFit="1" customWidth="1"/>
    <col min="14" max="254" width="9" style="888" customWidth="1"/>
    <col min="255" max="16384" width="6.6640625" style="888"/>
  </cols>
  <sheetData>
    <row r="1" spans="1:33" ht="21">
      <c r="A1" s="202" t="s">
        <v>2280</v>
      </c>
      <c r="B1" s="1351"/>
      <c r="C1" s="1352"/>
      <c r="D1" s="1350"/>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5.2">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43436.4</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43436.4</v>
      </c>
      <c r="E17" s="24">
        <f>'数据-取费表'!B32</f>
        <v>0</v>
      </c>
      <c r="F17" s="914"/>
      <c r="G17" s="136"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2316</v>
      </c>
      <c r="C20" s="24">
        <f ca="1">ROUND(D20*E20/10000,0)</f>
        <v>521</v>
      </c>
      <c r="D20" s="954">
        <f ca="1">IF(C1="",'数据-汇总表'!E6,IF(INDIRECT("'数据-取费表'!c"&amp;$K$1)="住宅",INDIRECT("'数据-取费表'!s"&amp;$K$1),INDIRECT("'数据-取费表'!k"&amp;$K$1)+INDIRECT("'数据-取费表'!s"&amp;$K$1)))</f>
        <v>43436.4</v>
      </c>
      <c r="E20" s="24">
        <f>'数据-取费表'!B28</f>
        <v>120</v>
      </c>
      <c r="F20" s="912"/>
      <c r="G20" s="15"/>
      <c r="H20" s="917"/>
      <c r="I20" s="917"/>
      <c r="J20" s="917"/>
      <c r="K20" s="918"/>
    </row>
    <row r="21" spans="1:33" s="911" customFormat="1" ht="13.5" customHeight="1">
      <c r="A21" s="897" t="s">
        <v>802</v>
      </c>
      <c r="B21" s="921" t="s">
        <v>2317</v>
      </c>
      <c r="C21" s="922">
        <f ca="1">C16+C17+C18</f>
        <v>0</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3.8600000000000002E-2</v>
      </c>
      <c r="D24" s="287" t="s">
        <v>15</v>
      </c>
      <c r="E24" s="287"/>
      <c r="F24" s="924">
        <f>IF(项目基本情况!B8="出让",0,'数据-取费表'!B48+'数据-取费表'!B49)</f>
        <v>4.0500000000000001E-2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0</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0" customWidth="1"/>
    <col min="2" max="2" width="12" style="1660" customWidth="1"/>
    <col min="3" max="3" width="9" style="1660"/>
    <col min="4" max="4" width="14.109375" style="1660" customWidth="1"/>
    <col min="5" max="5" width="9" style="1660"/>
    <col min="6" max="6" width="12.88671875" style="1660" customWidth="1"/>
    <col min="7" max="16384" width="9" style="1660"/>
  </cols>
  <sheetData>
    <row r="1" spans="1:22" ht="21.6">
      <c r="A1" s="2051" t="s">
        <v>2347</v>
      </c>
      <c r="B1" s="2052"/>
      <c r="C1" s="2052"/>
      <c r="D1" s="2052"/>
      <c r="E1" s="2053"/>
      <c r="F1" s="2934"/>
      <c r="G1" s="1672"/>
      <c r="H1" s="1672"/>
      <c r="I1" s="1672"/>
      <c r="J1" s="1672"/>
      <c r="K1" s="1672"/>
      <c r="L1" s="1672"/>
      <c r="M1" s="1672"/>
      <c r="N1" s="1672"/>
      <c r="O1" s="1672"/>
      <c r="P1" s="1672"/>
      <c r="Q1" s="1672"/>
      <c r="R1" s="1672"/>
      <c r="S1" s="1672"/>
    </row>
    <row r="2" spans="1:22" ht="15.6">
      <c r="A2" s="2054" t="s">
        <v>2148</v>
      </c>
      <c r="B2" s="2055">
        <f ca="1">SUMIF(B6:B13,"&lt;&gt;#ref!",B6:B13)</f>
        <v>13108</v>
      </c>
      <c r="C2" s="2056" t="s">
        <v>2340</v>
      </c>
      <c r="D2" s="2057" t="s">
        <v>2341</v>
      </c>
      <c r="E2" s="2831">
        <f>SUM(E6:E13)</f>
        <v>43436.4</v>
      </c>
      <c r="F2" s="2934"/>
      <c r="G2" s="1672"/>
      <c r="H2" s="1672"/>
      <c r="I2" s="1672"/>
      <c r="J2" s="1672"/>
      <c r="K2" s="1672"/>
      <c r="L2" s="1672"/>
      <c r="M2" s="1672"/>
      <c r="N2" s="1672"/>
      <c r="O2" s="1672"/>
      <c r="P2" s="1672"/>
      <c r="Q2" s="1672"/>
      <c r="R2" s="1672"/>
      <c r="S2" s="1672"/>
    </row>
    <row r="3" spans="1:22" ht="15.6">
      <c r="A3" s="2054" t="s">
        <v>1360</v>
      </c>
      <c r="B3" s="2825">
        <f ca="1">ROUND(B2*10000/E2,0)</f>
        <v>3018</v>
      </c>
      <c r="C3" s="2056" t="s">
        <v>2348</v>
      </c>
      <c r="D3" s="2936"/>
      <c r="E3" s="2938"/>
      <c r="F3" s="2934"/>
      <c r="G3" s="1672"/>
      <c r="H3" s="1672"/>
      <c r="I3" s="1672"/>
      <c r="J3" s="1672"/>
      <c r="K3" s="1672"/>
      <c r="L3" s="1672"/>
      <c r="M3" s="1672"/>
      <c r="N3" s="1672"/>
      <c r="O3" s="1672"/>
      <c r="P3" s="1672"/>
      <c r="Q3" s="1672"/>
      <c r="R3" s="1672"/>
      <c r="S3" s="1672"/>
    </row>
    <row r="4" spans="1:22" ht="15.6">
      <c r="A4" s="2939"/>
      <c r="B4" s="2936"/>
      <c r="C4" s="2936"/>
      <c r="D4" s="2936"/>
      <c r="E4" s="2938"/>
      <c r="F4" s="2934"/>
      <c r="G4" s="1672"/>
      <c r="H4" s="1672"/>
      <c r="I4" s="1672"/>
      <c r="J4" s="1672"/>
      <c r="K4" s="1672"/>
      <c r="L4" s="1672"/>
      <c r="M4" s="1672"/>
      <c r="N4" s="1672"/>
      <c r="O4" s="1672"/>
      <c r="P4" s="1672"/>
      <c r="Q4" s="1672"/>
      <c r="R4" s="1672"/>
      <c r="S4" s="1672"/>
    </row>
    <row r="5" spans="1:22" ht="14.4">
      <c r="A5" s="2827" t="s">
        <v>2342</v>
      </c>
      <c r="B5" s="3363" t="s">
        <v>2343</v>
      </c>
      <c r="C5" s="3364"/>
      <c r="D5" s="2935"/>
      <c r="E5" s="2058" t="s">
        <v>2344</v>
      </c>
      <c r="F5" s="2059" t="s">
        <v>2345</v>
      </c>
      <c r="G5" s="1672"/>
      <c r="H5" s="1672"/>
      <c r="I5" s="1672"/>
      <c r="J5" s="1672"/>
      <c r="K5" s="1672"/>
      <c r="L5" s="1672"/>
      <c r="M5" s="1672"/>
      <c r="N5" s="1672"/>
      <c r="O5" s="1672"/>
      <c r="P5" s="1672"/>
      <c r="Q5" s="1672"/>
      <c r="R5" s="1672"/>
      <c r="S5" s="1672"/>
    </row>
    <row r="6" spans="1:22" ht="14.4">
      <c r="A6" s="2828" t="str">
        <f>'数据-取费表'!AN6</f>
        <v>收益法</v>
      </c>
      <c r="B6" s="2826">
        <f ca="1">IF(F6="是",'数据-取费表'!AO6,0)</f>
        <v>13108</v>
      </c>
      <c r="C6" s="2056" t="s">
        <v>2340</v>
      </c>
      <c r="D6" s="2936"/>
      <c r="E6" s="2830">
        <f>IF(OR(A6=0,F6="否"),0,'数据-取费表'!K6+'数据-取费表'!S6)</f>
        <v>43436.4</v>
      </c>
      <c r="F6" s="2060" t="s">
        <v>2346</v>
      </c>
      <c r="G6" s="1672"/>
      <c r="H6" s="1672"/>
      <c r="I6" s="1672"/>
      <c r="J6" s="1672"/>
      <c r="K6" s="1672"/>
      <c r="L6" s="1672"/>
      <c r="M6" s="1672"/>
      <c r="N6" s="1672"/>
      <c r="O6" s="1672"/>
      <c r="P6" s="1672"/>
      <c r="Q6" s="1672"/>
      <c r="R6" s="1672"/>
      <c r="S6" s="1672"/>
    </row>
    <row r="7" spans="1:22" ht="14.4">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ht="14.4">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ht="14.4">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ht="14.4">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ht="14.4">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ht="14.4">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65" t="s">
        <v>1044</v>
      </c>
      <c r="B1" s="3366"/>
      <c r="C1" s="3367"/>
      <c r="D1" s="3368">
        <f>SUM(I10,I15,I20,I21,I23)</f>
        <v>0</v>
      </c>
      <c r="E1" s="3368"/>
      <c r="F1" s="3368"/>
      <c r="G1" s="3368"/>
      <c r="H1" s="3368"/>
      <c r="I1" s="3369"/>
    </row>
    <row r="2" spans="1:9">
      <c r="A2" s="3370" t="s">
        <v>1045</v>
      </c>
      <c r="B2" s="3371" t="s">
        <v>1046</v>
      </c>
      <c r="C2" s="3371"/>
      <c r="D2" s="1210" t="s">
        <v>1047</v>
      </c>
      <c r="E2" s="1210" t="s">
        <v>1048</v>
      </c>
      <c r="F2" s="1210" t="s">
        <v>1049</v>
      </c>
      <c r="G2" s="1210" t="s">
        <v>1050</v>
      </c>
      <c r="H2" s="1210" t="s">
        <v>1051</v>
      </c>
      <c r="I2" s="1211" t="s">
        <v>1052</v>
      </c>
    </row>
    <row r="3" spans="1:9">
      <c r="A3" s="3370"/>
      <c r="B3" s="3371" t="s">
        <v>1053</v>
      </c>
      <c r="C3" s="3371"/>
      <c r="D3" s="1212"/>
      <c r="E3" s="1210"/>
      <c r="F3" s="1213"/>
      <c r="G3" s="1213"/>
      <c r="H3" s="1214"/>
      <c r="I3" s="1215">
        <f>ROUND(D3*E3*F3*G3*H3/10000,0)</f>
        <v>0</v>
      </c>
    </row>
    <row r="4" spans="1:9">
      <c r="A4" s="3370"/>
      <c r="B4" s="3371" t="s">
        <v>1054</v>
      </c>
      <c r="C4" s="3371"/>
      <c r="D4" s="1212"/>
      <c r="E4" s="1210"/>
      <c r="F4" s="1213"/>
      <c r="G4" s="1213"/>
      <c r="H4" s="1214"/>
      <c r="I4" s="1215">
        <f t="shared" ref="I4:I9" si="0">ROUND(D4*E4*F4*G4*H4/10000,0)</f>
        <v>0</v>
      </c>
    </row>
    <row r="5" spans="1:9">
      <c r="A5" s="3370"/>
      <c r="B5" s="3371" t="s">
        <v>1055</v>
      </c>
      <c r="C5" s="3371"/>
      <c r="D5" s="1212"/>
      <c r="E5" s="1210"/>
      <c r="F5" s="1213"/>
      <c r="G5" s="1213"/>
      <c r="H5" s="1214"/>
      <c r="I5" s="1215">
        <f t="shared" si="0"/>
        <v>0</v>
      </c>
    </row>
    <row r="6" spans="1:9">
      <c r="A6" s="3370"/>
      <c r="B6" s="3371" t="s">
        <v>1056</v>
      </c>
      <c r="C6" s="3371"/>
      <c r="D6" s="1212"/>
      <c r="E6" s="1210"/>
      <c r="F6" s="1213"/>
      <c r="G6" s="1213"/>
      <c r="H6" s="1214"/>
      <c r="I6" s="1215">
        <f t="shared" si="0"/>
        <v>0</v>
      </c>
    </row>
    <row r="7" spans="1:9">
      <c r="A7" s="3370"/>
      <c r="B7" s="3371" t="s">
        <v>1057</v>
      </c>
      <c r="C7" s="3371"/>
      <c r="D7" s="1212"/>
      <c r="E7" s="1210"/>
      <c r="F7" s="1213"/>
      <c r="G7" s="1213"/>
      <c r="H7" s="1214"/>
      <c r="I7" s="1215">
        <f t="shared" si="0"/>
        <v>0</v>
      </c>
    </row>
    <row r="8" spans="1:9">
      <c r="A8" s="3370"/>
      <c r="B8" s="3371" t="s">
        <v>1058</v>
      </c>
      <c r="C8" s="3371"/>
      <c r="D8" s="1212"/>
      <c r="E8" s="1210"/>
      <c r="F8" s="1213"/>
      <c r="G8" s="1213"/>
      <c r="H8" s="1214"/>
      <c r="I8" s="1215">
        <f t="shared" si="0"/>
        <v>0</v>
      </c>
    </row>
    <row r="9" spans="1:9">
      <c r="A9" s="3370"/>
      <c r="B9" s="3371" t="s">
        <v>1059</v>
      </c>
      <c r="C9" s="3371"/>
      <c r="D9" s="1212"/>
      <c r="E9" s="1210"/>
      <c r="F9" s="1213"/>
      <c r="G9" s="1213"/>
      <c r="H9" s="1214"/>
      <c r="I9" s="1215">
        <f t="shared" si="0"/>
        <v>0</v>
      </c>
    </row>
    <row r="10" spans="1:9">
      <c r="A10" s="3370"/>
      <c r="B10" s="3372" t="s">
        <v>1060</v>
      </c>
      <c r="C10" s="3372"/>
      <c r="D10" s="1216"/>
      <c r="E10" s="1216" t="e">
        <f>ROUND(D1*10000/D10/H9,0)</f>
        <v>#DIV/0!</v>
      </c>
      <c r="F10" s="1217"/>
      <c r="G10" s="1217"/>
      <c r="H10" s="1218"/>
      <c r="I10" s="1219">
        <f>SUM(I3:I9)</f>
        <v>0</v>
      </c>
    </row>
    <row r="11" spans="1:9" ht="15.6">
      <c r="A11" s="3370" t="s">
        <v>1061</v>
      </c>
      <c r="B11" s="3371" t="s">
        <v>1062</v>
      </c>
      <c r="C11" s="3371"/>
      <c r="D11" s="1212" t="s">
        <v>1063</v>
      </c>
      <c r="E11" s="1212" t="s">
        <v>1064</v>
      </c>
      <c r="F11" s="1213" t="s">
        <v>1065</v>
      </c>
      <c r="G11" s="1213" t="s">
        <v>1051</v>
      </c>
      <c r="H11" s="1220" t="s">
        <v>1066</v>
      </c>
      <c r="I11" s="1211" t="s">
        <v>1052</v>
      </c>
    </row>
    <row r="12" spans="1:9">
      <c r="A12" s="3370"/>
      <c r="B12" s="3371" t="s">
        <v>1067</v>
      </c>
      <c r="C12" s="3371"/>
      <c r="D12" s="1212"/>
      <c r="E12" s="1212"/>
      <c r="F12" s="1213"/>
      <c r="G12" s="1214"/>
      <c r="H12" s="1221"/>
      <c r="I12" s="1211">
        <f>ROUND(D12*E12*F12*G12/10000,0)</f>
        <v>0</v>
      </c>
    </row>
    <row r="13" spans="1:9">
      <c r="A13" s="3370"/>
      <c r="B13" s="3371" t="s">
        <v>1068</v>
      </c>
      <c r="C13" s="3371"/>
      <c r="D13" s="1212"/>
      <c r="E13" s="1212"/>
      <c r="F13" s="1213"/>
      <c r="G13" s="1214"/>
      <c r="H13" s="1221"/>
      <c r="I13" s="1211">
        <f>ROUND(D13*E13*F13*G13/10000,0)</f>
        <v>0</v>
      </c>
    </row>
    <row r="14" spans="1:9">
      <c r="A14" s="3370"/>
      <c r="B14" s="3371" t="s">
        <v>1069</v>
      </c>
      <c r="C14" s="3371"/>
      <c r="D14" s="1212"/>
      <c r="E14" s="1212"/>
      <c r="F14" s="1213"/>
      <c r="G14" s="1214"/>
      <c r="H14" s="1221"/>
      <c r="I14" s="1211">
        <f>ROUND(D14*E14*F14*G14/10000,0)</f>
        <v>0</v>
      </c>
    </row>
    <row r="15" spans="1:9">
      <c r="A15" s="3370"/>
      <c r="B15" s="3372" t="s">
        <v>1060</v>
      </c>
      <c r="C15" s="3372"/>
      <c r="D15" s="1216"/>
      <c r="E15" s="1216">
        <f>SUM(E12:E14)</f>
        <v>0</v>
      </c>
      <c r="F15" s="1217"/>
      <c r="G15" s="1214"/>
      <c r="H15" s="1221"/>
      <c r="I15" s="1222">
        <f>SUM(I12:I14)</f>
        <v>0</v>
      </c>
    </row>
    <row r="16" spans="1:9" ht="24">
      <c r="A16" s="3370" t="s">
        <v>1070</v>
      </c>
      <c r="B16" s="3371" t="s">
        <v>1071</v>
      </c>
      <c r="C16" s="3371"/>
      <c r="D16" s="1212" t="s">
        <v>1047</v>
      </c>
      <c r="E16" s="1223" t="s">
        <v>1072</v>
      </c>
      <c r="F16" s="1213" t="s">
        <v>1073</v>
      </c>
      <c r="G16" s="1214" t="s">
        <v>1051</v>
      </c>
      <c r="H16" s="1220" t="s">
        <v>1066</v>
      </c>
      <c r="I16" s="1211" t="s">
        <v>1052</v>
      </c>
    </row>
    <row r="17" spans="1:9" ht="15.6">
      <c r="A17" s="3370"/>
      <c r="B17" s="3371" t="s">
        <v>1074</v>
      </c>
      <c r="C17" s="3371"/>
      <c r="D17" s="1212"/>
      <c r="E17" s="1212"/>
      <c r="F17" s="1213"/>
      <c r="G17" s="1214"/>
      <c r="H17" s="1224"/>
      <c r="I17" s="1225">
        <f>ROUND(D17*E17*F17*G17/10000,0)</f>
        <v>0</v>
      </c>
    </row>
    <row r="18" spans="1:9" ht="15.6">
      <c r="A18" s="3370"/>
      <c r="B18" s="3371" t="s">
        <v>1075</v>
      </c>
      <c r="C18" s="3371"/>
      <c r="D18" s="1212"/>
      <c r="E18" s="1212"/>
      <c r="F18" s="1213"/>
      <c r="G18" s="1214"/>
      <c r="H18" s="1224"/>
      <c r="I18" s="1225">
        <f>ROUND(D18*E18*F18*G18/10000,0)</f>
        <v>0</v>
      </c>
    </row>
    <row r="19" spans="1:9" ht="15.6">
      <c r="A19" s="3370"/>
      <c r="B19" s="3371" t="s">
        <v>1076</v>
      </c>
      <c r="C19" s="3371"/>
      <c r="D19" s="1212"/>
      <c r="E19" s="1212"/>
      <c r="F19" s="1213"/>
      <c r="G19" s="1214"/>
      <c r="H19" s="1224"/>
      <c r="I19" s="1225">
        <f>ROUND(D19*E19*F19*G19/10000,0)</f>
        <v>0</v>
      </c>
    </row>
    <row r="20" spans="1:9">
      <c r="A20" s="3370"/>
      <c r="B20" s="3372" t="s">
        <v>1060</v>
      </c>
      <c r="C20" s="3372"/>
      <c r="D20" s="1216">
        <f>SUM(D17:D19)</f>
        <v>0</v>
      </c>
      <c r="E20" s="1216"/>
      <c r="F20" s="1217"/>
      <c r="G20" s="1214"/>
      <c r="H20" s="1221"/>
      <c r="I20" s="1222">
        <f>SUM(I17:I19)</f>
        <v>0</v>
      </c>
    </row>
    <row r="21" spans="1:9">
      <c r="A21" s="3370" t="s">
        <v>1077</v>
      </c>
      <c r="B21" s="3374"/>
      <c r="C21" s="3374"/>
      <c r="D21" s="3374"/>
      <c r="E21" s="3374"/>
      <c r="F21" s="3374"/>
      <c r="G21" s="3374"/>
      <c r="H21" s="1500">
        <v>0.1</v>
      </c>
      <c r="I21" s="1219">
        <f>ROUND(I10*H21,0)</f>
        <v>0</v>
      </c>
    </row>
    <row r="22" spans="1:9" ht="15.6">
      <c r="A22" s="3375" t="s">
        <v>1078</v>
      </c>
      <c r="B22" s="3376"/>
      <c r="C22" s="3377"/>
      <c r="D22" s="1226" t="s">
        <v>1079</v>
      </c>
      <c r="E22" s="1226" t="s">
        <v>1080</v>
      </c>
      <c r="F22" s="1227" t="s">
        <v>1081</v>
      </c>
      <c r="G22" s="1227" t="s">
        <v>1082</v>
      </c>
      <c r="H22" s="1220" t="s">
        <v>1083</v>
      </c>
      <c r="I22" s="1211" t="s">
        <v>1084</v>
      </c>
    </row>
    <row r="23" spans="1:9" ht="15" thickBot="1">
      <c r="A23" s="3378"/>
      <c r="B23" s="3379"/>
      <c r="C23" s="3380"/>
      <c r="D23" s="1228"/>
      <c r="E23" s="1228"/>
      <c r="F23" s="1228"/>
      <c r="G23" s="1229"/>
      <c r="H23" s="1230"/>
      <c r="I23" s="1231">
        <f>ROUND(E23*D23*F23*(1-G23)/10000,0)</f>
        <v>0</v>
      </c>
    </row>
    <row r="26" spans="1:9">
      <c r="A26" s="1232" t="s">
        <v>1085</v>
      </c>
      <c r="B26" s="1232"/>
      <c r="C26" s="1232"/>
      <c r="D26" s="1232"/>
      <c r="E26" s="3381">
        <f>C27-C30-C31-C32</f>
        <v>0</v>
      </c>
      <c r="F26" s="3381"/>
      <c r="G26" s="3381"/>
      <c r="H26" s="1497" t="s">
        <v>1306</v>
      </c>
    </row>
    <row r="27" spans="1:9">
      <c r="A27" s="1233">
        <v>1</v>
      </c>
      <c r="B27" s="1234" t="s">
        <v>1086</v>
      </c>
      <c r="C27" s="1234">
        <f>C28+C29</f>
        <v>0</v>
      </c>
      <c r="D27" s="1234"/>
      <c r="E27" s="3382"/>
      <c r="F27" s="3382"/>
      <c r="G27" s="3382"/>
    </row>
    <row r="28" spans="1:9">
      <c r="A28" s="1235" t="s">
        <v>1087</v>
      </c>
      <c r="B28" s="1234" t="s">
        <v>1088</v>
      </c>
      <c r="C28" s="1234"/>
      <c r="D28" s="1234"/>
      <c r="E28" s="3382"/>
      <c r="F28" s="3382"/>
      <c r="G28" s="3382"/>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73"/>
      <c r="F32" s="3373"/>
      <c r="G32" s="3373"/>
    </row>
    <row r="33" spans="1:7" hidden="1">
      <c r="A33" s="3383" t="s">
        <v>1097</v>
      </c>
      <c r="B33" s="3384"/>
      <c r="C33" s="3384"/>
      <c r="D33" s="3385"/>
      <c r="E33" s="3381"/>
      <c r="F33" s="3381"/>
      <c r="G33" s="3381"/>
    </row>
    <row r="34" spans="1:7" hidden="1">
      <c r="A34" s="1237">
        <v>1</v>
      </c>
      <c r="B34" s="1234" t="s">
        <v>1098</v>
      </c>
      <c r="C34" s="1234"/>
      <c r="D34" s="1234"/>
      <c r="E34" s="3382"/>
      <c r="F34" s="3382"/>
      <c r="G34" s="3382"/>
    </row>
    <row r="35" spans="1:7" hidden="1">
      <c r="A35" s="1237">
        <v>2</v>
      </c>
      <c r="B35" s="1234" t="s">
        <v>1099</v>
      </c>
      <c r="C35" s="1234"/>
      <c r="D35" s="1234"/>
      <c r="E35" s="3382"/>
      <c r="F35" s="3382"/>
      <c r="G35" s="3382"/>
    </row>
    <row r="36" spans="1:7" hidden="1">
      <c r="A36" s="1237">
        <v>3</v>
      </c>
      <c r="B36" s="1234" t="s">
        <v>1100</v>
      </c>
      <c r="C36" s="1234"/>
      <c r="D36" s="1234"/>
      <c r="E36" s="3382"/>
      <c r="F36" s="3382"/>
      <c r="G36" s="3382"/>
    </row>
    <row r="37" spans="1:7" hidden="1">
      <c r="A37" s="1237">
        <v>4</v>
      </c>
      <c r="B37" s="1234" t="s">
        <v>1101</v>
      </c>
      <c r="C37" s="1234"/>
      <c r="D37" s="1234"/>
      <c r="E37" s="3382"/>
      <c r="F37" s="3382"/>
      <c r="G37" s="3382"/>
    </row>
    <row r="38" spans="1:7" hidden="1">
      <c r="A38" s="3383" t="s">
        <v>1102</v>
      </c>
      <c r="B38" s="3384"/>
      <c r="C38" s="3384"/>
      <c r="D38" s="3385"/>
      <c r="E38" s="3381"/>
      <c r="F38" s="3381"/>
      <c r="G38" s="33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43436.4</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4.4">
      <c r="A4" s="361" t="s">
        <v>2356</v>
      </c>
      <c r="B4" s="362"/>
      <c r="C4" s="3303" t="s">
        <v>2357</v>
      </c>
      <c r="D4" s="3304"/>
      <c r="E4" s="3305" t="s">
        <v>2358</v>
      </c>
      <c r="F4" s="3306"/>
      <c r="G4" s="3303" t="s">
        <v>2359</v>
      </c>
      <c r="H4" s="3304"/>
      <c r="I4" s="3303" t="s">
        <v>2360</v>
      </c>
      <c r="J4" s="3304"/>
      <c r="K4" s="2073" t="s">
        <v>2361</v>
      </c>
      <c r="L4" s="2942"/>
      <c r="M4" s="2943"/>
      <c r="N4" s="2943"/>
      <c r="O4" s="2943"/>
      <c r="P4" s="3337" t="s">
        <v>2362</v>
      </c>
      <c r="Q4" s="3338"/>
      <c r="R4" s="3334" t="s">
        <v>2358</v>
      </c>
      <c r="S4" s="3335"/>
      <c r="T4" s="3334" t="s">
        <v>2359</v>
      </c>
      <c r="U4" s="3335"/>
      <c r="V4" s="3316" t="s">
        <v>2360</v>
      </c>
      <c r="W4" s="3316"/>
      <c r="X4" s="1537"/>
      <c r="Y4" s="3334" t="s">
        <v>2362</v>
      </c>
      <c r="Z4" s="3335"/>
      <c r="AA4" s="3333" t="s">
        <v>2358</v>
      </c>
      <c r="AB4" s="3333" t="s">
        <v>2359</v>
      </c>
      <c r="AC4" s="3333" t="s">
        <v>2360</v>
      </c>
    </row>
    <row r="5" spans="1:29">
      <c r="A5" s="364"/>
      <c r="B5" s="365"/>
      <c r="C5" s="3292" t="s">
        <v>2363</v>
      </c>
      <c r="D5" s="3293"/>
      <c r="E5" s="3336" t="s">
        <v>2364</v>
      </c>
      <c r="F5" s="3291"/>
      <c r="G5" s="3292" t="s">
        <v>2365</v>
      </c>
      <c r="H5" s="3293"/>
      <c r="I5" s="3292" t="s">
        <v>2366</v>
      </c>
      <c r="J5" s="3293"/>
      <c r="K5" s="2074"/>
      <c r="L5" s="2942"/>
      <c r="M5" s="2943"/>
      <c r="N5" s="2943"/>
      <c r="O5" s="2943"/>
      <c r="P5" s="3339"/>
      <c r="Q5" s="3310"/>
      <c r="R5" s="3288"/>
      <c r="S5" s="3289"/>
      <c r="T5" s="3288"/>
      <c r="U5" s="3289"/>
      <c r="V5" s="3316"/>
      <c r="W5" s="3316"/>
      <c r="X5" s="1537"/>
      <c r="Y5" s="3288"/>
      <c r="Z5" s="3289"/>
      <c r="AA5" s="3282"/>
      <c r="AB5" s="3282"/>
      <c r="AC5" s="3282"/>
    </row>
    <row r="6" spans="1:29" ht="15" thickBot="1">
      <c r="A6" s="366"/>
      <c r="B6" s="367"/>
      <c r="C6" s="3294" t="s">
        <v>2367</v>
      </c>
      <c r="D6" s="3295"/>
      <c r="E6" s="3297" t="s">
        <v>2367</v>
      </c>
      <c r="F6" s="3298"/>
      <c r="G6" s="3294" t="s">
        <v>2367</v>
      </c>
      <c r="H6" s="3295"/>
      <c r="I6" s="3294" t="s">
        <v>2367</v>
      </c>
      <c r="J6" s="3295"/>
      <c r="K6" s="2074" t="s">
        <v>2368</v>
      </c>
      <c r="L6" s="2942"/>
      <c r="M6" s="2943"/>
      <c r="N6" s="2943"/>
      <c r="O6" s="2943"/>
      <c r="P6" s="3340"/>
      <c r="Q6" s="3312"/>
      <c r="R6" s="3288"/>
      <c r="S6" s="3289"/>
      <c r="T6" s="3313"/>
      <c r="U6" s="3314"/>
      <c r="V6" s="3316"/>
      <c r="W6" s="3316"/>
      <c r="X6" s="1537"/>
      <c r="Y6" s="3313"/>
      <c r="Z6" s="3314"/>
      <c r="AA6" s="3283"/>
      <c r="AB6" s="3283"/>
      <c r="AC6" s="3283"/>
    </row>
    <row r="7" spans="1:29" s="113" customFormat="1" ht="15" thickBot="1">
      <c r="A7" s="368" t="s">
        <v>2369</v>
      </c>
      <c r="B7" s="369"/>
      <c r="C7" s="370">
        <f>'数据-取费表'!B2</f>
        <v>44561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84" t="s">
        <v>2370</v>
      </c>
      <c r="Q7" s="3318"/>
      <c r="R7" s="709" t="s">
        <v>23</v>
      </c>
      <c r="S7" s="710">
        <f t="shared" ref="S7:S15" si="0">F7</f>
        <v>0</v>
      </c>
      <c r="T7" s="709" t="s">
        <v>23</v>
      </c>
      <c r="U7" s="710">
        <f t="shared" ref="U7:U15" si="1">H7</f>
        <v>0</v>
      </c>
      <c r="V7" s="709" t="s">
        <v>23</v>
      </c>
      <c r="W7" s="710">
        <f t="shared" ref="W7:W15" si="2">J7</f>
        <v>0</v>
      </c>
      <c r="X7" s="711"/>
      <c r="Y7" s="3284" t="s">
        <v>2370</v>
      </c>
      <c r="Z7" s="3285"/>
      <c r="AA7" s="712" t="e">
        <f>D7/F7</f>
        <v>#DIV/0!</v>
      </c>
      <c r="AB7" s="712" t="e">
        <f>D7/H7</f>
        <v>#DIV/0!</v>
      </c>
      <c r="AC7" s="712" t="e">
        <f>D7/J7</f>
        <v>#DIV/0!</v>
      </c>
    </row>
    <row r="8" spans="1:29" s="113" customFormat="1" ht="1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84" t="s">
        <v>2373</v>
      </c>
      <c r="Q8" s="3285"/>
      <c r="R8" s="709" t="s">
        <v>23</v>
      </c>
      <c r="S8" s="710">
        <f t="shared" si="0"/>
        <v>0</v>
      </c>
      <c r="T8" s="709" t="s">
        <v>23</v>
      </c>
      <c r="U8" s="710">
        <f t="shared" si="1"/>
        <v>0</v>
      </c>
      <c r="V8" s="709" t="s">
        <v>23</v>
      </c>
      <c r="W8" s="710">
        <f t="shared" si="2"/>
        <v>0</v>
      </c>
      <c r="X8" s="711"/>
      <c r="Y8" s="3284" t="s">
        <v>2373</v>
      </c>
      <c r="Z8" s="3285"/>
      <c r="AA8" s="712" t="e">
        <f t="shared" ref="AA8:AA19" si="3">D8/F8</f>
        <v>#DIV/0!</v>
      </c>
      <c r="AB8" s="712" t="e">
        <f t="shared" ref="AB8:AB19" si="4">D8/H8</f>
        <v>#DIV/0!</v>
      </c>
      <c r="AC8" s="712" t="e">
        <f t="shared" ref="AC8:AC19" si="5">D8/J8</f>
        <v>#DIV/0!</v>
      </c>
    </row>
    <row r="9" spans="1:29" s="113" customFormat="1" ht="14.4">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99"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9"/>
      <c r="Q10" s="1525" t="str">
        <f t="shared" si="6"/>
        <v>土地使用年限（年）</v>
      </c>
      <c r="R10" s="709" t="s">
        <v>17</v>
      </c>
      <c r="S10" s="710">
        <f t="shared" si="0"/>
        <v>100</v>
      </c>
      <c r="T10" s="709" t="s">
        <v>17</v>
      </c>
      <c r="U10" s="710">
        <f t="shared" si="1"/>
        <v>100</v>
      </c>
      <c r="V10" s="709" t="s">
        <v>17</v>
      </c>
      <c r="W10" s="710">
        <f t="shared" si="2"/>
        <v>100</v>
      </c>
      <c r="X10" s="711"/>
      <c r="Y10" s="3257"/>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9"/>
      <c r="Q11" s="1525" t="str">
        <f t="shared" si="6"/>
        <v>容积率</v>
      </c>
      <c r="R11" s="709" t="s">
        <v>21</v>
      </c>
      <c r="S11" s="710" t="e">
        <f t="shared" si="0"/>
        <v>#N/A</v>
      </c>
      <c r="T11" s="709" t="s">
        <v>21</v>
      </c>
      <c r="U11" s="710" t="e">
        <f t="shared" si="1"/>
        <v>#N/A</v>
      </c>
      <c r="V11" s="709" t="s">
        <v>21</v>
      </c>
      <c r="W11" s="710" t="e">
        <f t="shared" si="2"/>
        <v>#N/A</v>
      </c>
      <c r="X11" s="711"/>
      <c r="Y11" s="3257"/>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99"/>
      <c r="Q12" s="1525">
        <f t="shared" si="6"/>
        <v>111</v>
      </c>
      <c r="R12" s="709" t="s">
        <v>21</v>
      </c>
      <c r="S12" s="710">
        <f t="shared" si="0"/>
        <v>100</v>
      </c>
      <c r="T12" s="709" t="s">
        <v>21</v>
      </c>
      <c r="U12" s="710">
        <f t="shared" si="1"/>
        <v>100</v>
      </c>
      <c r="V12" s="709" t="s">
        <v>21</v>
      </c>
      <c r="W12" s="710">
        <f t="shared" si="2"/>
        <v>100</v>
      </c>
      <c r="X12" s="711"/>
      <c r="Y12" s="3257"/>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99"/>
      <c r="Q13" s="1525">
        <f t="shared" si="6"/>
        <v>111</v>
      </c>
      <c r="R13" s="709" t="s">
        <v>21</v>
      </c>
      <c r="S13" s="710">
        <f t="shared" si="0"/>
        <v>100</v>
      </c>
      <c r="T13" s="709" t="s">
        <v>21</v>
      </c>
      <c r="U13" s="710">
        <f t="shared" si="1"/>
        <v>100</v>
      </c>
      <c r="V13" s="709" t="s">
        <v>21</v>
      </c>
      <c r="W13" s="710">
        <f t="shared" si="2"/>
        <v>100</v>
      </c>
      <c r="X13" s="711"/>
      <c r="Y13" s="3257"/>
      <c r="Z13" s="55">
        <f t="shared" si="7"/>
        <v>111</v>
      </c>
      <c r="AA13" s="712">
        <f t="shared" si="3"/>
        <v>1</v>
      </c>
      <c r="AB13" s="712">
        <f t="shared" si="4"/>
        <v>1</v>
      </c>
      <c r="AC13" s="712">
        <f t="shared" si="5"/>
        <v>1</v>
      </c>
    </row>
    <row r="14" spans="1:29" ht="15.6"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99"/>
      <c r="Q14" s="1525">
        <f t="shared" si="6"/>
        <v>111</v>
      </c>
      <c r="R14" s="709" t="s">
        <v>21</v>
      </c>
      <c r="S14" s="710">
        <f t="shared" si="0"/>
        <v>100</v>
      </c>
      <c r="T14" s="709" t="s">
        <v>21</v>
      </c>
      <c r="U14" s="710">
        <f t="shared" si="1"/>
        <v>100</v>
      </c>
      <c r="V14" s="709" t="s">
        <v>21</v>
      </c>
      <c r="W14" s="710">
        <f t="shared" si="2"/>
        <v>100</v>
      </c>
      <c r="X14" s="711"/>
      <c r="Y14" s="3257"/>
      <c r="Z14" s="55">
        <f t="shared" si="7"/>
        <v>111</v>
      </c>
      <c r="AA14" s="712">
        <f t="shared" si="3"/>
        <v>1</v>
      </c>
      <c r="AB14" s="712">
        <f t="shared" si="4"/>
        <v>1</v>
      </c>
      <c r="AC14" s="712">
        <f t="shared" si="5"/>
        <v>1</v>
      </c>
    </row>
    <row r="15" spans="1:29" ht="96.6">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19" t="s">
        <v>2381</v>
      </c>
      <c r="Q15" s="1534" t="str">
        <f t="shared" si="6"/>
        <v>居住社区成熟度</v>
      </c>
      <c r="R15" s="713" t="s">
        <v>21</v>
      </c>
      <c r="S15" s="714">
        <f t="shared" si="0"/>
        <v>100</v>
      </c>
      <c r="T15" s="713" t="s">
        <v>21</v>
      </c>
      <c r="U15" s="714">
        <f t="shared" si="1"/>
        <v>100</v>
      </c>
      <c r="V15" s="713" t="s">
        <v>21</v>
      </c>
      <c r="W15" s="714">
        <f t="shared" si="2"/>
        <v>100</v>
      </c>
      <c r="X15" s="1537"/>
      <c r="Y15" s="3321"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320"/>
      <c r="Q16" s="1534"/>
      <c r="R16" s="713"/>
      <c r="S16" s="714"/>
      <c r="T16" s="713"/>
      <c r="U16" s="714"/>
      <c r="V16" s="713"/>
      <c r="W16" s="714"/>
      <c r="X16" s="1537"/>
      <c r="Y16" s="3322"/>
      <c r="Z16" s="1538"/>
      <c r="AA16" s="1535">
        <v>1</v>
      </c>
      <c r="AB16" s="1535">
        <v>1</v>
      </c>
      <c r="AC16" s="1535">
        <v>1</v>
      </c>
    </row>
    <row r="17" spans="1:29" ht="82.8">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20"/>
      <c r="Q17" s="1534" t="str">
        <f>B17</f>
        <v>交通便捷度</v>
      </c>
      <c r="R17" s="713" t="s">
        <v>21</v>
      </c>
      <c r="S17" s="714">
        <f>F17</f>
        <v>100</v>
      </c>
      <c r="T17" s="713" t="s">
        <v>21</v>
      </c>
      <c r="U17" s="714">
        <f>H17</f>
        <v>100</v>
      </c>
      <c r="V17" s="713" t="s">
        <v>21</v>
      </c>
      <c r="W17" s="714">
        <f>J17</f>
        <v>100</v>
      </c>
      <c r="X17" s="1537"/>
      <c r="Y17" s="3322"/>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320"/>
      <c r="Q18" s="1534"/>
      <c r="R18" s="713"/>
      <c r="S18" s="714"/>
      <c r="T18" s="713"/>
      <c r="U18" s="714"/>
      <c r="V18" s="713"/>
      <c r="W18" s="714"/>
      <c r="X18" s="1537"/>
      <c r="Y18" s="3322"/>
      <c r="Z18" s="1538"/>
      <c r="AA18" s="1535">
        <v>1</v>
      </c>
      <c r="AB18" s="1535">
        <v>1</v>
      </c>
      <c r="AC18" s="1535">
        <v>1</v>
      </c>
    </row>
    <row r="19" spans="1:29" ht="41.4">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20"/>
      <c r="Q19" s="1534" t="str">
        <f>B19</f>
        <v>公共配套设施</v>
      </c>
      <c r="R19" s="713" t="s">
        <v>21</v>
      </c>
      <c r="S19" s="714">
        <f>F19</f>
        <v>100</v>
      </c>
      <c r="T19" s="713" t="s">
        <v>21</v>
      </c>
      <c r="U19" s="714">
        <f>H19</f>
        <v>100</v>
      </c>
      <c r="V19" s="713" t="s">
        <v>21</v>
      </c>
      <c r="W19" s="714">
        <f>J19</f>
        <v>100</v>
      </c>
      <c r="X19" s="1537"/>
      <c r="Y19" s="3322"/>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320"/>
      <c r="Q20" s="1534"/>
      <c r="R20" s="713"/>
      <c r="S20" s="714"/>
      <c r="T20" s="713"/>
      <c r="U20" s="714"/>
      <c r="V20" s="713"/>
      <c r="W20" s="714"/>
      <c r="X20" s="1537"/>
      <c r="Y20" s="3322"/>
      <c r="Z20" s="1538"/>
      <c r="AA20" s="1535">
        <v>1</v>
      </c>
      <c r="AB20" s="1535">
        <v>1</v>
      </c>
      <c r="AC20" s="1535">
        <v>1</v>
      </c>
    </row>
    <row r="21" spans="1:29" ht="27.6">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20"/>
      <c r="Q21" s="1534" t="str">
        <f>B21</f>
        <v>基础设施水平</v>
      </c>
      <c r="R21" s="713" t="s">
        <v>17</v>
      </c>
      <c r="S21" s="714">
        <f>F21</f>
        <v>100</v>
      </c>
      <c r="T21" s="713" t="s">
        <v>17</v>
      </c>
      <c r="U21" s="714">
        <f>H21</f>
        <v>100</v>
      </c>
      <c r="V21" s="713" t="s">
        <v>17</v>
      </c>
      <c r="W21" s="714">
        <f>J21</f>
        <v>100</v>
      </c>
      <c r="X21" s="1537"/>
      <c r="Y21" s="3322"/>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320"/>
      <c r="Q22" s="1534"/>
      <c r="R22" s="713"/>
      <c r="S22" s="714"/>
      <c r="T22" s="713"/>
      <c r="U22" s="714"/>
      <c r="V22" s="713"/>
      <c r="W22" s="714"/>
      <c r="X22" s="1537"/>
      <c r="Y22" s="3322"/>
      <c r="Z22" s="1538"/>
      <c r="AA22" s="1535">
        <v>1</v>
      </c>
      <c r="AB22" s="1535">
        <v>1</v>
      </c>
      <c r="AC22" s="1535">
        <v>1</v>
      </c>
    </row>
    <row r="23" spans="1:29" ht="55.2">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20"/>
      <c r="Q23" s="1534" t="str">
        <f>B23</f>
        <v>自然及人文环境</v>
      </c>
      <c r="R23" s="713" t="s">
        <v>21</v>
      </c>
      <c r="S23" s="714">
        <f>F23</f>
        <v>100</v>
      </c>
      <c r="T23" s="713" t="s">
        <v>21</v>
      </c>
      <c r="U23" s="714">
        <f>H23</f>
        <v>100</v>
      </c>
      <c r="V23" s="713" t="s">
        <v>21</v>
      </c>
      <c r="W23" s="714">
        <f>J23</f>
        <v>100</v>
      </c>
      <c r="X23" s="1537"/>
      <c r="Y23" s="3322"/>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320"/>
      <c r="Q24" s="1534"/>
      <c r="R24" s="713"/>
      <c r="S24" s="714"/>
      <c r="T24" s="713"/>
      <c r="U24" s="714"/>
      <c r="V24" s="713"/>
      <c r="W24" s="714"/>
      <c r="X24" s="1537"/>
      <c r="Y24" s="3322"/>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20"/>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22"/>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20"/>
      <c r="Q26" s="1534" t="str">
        <f t="shared" si="11"/>
        <v>朝向</v>
      </c>
      <c r="R26" s="713" t="s">
        <v>21</v>
      </c>
      <c r="S26" s="714">
        <f t="shared" si="12"/>
        <v>100</v>
      </c>
      <c r="T26" s="713" t="s">
        <v>21</v>
      </c>
      <c r="U26" s="714">
        <f t="shared" si="13"/>
        <v>100</v>
      </c>
      <c r="V26" s="713" t="s">
        <v>21</v>
      </c>
      <c r="W26" s="714">
        <f t="shared" si="14"/>
        <v>100</v>
      </c>
      <c r="X26" s="1537"/>
      <c r="Y26" s="3322"/>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20"/>
      <c r="Q27" s="1525">
        <f t="shared" si="11"/>
        <v>111</v>
      </c>
      <c r="R27" s="709" t="s">
        <v>21</v>
      </c>
      <c r="S27" s="710">
        <f t="shared" si="12"/>
        <v>100</v>
      </c>
      <c r="T27" s="709" t="s">
        <v>21</v>
      </c>
      <c r="U27" s="710">
        <f t="shared" si="13"/>
        <v>100</v>
      </c>
      <c r="V27" s="709" t="s">
        <v>21</v>
      </c>
      <c r="W27" s="710">
        <f t="shared" si="14"/>
        <v>100</v>
      </c>
      <c r="X27" s="711"/>
      <c r="Y27" s="3322"/>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20"/>
      <c r="Q28" s="1534">
        <f t="shared" si="11"/>
        <v>111</v>
      </c>
      <c r="R28" s="713" t="s">
        <v>21</v>
      </c>
      <c r="S28" s="714">
        <f t="shared" si="12"/>
        <v>100</v>
      </c>
      <c r="T28" s="713" t="s">
        <v>21</v>
      </c>
      <c r="U28" s="714">
        <f t="shared" si="13"/>
        <v>100</v>
      </c>
      <c r="V28" s="713" t="s">
        <v>21</v>
      </c>
      <c r="W28" s="714">
        <f t="shared" si="14"/>
        <v>100</v>
      </c>
      <c r="X28" s="1537"/>
      <c r="Y28" s="3322"/>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20"/>
      <c r="Q29" s="1534">
        <f t="shared" si="11"/>
        <v>111</v>
      </c>
      <c r="R29" s="713" t="s">
        <v>21</v>
      </c>
      <c r="S29" s="714">
        <f t="shared" si="12"/>
        <v>100</v>
      </c>
      <c r="T29" s="713" t="s">
        <v>21</v>
      </c>
      <c r="U29" s="714">
        <f t="shared" si="13"/>
        <v>100</v>
      </c>
      <c r="V29" s="713" t="s">
        <v>21</v>
      </c>
      <c r="W29" s="714">
        <f t="shared" si="14"/>
        <v>100</v>
      </c>
      <c r="X29" s="1537"/>
      <c r="Y29" s="3322"/>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20"/>
      <c r="Q30" s="1534">
        <f t="shared" si="11"/>
        <v>111</v>
      </c>
      <c r="R30" s="713" t="s">
        <v>21</v>
      </c>
      <c r="S30" s="714">
        <f t="shared" si="12"/>
        <v>100</v>
      </c>
      <c r="T30" s="713" t="s">
        <v>21</v>
      </c>
      <c r="U30" s="714">
        <f t="shared" si="13"/>
        <v>100</v>
      </c>
      <c r="V30" s="713" t="s">
        <v>21</v>
      </c>
      <c r="W30" s="714">
        <f t="shared" si="14"/>
        <v>100</v>
      </c>
      <c r="X30" s="1537"/>
      <c r="Y30" s="3322"/>
      <c r="Z30" s="1538">
        <f t="shared" si="18"/>
        <v>111</v>
      </c>
      <c r="AA30" s="1535">
        <f t="shared" si="15"/>
        <v>1</v>
      </c>
      <c r="AB30" s="1535">
        <f t="shared" si="16"/>
        <v>1</v>
      </c>
      <c r="AC30" s="1535">
        <f t="shared" si="17"/>
        <v>1</v>
      </c>
    </row>
    <row r="31" spans="1:29" ht="15.6"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20"/>
      <c r="Q31" s="1534">
        <f t="shared" si="11"/>
        <v>111</v>
      </c>
      <c r="R31" s="713" t="s">
        <v>21</v>
      </c>
      <c r="S31" s="714">
        <f t="shared" si="12"/>
        <v>100</v>
      </c>
      <c r="T31" s="713" t="s">
        <v>21</v>
      </c>
      <c r="U31" s="714">
        <f t="shared" si="13"/>
        <v>100</v>
      </c>
      <c r="V31" s="713" t="s">
        <v>21</v>
      </c>
      <c r="W31" s="714">
        <f t="shared" si="14"/>
        <v>100</v>
      </c>
      <c r="X31" s="1537"/>
      <c r="Y31" s="3322"/>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23" t="s">
        <v>2386</v>
      </c>
      <c r="Q32" s="1534" t="str">
        <f t="shared" si="11"/>
        <v>建筑类型</v>
      </c>
      <c r="R32" s="713" t="s">
        <v>21</v>
      </c>
      <c r="S32" s="714">
        <f t="shared" si="12"/>
        <v>100</v>
      </c>
      <c r="T32" s="713" t="s">
        <v>21</v>
      </c>
      <c r="U32" s="714">
        <f t="shared" si="13"/>
        <v>100</v>
      </c>
      <c r="V32" s="713" t="s">
        <v>21</v>
      </c>
      <c r="W32" s="714">
        <f t="shared" si="14"/>
        <v>100</v>
      </c>
      <c r="X32" s="1537"/>
      <c r="Y32" s="3326"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24"/>
      <c r="Q33" s="715" t="str">
        <f t="shared" si="11"/>
        <v>项目建筑规模</v>
      </c>
      <c r="R33" s="716" t="s">
        <v>21</v>
      </c>
      <c r="S33" s="717" t="e">
        <f t="shared" si="12"/>
        <v>#N/A</v>
      </c>
      <c r="T33" s="716" t="s">
        <v>21</v>
      </c>
      <c r="U33" s="717" t="e">
        <f t="shared" si="13"/>
        <v>#N/A</v>
      </c>
      <c r="V33" s="716" t="s">
        <v>21</v>
      </c>
      <c r="W33" s="717" t="e">
        <f t="shared" si="14"/>
        <v>#N/A</v>
      </c>
      <c r="X33" s="718"/>
      <c r="Y33" s="3326"/>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24"/>
      <c r="Q34" s="1534" t="str">
        <f t="shared" si="11"/>
        <v>建筑结构</v>
      </c>
      <c r="R34" s="713" t="s">
        <v>21</v>
      </c>
      <c r="S34" s="714">
        <f t="shared" si="12"/>
        <v>100</v>
      </c>
      <c r="T34" s="713" t="s">
        <v>21</v>
      </c>
      <c r="U34" s="714">
        <f t="shared" si="13"/>
        <v>100</v>
      </c>
      <c r="V34" s="713" t="s">
        <v>21</v>
      </c>
      <c r="W34" s="714">
        <f t="shared" si="14"/>
        <v>100</v>
      </c>
      <c r="X34" s="1537"/>
      <c r="Y34" s="3326"/>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24"/>
      <c r="Q35" s="1534" t="str">
        <f t="shared" si="11"/>
        <v>建筑品质</v>
      </c>
      <c r="R35" s="713" t="s">
        <v>21</v>
      </c>
      <c r="S35" s="714">
        <f t="shared" si="12"/>
        <v>100</v>
      </c>
      <c r="T35" s="713" t="s">
        <v>21</v>
      </c>
      <c r="U35" s="714">
        <f t="shared" si="13"/>
        <v>100</v>
      </c>
      <c r="V35" s="713" t="s">
        <v>21</v>
      </c>
      <c r="W35" s="714">
        <f t="shared" si="14"/>
        <v>100</v>
      </c>
      <c r="X35" s="1537"/>
      <c r="Y35" s="3326"/>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24"/>
      <c r="Q36" s="1534" t="str">
        <f t="shared" si="11"/>
        <v>公共部分装修</v>
      </c>
      <c r="R36" s="713" t="s">
        <v>21</v>
      </c>
      <c r="S36" s="714">
        <f t="shared" si="12"/>
        <v>100</v>
      </c>
      <c r="T36" s="713" t="s">
        <v>21</v>
      </c>
      <c r="U36" s="714">
        <f t="shared" si="13"/>
        <v>100</v>
      </c>
      <c r="V36" s="713" t="s">
        <v>21</v>
      </c>
      <c r="W36" s="714">
        <f t="shared" si="14"/>
        <v>100</v>
      </c>
      <c r="X36" s="1537"/>
      <c r="Y36" s="3326"/>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24"/>
      <c r="Q37" s="1525" t="str">
        <f t="shared" si="11"/>
        <v>成新度</v>
      </c>
      <c r="R37" s="709" t="s">
        <v>21</v>
      </c>
      <c r="S37" s="710" t="e">
        <f t="shared" si="12"/>
        <v>#N/A</v>
      </c>
      <c r="T37" s="709" t="s">
        <v>21</v>
      </c>
      <c r="U37" s="710" t="e">
        <f t="shared" si="13"/>
        <v>#N/A</v>
      </c>
      <c r="V37" s="709" t="s">
        <v>21</v>
      </c>
      <c r="W37" s="710" t="e">
        <f t="shared" si="14"/>
        <v>#N/A</v>
      </c>
      <c r="X37" s="711"/>
      <c r="Y37" s="3326"/>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24" t="s">
        <v>2386</v>
      </c>
      <c r="Q38" s="1534" t="str">
        <f t="shared" si="11"/>
        <v>物业管理</v>
      </c>
      <c r="R38" s="713" t="s">
        <v>21</v>
      </c>
      <c r="S38" s="714">
        <f t="shared" si="12"/>
        <v>100</v>
      </c>
      <c r="T38" s="713" t="s">
        <v>21</v>
      </c>
      <c r="U38" s="714">
        <f t="shared" si="13"/>
        <v>100</v>
      </c>
      <c r="V38" s="713" t="s">
        <v>21</v>
      </c>
      <c r="W38" s="714">
        <f t="shared" si="14"/>
        <v>100</v>
      </c>
      <c r="X38" s="1537"/>
      <c r="Y38" s="3326"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24"/>
      <c r="Q39" s="1534" t="str">
        <f t="shared" si="11"/>
        <v>市政基础设施</v>
      </c>
      <c r="R39" s="713" t="s">
        <v>21</v>
      </c>
      <c r="S39" s="714">
        <f t="shared" si="12"/>
        <v>100</v>
      </c>
      <c r="T39" s="713" t="s">
        <v>21</v>
      </c>
      <c r="U39" s="714">
        <f t="shared" si="13"/>
        <v>100</v>
      </c>
      <c r="V39" s="713" t="s">
        <v>21</v>
      </c>
      <c r="W39" s="714">
        <f t="shared" si="14"/>
        <v>100</v>
      </c>
      <c r="X39" s="1537"/>
      <c r="Y39" s="3326"/>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24"/>
      <c r="Q40" s="1534" t="str">
        <f t="shared" si="11"/>
        <v>房型</v>
      </c>
      <c r="R40" s="713" t="s">
        <v>21</v>
      </c>
      <c r="S40" s="714">
        <f t="shared" si="12"/>
        <v>100</v>
      </c>
      <c r="T40" s="713" t="s">
        <v>21</v>
      </c>
      <c r="U40" s="714">
        <f t="shared" si="13"/>
        <v>100</v>
      </c>
      <c r="V40" s="713" t="s">
        <v>21</v>
      </c>
      <c r="W40" s="714">
        <f t="shared" si="14"/>
        <v>100</v>
      </c>
      <c r="X40" s="1537"/>
      <c r="Y40" s="3326"/>
      <c r="Z40" s="1538" t="str">
        <f t="shared" si="18"/>
        <v>房型</v>
      </c>
      <c r="AA40" s="1535">
        <f t="shared" si="15"/>
        <v>1</v>
      </c>
      <c r="AB40" s="1535">
        <f t="shared" si="16"/>
        <v>1</v>
      </c>
      <c r="AC40" s="1535">
        <f t="shared" si="17"/>
        <v>1</v>
      </c>
    </row>
    <row r="41" spans="1:29" s="430" customFormat="1" ht="28.8">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24"/>
      <c r="Q41" s="715" t="str">
        <f t="shared" si="11"/>
        <v>单套/主力户型建筑面积</v>
      </c>
      <c r="R41" s="716" t="s">
        <v>21</v>
      </c>
      <c r="S41" s="717">
        <f t="shared" si="12"/>
        <v>100</v>
      </c>
      <c r="T41" s="716" t="s">
        <v>21</v>
      </c>
      <c r="U41" s="717">
        <f t="shared" si="13"/>
        <v>100</v>
      </c>
      <c r="V41" s="716" t="s">
        <v>21</v>
      </c>
      <c r="W41" s="717">
        <f t="shared" si="14"/>
        <v>100</v>
      </c>
      <c r="X41" s="718"/>
      <c r="Y41" s="3326"/>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24"/>
      <c r="Q42" s="1534" t="str">
        <f t="shared" si="11"/>
        <v>内部装修</v>
      </c>
      <c r="R42" s="713" t="s">
        <v>21</v>
      </c>
      <c r="S42" s="714">
        <f t="shared" si="12"/>
        <v>100</v>
      </c>
      <c r="T42" s="713" t="s">
        <v>21</v>
      </c>
      <c r="U42" s="714">
        <f t="shared" si="13"/>
        <v>100</v>
      </c>
      <c r="V42" s="713" t="s">
        <v>21</v>
      </c>
      <c r="W42" s="714">
        <f t="shared" si="14"/>
        <v>100</v>
      </c>
      <c r="X42" s="1537"/>
      <c r="Y42" s="3326"/>
      <c r="Z42" s="1538" t="str">
        <f t="shared" si="18"/>
        <v>内部装修</v>
      </c>
      <c r="AA42" s="1535">
        <f t="shared" si="15"/>
        <v>1</v>
      </c>
      <c r="AB42" s="1535">
        <f t="shared" si="16"/>
        <v>1</v>
      </c>
      <c r="AC42" s="1535">
        <f t="shared" si="17"/>
        <v>1</v>
      </c>
    </row>
    <row r="43" spans="1:29" ht="28.8">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24"/>
      <c r="Q43" s="1534" t="str">
        <f t="shared" si="11"/>
        <v>内部装修维护情况</v>
      </c>
      <c r="R43" s="713" t="s">
        <v>21</v>
      </c>
      <c r="S43" s="714">
        <f t="shared" si="12"/>
        <v>100</v>
      </c>
      <c r="T43" s="713" t="s">
        <v>21</v>
      </c>
      <c r="U43" s="714">
        <f t="shared" si="13"/>
        <v>100</v>
      </c>
      <c r="V43" s="713" t="s">
        <v>21</v>
      </c>
      <c r="W43" s="714">
        <f t="shared" si="14"/>
        <v>100</v>
      </c>
      <c r="X43" s="1537"/>
      <c r="Y43" s="3326"/>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24"/>
      <c r="Q44" s="1525">
        <f t="shared" si="11"/>
        <v>111</v>
      </c>
      <c r="R44" s="709" t="s">
        <v>21</v>
      </c>
      <c r="S44" s="710">
        <f t="shared" si="12"/>
        <v>100</v>
      </c>
      <c r="T44" s="709" t="s">
        <v>21</v>
      </c>
      <c r="U44" s="710">
        <f t="shared" si="13"/>
        <v>100</v>
      </c>
      <c r="V44" s="709" t="s">
        <v>21</v>
      </c>
      <c r="W44" s="710">
        <f t="shared" si="14"/>
        <v>100</v>
      </c>
      <c r="X44" s="711"/>
      <c r="Y44" s="3326"/>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24"/>
      <c r="Q45" s="1534">
        <f t="shared" si="11"/>
        <v>111</v>
      </c>
      <c r="R45" s="713" t="s">
        <v>21</v>
      </c>
      <c r="S45" s="714">
        <f t="shared" si="12"/>
        <v>100</v>
      </c>
      <c r="T45" s="713" t="s">
        <v>21</v>
      </c>
      <c r="U45" s="714">
        <f t="shared" si="13"/>
        <v>100</v>
      </c>
      <c r="V45" s="713" t="s">
        <v>21</v>
      </c>
      <c r="W45" s="714">
        <f t="shared" si="14"/>
        <v>100</v>
      </c>
      <c r="X45" s="1537"/>
      <c r="Y45" s="3326"/>
      <c r="Z45" s="1538">
        <f t="shared" si="18"/>
        <v>111</v>
      </c>
      <c r="AA45" s="1535">
        <f t="shared" si="15"/>
        <v>1</v>
      </c>
      <c r="AB45" s="1535">
        <f t="shared" si="16"/>
        <v>1</v>
      </c>
      <c r="AC45" s="1535">
        <f t="shared" si="17"/>
        <v>1</v>
      </c>
    </row>
    <row r="46" spans="1:29" ht="15.6"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25"/>
      <c r="Q46" s="1534">
        <f t="shared" si="11"/>
        <v>111</v>
      </c>
      <c r="R46" s="713" t="s">
        <v>20</v>
      </c>
      <c r="S46" s="714">
        <f t="shared" si="12"/>
        <v>100</v>
      </c>
      <c r="T46" s="713" t="s">
        <v>20</v>
      </c>
      <c r="U46" s="714">
        <f t="shared" si="13"/>
        <v>100</v>
      </c>
      <c r="V46" s="713" t="s">
        <v>20</v>
      </c>
      <c r="W46" s="714">
        <f t="shared" si="14"/>
        <v>100</v>
      </c>
      <c r="X46" s="1537"/>
      <c r="Y46" s="3327"/>
      <c r="Z46" s="1538">
        <f t="shared" si="18"/>
        <v>111</v>
      </c>
      <c r="AA46" s="1535">
        <f t="shared" si="15"/>
        <v>1</v>
      </c>
      <c r="AB46" s="1535">
        <f t="shared" si="16"/>
        <v>1</v>
      </c>
      <c r="AC46" s="1535">
        <f t="shared" si="17"/>
        <v>1</v>
      </c>
    </row>
    <row r="47" spans="1:29" ht="14.4">
      <c r="A47" s="438" t="s">
        <v>2398</v>
      </c>
      <c r="B47" s="439"/>
      <c r="C47" s="1315" t="s">
        <v>19</v>
      </c>
      <c r="D47" s="1316"/>
      <c r="E47" s="1317"/>
      <c r="F47" s="1318"/>
      <c r="G47" s="1319"/>
      <c r="H47" s="1320"/>
      <c r="I47" s="1317"/>
      <c r="J47" s="1320"/>
      <c r="K47" s="2098"/>
      <c r="L47" s="2951"/>
      <c r="M47" s="2952"/>
      <c r="N47" s="2943"/>
      <c r="O47" s="2952"/>
      <c r="P47" s="3328" t="str">
        <f>A47</f>
        <v>成交单价（元/平方米）</v>
      </c>
      <c r="Q47" s="3328"/>
      <c r="R47" s="3329">
        <f>E47</f>
        <v>0</v>
      </c>
      <c r="S47" s="3329"/>
      <c r="T47" s="3329">
        <f>G47</f>
        <v>0</v>
      </c>
      <c r="U47" s="3329"/>
      <c r="V47" s="3329">
        <f>I47</f>
        <v>0</v>
      </c>
      <c r="W47" s="3329"/>
      <c r="X47" s="698"/>
      <c r="Y47" s="720"/>
      <c r="Z47" s="698"/>
      <c r="AA47" s="698"/>
      <c r="AB47" s="698"/>
      <c r="AC47" s="698"/>
    </row>
    <row r="48" spans="1:29" ht="15" thickBot="1">
      <c r="A48" s="445" t="s">
        <v>2399</v>
      </c>
      <c r="B48" s="446"/>
      <c r="C48" s="1321" t="e">
        <f>R49</f>
        <v>#DIV/0!</v>
      </c>
      <c r="D48" s="2536" t="s">
        <v>2879</v>
      </c>
      <c r="E48" s="1322" t="e">
        <f>R48</f>
        <v>#DIV/0!</v>
      </c>
      <c r="F48" s="2537"/>
      <c r="G48" s="1321" t="e">
        <f>T48</f>
        <v>#DIV/0!</v>
      </c>
      <c r="H48" s="2537"/>
      <c r="I48" s="1322" t="e">
        <f>V48</f>
        <v>#DIV/0!</v>
      </c>
      <c r="J48" s="2537"/>
      <c r="K48" s="2538">
        <f>F48+H48+J48</f>
        <v>0</v>
      </c>
      <c r="L48" s="2951"/>
      <c r="M48" s="2952"/>
      <c r="N48" s="2952"/>
      <c r="O48" s="2952"/>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8"/>
      <c r="Y48" s="698"/>
      <c r="Z48" s="698"/>
      <c r="AA48" s="698"/>
      <c r="AB48" s="698"/>
      <c r="AC48" s="698"/>
    </row>
    <row r="49" spans="1:29" ht="15" thickBot="1">
      <c r="A49" s="449" t="s">
        <v>2400</v>
      </c>
      <c r="B49" s="450"/>
      <c r="C49" s="1323" t="e">
        <f>R49</f>
        <v>#DIV/0!</v>
      </c>
      <c r="D49" s="1324"/>
      <c r="E49" s="1324"/>
      <c r="F49" s="1324"/>
      <c r="G49" s="1324"/>
      <c r="H49" s="1324"/>
      <c r="I49" s="1324"/>
      <c r="J49" s="1324"/>
      <c r="K49" s="2099"/>
      <c r="L49" s="2951"/>
      <c r="M49" s="2952"/>
      <c r="N49" s="2952"/>
      <c r="O49" s="2952"/>
      <c r="P49" s="3341" t="str">
        <f>A49</f>
        <v>估价对象XX用房的比较价值（楼面单价，元/平方米）</v>
      </c>
      <c r="Q49" s="3342"/>
      <c r="R49" s="3343" t="e">
        <f>IF(F1="售价",ROUND(IF(D48="简单平均",AVERAGE(R48:V48),R48*F48+T48*H48+V48*J48),0),ROUND(IF(D48="简单平均",AVERAGE(R48:V48),R48*F48+T48*H48+V48*J48),1))</f>
        <v>#DIV/0!</v>
      </c>
      <c r="S49" s="3343"/>
      <c r="T49" s="3343"/>
      <c r="U49" s="3343"/>
      <c r="V49" s="3343"/>
      <c r="W49" s="3343"/>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2.2" thickBot="1">
      <c r="A57" s="702" t="s">
        <v>2404</v>
      </c>
      <c r="B57" s="698"/>
      <c r="C57" s="703"/>
      <c r="D57" s="703"/>
      <c r="E57" s="703"/>
      <c r="F57" s="704"/>
      <c r="G57" s="704"/>
      <c r="H57" s="703"/>
      <c r="I57" s="703"/>
      <c r="J57" s="703"/>
      <c r="K57" s="1071"/>
      <c r="L57" s="1072"/>
      <c r="M57" s="1070"/>
      <c r="N57" s="1070"/>
      <c r="O57" s="1070"/>
      <c r="P57" s="2102"/>
      <c r="Q57" s="461"/>
    </row>
    <row r="58" spans="1:29" s="465" customFormat="1" ht="14.4">
      <c r="A58" s="462" t="s">
        <v>2405</v>
      </c>
      <c r="B58" s="463"/>
      <c r="C58" s="1346" t="str">
        <f>YEAR(C7)&amp;"-"&amp;MONTH(C7)</f>
        <v>2021-12</v>
      </c>
      <c r="D58" s="1345">
        <f>EDATE(C58,-1)</f>
        <v>44501</v>
      </c>
      <c r="E58" s="1345">
        <f>EDATE(D58,-1)</f>
        <v>44470</v>
      </c>
      <c r="F58" s="1345">
        <f t="shared" ref="F58:O58" si="19">EDATE(E58,-1)</f>
        <v>44440</v>
      </c>
      <c r="G58" s="1345">
        <f t="shared" si="19"/>
        <v>44409</v>
      </c>
      <c r="H58" s="1345">
        <f t="shared" si="19"/>
        <v>44378</v>
      </c>
      <c r="I58" s="1345">
        <f t="shared" si="19"/>
        <v>44348</v>
      </c>
      <c r="J58" s="1345">
        <f t="shared" si="19"/>
        <v>44317</v>
      </c>
      <c r="K58" s="1345">
        <f t="shared" si="19"/>
        <v>44287</v>
      </c>
      <c r="L58" s="1345">
        <f t="shared" si="19"/>
        <v>44256</v>
      </c>
      <c r="M58" s="1345">
        <f t="shared" si="19"/>
        <v>44228</v>
      </c>
      <c r="N58" s="1345">
        <f t="shared" si="19"/>
        <v>44197</v>
      </c>
      <c r="O58" s="1345">
        <f t="shared" si="19"/>
        <v>44166</v>
      </c>
      <c r="P58" s="1341"/>
    </row>
    <row r="59" spans="1:29" s="113" customFormat="1">
      <c r="A59" s="466"/>
      <c r="B59" s="2103"/>
      <c r="C59" s="1343">
        <v>100</v>
      </c>
      <c r="D59" s="468"/>
      <c r="E59" s="469"/>
      <c r="F59" s="469"/>
      <c r="G59" s="469"/>
      <c r="H59" s="469"/>
      <c r="I59" s="469"/>
      <c r="J59" s="469"/>
      <c r="K59" s="469"/>
      <c r="L59" s="469"/>
      <c r="M59" s="470"/>
      <c r="N59" s="469"/>
      <c r="O59" s="470"/>
      <c r="P59" s="2104"/>
    </row>
    <row r="60" spans="1:29" s="113" customFormat="1" ht="15" thickBot="1">
      <c r="A60" s="472" t="s">
        <v>2406</v>
      </c>
      <c r="B60" s="473"/>
      <c r="C60" s="474"/>
      <c r="D60" s="475"/>
      <c r="E60" s="475"/>
      <c r="F60" s="475"/>
      <c r="G60" s="475"/>
      <c r="H60" s="475"/>
      <c r="I60" s="475"/>
      <c r="J60" s="475"/>
      <c r="K60" s="475"/>
      <c r="L60" s="475"/>
      <c r="M60" s="476"/>
      <c r="N60" s="475"/>
      <c r="O60" s="476"/>
      <c r="P60" s="2104"/>
      <c r="Q60" s="461"/>
    </row>
    <row r="61" spans="1:29" s="113" customFormat="1" ht="14.4">
      <c r="A61" s="478" t="s">
        <v>2407</v>
      </c>
      <c r="B61" s="467"/>
      <c r="C61" s="479" t="s">
        <v>2408</v>
      </c>
      <c r="D61" s="480"/>
      <c r="E61" s="480"/>
      <c r="F61" s="480"/>
      <c r="G61" s="480"/>
      <c r="H61" s="480"/>
      <c r="I61" s="480"/>
      <c r="J61" s="480"/>
      <c r="K61" s="480"/>
      <c r="L61" s="481"/>
      <c r="M61" s="482"/>
      <c r="N61" s="1062"/>
      <c r="O61" s="1062"/>
      <c r="P61" s="2105"/>
      <c r="Q61" s="461"/>
    </row>
    <row r="62" spans="1:29" s="113" customFormat="1" ht="14.4" thickBot="1">
      <c r="A62" s="478"/>
      <c r="B62" s="467"/>
      <c r="C62" s="468">
        <v>100</v>
      </c>
      <c r="D62" s="469"/>
      <c r="E62" s="469"/>
      <c r="F62" s="469"/>
      <c r="G62" s="469"/>
      <c r="H62" s="469"/>
      <c r="I62" s="469"/>
      <c r="J62" s="469"/>
      <c r="K62" s="469"/>
      <c r="L62" s="469"/>
      <c r="M62" s="471"/>
      <c r="N62" s="1062"/>
      <c r="O62" s="1062"/>
      <c r="P62" s="2104"/>
      <c r="Q62" s="461"/>
    </row>
    <row r="63" spans="1:29" ht="14.4">
      <c r="A63" s="484" t="s">
        <v>2409</v>
      </c>
      <c r="B63" s="485" t="s">
        <v>2375</v>
      </c>
      <c r="C63" s="486">
        <f>C9</f>
        <v>0</v>
      </c>
      <c r="D63" s="487"/>
      <c r="E63" s="487"/>
      <c r="F63" s="487"/>
      <c r="G63" s="487"/>
      <c r="H63" s="487"/>
      <c r="I63" s="487"/>
      <c r="J63" s="487"/>
      <c r="K63" s="488"/>
      <c r="L63" s="489"/>
      <c r="M63" s="490"/>
      <c r="N63" s="1063"/>
      <c r="O63" s="1063"/>
      <c r="P63" s="2106"/>
      <c r="Q63" s="461"/>
    </row>
    <row r="64" spans="1:29" ht="14.4" thickBot="1">
      <c r="A64" s="491"/>
      <c r="B64" s="492"/>
      <c r="C64" s="493">
        <v>100</v>
      </c>
      <c r="D64" s="493"/>
      <c r="E64" s="493"/>
      <c r="F64" s="493"/>
      <c r="G64" s="493"/>
      <c r="H64" s="493"/>
      <c r="I64" s="493"/>
      <c r="J64" s="493"/>
      <c r="K64" s="493"/>
      <c r="L64" s="493"/>
      <c r="M64" s="494"/>
      <c r="N64" s="1064"/>
      <c r="O64" s="1064"/>
      <c r="P64" s="2106"/>
      <c r="Q64" s="461"/>
    </row>
    <row r="65" spans="1:17" ht="29.4"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c r="A68" s="491"/>
      <c r="B68" s="505"/>
      <c r="C68" s="506"/>
      <c r="D68" s="506"/>
      <c r="E68" s="506"/>
      <c r="F68" s="506"/>
      <c r="G68" s="506"/>
      <c r="H68" s="506"/>
      <c r="I68" s="506"/>
      <c r="J68" s="506"/>
      <c r="K68" s="507"/>
      <c r="L68" s="508"/>
      <c r="M68" s="509"/>
      <c r="N68" s="1063"/>
      <c r="O68" s="1063"/>
      <c r="P68" s="2106"/>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4.4" thickTop="1">
      <c r="A70" s="510"/>
      <c r="B70" s="495">
        <f>B12</f>
        <v>111</v>
      </c>
      <c r="C70" s="511"/>
      <c r="D70" s="511"/>
      <c r="E70" s="511"/>
      <c r="F70" s="511"/>
      <c r="G70" s="511"/>
      <c r="H70" s="512"/>
      <c r="I70" s="512"/>
      <c r="J70" s="512"/>
      <c r="K70" s="512"/>
      <c r="L70" s="513"/>
      <c r="M70" s="514"/>
      <c r="N70" s="1065"/>
      <c r="O70" s="1065"/>
      <c r="P70" s="2107"/>
      <c r="Q70" s="516"/>
    </row>
    <row r="71" spans="1:17" s="430" customFormat="1" ht="14.4" thickBot="1">
      <c r="A71" s="510"/>
      <c r="B71" s="500"/>
      <c r="C71" s="517"/>
      <c r="D71" s="493"/>
      <c r="E71" s="493"/>
      <c r="F71" s="493"/>
      <c r="G71" s="493"/>
      <c r="H71" s="493"/>
      <c r="I71" s="493"/>
      <c r="J71" s="493"/>
      <c r="K71" s="493"/>
      <c r="L71" s="493"/>
      <c r="M71" s="494"/>
      <c r="N71" s="1064"/>
      <c r="O71" s="1064"/>
      <c r="P71" s="2107"/>
      <c r="Q71" s="516"/>
    </row>
    <row r="72" spans="1:17" s="430" customFormat="1" ht="14.4" thickTop="1">
      <c r="A72" s="510"/>
      <c r="B72" s="495">
        <f>B13</f>
        <v>111</v>
      </c>
      <c r="C72" s="511"/>
      <c r="D72" s="511"/>
      <c r="E72" s="511"/>
      <c r="F72" s="511"/>
      <c r="G72" s="511"/>
      <c r="H72" s="512"/>
      <c r="I72" s="512"/>
      <c r="J72" s="512"/>
      <c r="K72" s="512"/>
      <c r="L72" s="513"/>
      <c r="M72" s="514"/>
      <c r="N72" s="1065"/>
      <c r="O72" s="1065"/>
      <c r="P72" s="2108"/>
      <c r="Q72" s="518"/>
    </row>
    <row r="73" spans="1:17" s="430" customFormat="1" ht="14.4" thickBot="1">
      <c r="A73" s="510"/>
      <c r="B73" s="500"/>
      <c r="C73" s="517"/>
      <c r="D73" s="517"/>
      <c r="E73" s="517"/>
      <c r="F73" s="517"/>
      <c r="G73" s="517"/>
      <c r="H73" s="519"/>
      <c r="I73" s="519"/>
      <c r="J73" s="519"/>
      <c r="K73" s="519"/>
      <c r="L73" s="519"/>
      <c r="M73" s="520"/>
      <c r="N73" s="1065"/>
      <c r="O73" s="1065"/>
      <c r="P73" s="2107"/>
      <c r="Q73" s="516"/>
    </row>
    <row r="74" spans="1:17" s="430" customFormat="1" ht="14.4" thickTop="1">
      <c r="A74" s="510"/>
      <c r="B74" s="503">
        <f>B14</f>
        <v>111</v>
      </c>
      <c r="C74" s="511"/>
      <c r="D74" s="511"/>
      <c r="E74" s="511"/>
      <c r="F74" s="511"/>
      <c r="G74" s="480"/>
      <c r="H74" s="521"/>
      <c r="I74" s="521"/>
      <c r="J74" s="521"/>
      <c r="K74" s="521"/>
      <c r="L74" s="522"/>
      <c r="M74" s="523"/>
      <c r="N74" s="1065"/>
      <c r="O74" s="1065"/>
      <c r="P74" s="2109"/>
      <c r="Q74" s="516"/>
    </row>
    <row r="75" spans="1:17" s="430" customFormat="1" ht="14.4" thickBot="1">
      <c r="A75" s="525"/>
      <c r="B75" s="526"/>
      <c r="C75" s="527"/>
      <c r="D75" s="527"/>
      <c r="E75" s="527"/>
      <c r="F75" s="527"/>
      <c r="G75" s="527"/>
      <c r="H75" s="528"/>
      <c r="I75" s="528"/>
      <c r="J75" s="528"/>
      <c r="K75" s="528"/>
      <c r="L75" s="528"/>
      <c r="M75" s="529"/>
      <c r="N75" s="1065"/>
      <c r="O75" s="1065"/>
      <c r="P75" s="2107"/>
      <c r="Q75" s="516"/>
    </row>
    <row r="76" spans="1:17" ht="14.4">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 thickTop="1">
      <c r="A86" s="536"/>
      <c r="B86" s="495" t="s">
        <v>2431</v>
      </c>
      <c r="C86" s="511"/>
      <c r="D86" s="511"/>
      <c r="E86" s="511"/>
      <c r="F86" s="511"/>
      <c r="G86" s="511"/>
      <c r="H86" s="511"/>
      <c r="I86" s="511"/>
      <c r="J86" s="511"/>
      <c r="K86" s="511"/>
      <c r="L86" s="537"/>
      <c r="M86" s="538"/>
      <c r="N86" s="1062"/>
      <c r="O86" s="1062"/>
      <c r="P86" s="2106"/>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 thickTop="1">
      <c r="A88" s="536"/>
      <c r="B88" s="495" t="s">
        <v>2432</v>
      </c>
      <c r="C88" s="511"/>
      <c r="D88" s="511"/>
      <c r="E88" s="511"/>
      <c r="F88" s="2111"/>
      <c r="G88" s="511"/>
      <c r="H88" s="511"/>
      <c r="I88" s="511"/>
      <c r="J88" s="511"/>
      <c r="K88" s="511"/>
      <c r="L88" s="511"/>
      <c r="M88" s="538"/>
      <c r="N88" s="1062"/>
      <c r="O88" s="1062"/>
      <c r="P88" s="2106"/>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4.4" thickTop="1">
      <c r="A90" s="510"/>
      <c r="B90" s="495">
        <f>B27</f>
        <v>111</v>
      </c>
      <c r="C90" s="511"/>
      <c r="D90" s="511"/>
      <c r="E90" s="511"/>
      <c r="F90" s="511"/>
      <c r="G90" s="511"/>
      <c r="H90" s="512"/>
      <c r="I90" s="512"/>
      <c r="J90" s="512"/>
      <c r="K90" s="512"/>
      <c r="L90" s="513"/>
      <c r="M90" s="514"/>
      <c r="N90" s="1065"/>
      <c r="O90" s="1065"/>
      <c r="P90" s="2107"/>
      <c r="Q90" s="516"/>
    </row>
    <row r="91" spans="1:17" s="430" customFormat="1" ht="14.4" thickBot="1">
      <c r="A91" s="510"/>
      <c r="B91" s="500"/>
      <c r="C91" s="517"/>
      <c r="D91" s="517"/>
      <c r="E91" s="517"/>
      <c r="F91" s="517"/>
      <c r="G91" s="517"/>
      <c r="H91" s="519"/>
      <c r="I91" s="519"/>
      <c r="J91" s="519"/>
      <c r="K91" s="519"/>
      <c r="L91" s="519"/>
      <c r="M91" s="520"/>
      <c r="N91" s="1065"/>
      <c r="O91" s="1065"/>
      <c r="P91" s="2107"/>
      <c r="Q91" s="516"/>
    </row>
    <row r="92" spans="1:17" ht="14.4" thickTop="1">
      <c r="A92" s="491"/>
      <c r="B92" s="495">
        <f>B28</f>
        <v>111</v>
      </c>
      <c r="C92" s="511"/>
      <c r="D92" s="511"/>
      <c r="E92" s="511"/>
      <c r="F92" s="511"/>
      <c r="G92" s="540"/>
      <c r="H92" s="540"/>
      <c r="I92" s="540"/>
      <c r="J92" s="540"/>
      <c r="K92" s="541"/>
      <c r="L92" s="542"/>
      <c r="M92" s="543"/>
      <c r="N92" s="1063"/>
      <c r="O92" s="1063"/>
      <c r="P92" s="2106"/>
      <c r="Q92" s="461"/>
    </row>
    <row r="93" spans="1:17" ht="14.4" thickBot="1">
      <c r="A93" s="491"/>
      <c r="B93" s="500"/>
      <c r="C93" s="517"/>
      <c r="D93" s="493"/>
      <c r="E93" s="493"/>
      <c r="F93" s="493"/>
      <c r="G93" s="493"/>
      <c r="H93" s="493"/>
      <c r="I93" s="493"/>
      <c r="J93" s="493"/>
      <c r="K93" s="493"/>
      <c r="L93" s="493"/>
      <c r="M93" s="494"/>
      <c r="N93" s="1064"/>
      <c r="O93" s="1064"/>
      <c r="P93" s="2106"/>
      <c r="Q93" s="461"/>
    </row>
    <row r="94" spans="1:17" ht="14.4" thickTop="1">
      <c r="A94" s="491"/>
      <c r="B94" s="495">
        <f>B29</f>
        <v>111</v>
      </c>
      <c r="C94" s="511"/>
      <c r="D94" s="511"/>
      <c r="E94" s="511"/>
      <c r="F94" s="511"/>
      <c r="G94" s="540"/>
      <c r="H94" s="540"/>
      <c r="I94" s="540"/>
      <c r="J94" s="540"/>
      <c r="K94" s="541"/>
      <c r="L94" s="542"/>
      <c r="M94" s="543"/>
      <c r="N94" s="1063"/>
      <c r="O94" s="1063"/>
      <c r="P94" s="2106"/>
      <c r="Q94" s="461"/>
    </row>
    <row r="95" spans="1:17" ht="14.4" thickBot="1">
      <c r="A95" s="491"/>
      <c r="B95" s="500"/>
      <c r="C95" s="517"/>
      <c r="D95" s="517"/>
      <c r="E95" s="517"/>
      <c r="F95" s="517"/>
      <c r="G95" s="493"/>
      <c r="H95" s="493"/>
      <c r="I95" s="493"/>
      <c r="J95" s="493"/>
      <c r="K95" s="493"/>
      <c r="L95" s="493"/>
      <c r="M95" s="494"/>
      <c r="N95" s="1064"/>
      <c r="O95" s="1064"/>
      <c r="P95" s="2106"/>
      <c r="Q95" s="461"/>
    </row>
    <row r="96" spans="1:17" ht="14.4" thickTop="1">
      <c r="A96" s="491"/>
      <c r="B96" s="495">
        <f>B30</f>
        <v>111</v>
      </c>
      <c r="C96" s="511"/>
      <c r="D96" s="511"/>
      <c r="E96" s="511"/>
      <c r="F96" s="511"/>
      <c r="G96" s="540"/>
      <c r="H96" s="540"/>
      <c r="I96" s="540"/>
      <c r="J96" s="540"/>
      <c r="K96" s="541"/>
      <c r="L96" s="542"/>
      <c r="M96" s="543"/>
      <c r="N96" s="1063"/>
      <c r="O96" s="1063"/>
      <c r="P96" s="2106"/>
      <c r="Q96" s="461"/>
    </row>
    <row r="97" spans="1:17" ht="14.4" thickBot="1">
      <c r="A97" s="491"/>
      <c r="B97" s="500"/>
      <c r="C97" s="527"/>
      <c r="D97" s="527"/>
      <c r="E97" s="527"/>
      <c r="F97" s="527"/>
      <c r="G97" s="493"/>
      <c r="H97" s="493"/>
      <c r="I97" s="493"/>
      <c r="J97" s="493"/>
      <c r="K97" s="493"/>
      <c r="L97" s="493"/>
      <c r="M97" s="494"/>
      <c r="N97" s="1064"/>
      <c r="O97" s="1064"/>
      <c r="P97" s="2106"/>
      <c r="Q97" s="461"/>
    </row>
    <row r="98" spans="1:17" ht="14.4" thickTop="1">
      <c r="A98" s="491"/>
      <c r="B98" s="503">
        <f>B31</f>
        <v>111</v>
      </c>
      <c r="C98" s="544"/>
      <c r="D98" s="544"/>
      <c r="E98" s="544"/>
      <c r="F98" s="544"/>
      <c r="G98" s="544"/>
      <c r="H98" s="544"/>
      <c r="I98" s="544"/>
      <c r="J98" s="544"/>
      <c r="K98" s="545"/>
      <c r="L98" s="546"/>
      <c r="M98" s="547"/>
      <c r="N98" s="1063"/>
      <c r="O98" s="1063"/>
      <c r="P98" s="2106"/>
      <c r="Q98" s="461"/>
    </row>
    <row r="99" spans="1:17" ht="14.4" thickBot="1">
      <c r="A99" s="2112"/>
      <c r="B99" s="526"/>
      <c r="C99" s="548"/>
      <c r="D99" s="548"/>
      <c r="E99" s="548"/>
      <c r="F99" s="548"/>
      <c r="G99" s="548"/>
      <c r="H99" s="548"/>
      <c r="I99" s="548"/>
      <c r="J99" s="548"/>
      <c r="K99" s="548"/>
      <c r="L99" s="548"/>
      <c r="M99" s="549"/>
      <c r="N99" s="1064"/>
      <c r="O99" s="1064"/>
      <c r="P99" s="2106"/>
      <c r="Q99" s="461"/>
    </row>
    <row r="100" spans="1:17" ht="14.4">
      <c r="A100" s="484" t="s">
        <v>2384</v>
      </c>
      <c r="B100" s="485" t="s">
        <v>2433</v>
      </c>
      <c r="C100" s="487"/>
      <c r="D100" s="487"/>
      <c r="E100" s="487"/>
      <c r="F100" s="487"/>
      <c r="G100" s="487"/>
      <c r="H100" s="487"/>
      <c r="I100" s="487"/>
      <c r="J100" s="487"/>
      <c r="K100" s="488"/>
      <c r="L100" s="489"/>
      <c r="M100" s="490"/>
      <c r="N100" s="1063"/>
      <c r="O100" s="1063"/>
      <c r="P100" s="2106"/>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4.4"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9.4"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4.4"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29.4"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4.4"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4.4" thickBot="1">
      <c r="A127" s="510"/>
      <c r="B127" s="500"/>
      <c r="C127" s="517"/>
      <c r="D127" s="493"/>
      <c r="E127" s="493"/>
      <c r="F127" s="493"/>
      <c r="G127" s="517"/>
      <c r="H127" s="519"/>
      <c r="I127" s="519"/>
      <c r="J127" s="519"/>
      <c r="K127" s="519"/>
      <c r="L127" s="519"/>
      <c r="M127" s="520"/>
      <c r="N127" s="1065"/>
      <c r="O127" s="1065"/>
      <c r="P127" s="2107"/>
      <c r="Q127" s="516"/>
    </row>
    <row r="128" spans="1:17" ht="14.4" thickTop="1">
      <c r="A128" s="556"/>
      <c r="B128" s="495">
        <f>B45</f>
        <v>111</v>
      </c>
      <c r="C128" s="511"/>
      <c r="D128" s="511"/>
      <c r="E128" s="511"/>
      <c r="F128" s="511"/>
      <c r="G128" s="540"/>
      <c r="H128" s="540"/>
      <c r="I128" s="540"/>
      <c r="J128" s="540"/>
      <c r="K128" s="541"/>
      <c r="L128" s="542"/>
      <c r="M128" s="543"/>
      <c r="N128" s="1063"/>
      <c r="O128" s="1063"/>
      <c r="P128" s="2106"/>
      <c r="Q128" s="461"/>
    </row>
    <row r="129" spans="1:17" ht="14.4" thickBot="1">
      <c r="A129" s="491"/>
      <c r="B129" s="500"/>
      <c r="C129" s="517"/>
      <c r="D129" s="517"/>
      <c r="E129" s="517"/>
      <c r="F129" s="517"/>
      <c r="G129" s="493"/>
      <c r="H129" s="493"/>
      <c r="I129" s="493"/>
      <c r="J129" s="493"/>
      <c r="K129" s="493"/>
      <c r="L129" s="493"/>
      <c r="M129" s="494"/>
      <c r="N129" s="1064"/>
      <c r="O129" s="1064"/>
      <c r="P129" s="2106"/>
      <c r="Q129" s="461"/>
    </row>
    <row r="130" spans="1:17" ht="14.4" thickTop="1">
      <c r="A130" s="556"/>
      <c r="B130" s="503">
        <f>B46</f>
        <v>111</v>
      </c>
      <c r="C130" s="511"/>
      <c r="D130" s="511"/>
      <c r="E130" s="511"/>
      <c r="F130" s="511"/>
      <c r="G130" s="544"/>
      <c r="H130" s="544"/>
      <c r="I130" s="544"/>
      <c r="J130" s="544"/>
      <c r="K130" s="480"/>
      <c r="L130" s="481"/>
      <c r="M130" s="547"/>
      <c r="N130" s="1063"/>
      <c r="O130" s="1063"/>
      <c r="P130" s="2106"/>
      <c r="Q130" s="461"/>
    </row>
    <row r="131" spans="1:17" ht="14.4"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6.2"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ht="14.4">
      <c r="B147" s="2113" t="s">
        <v>2461</v>
      </c>
    </row>
    <row r="148" spans="2:11" ht="14.4">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6" priority="19" stopIfTrue="1" operator="containsText" text="超过">
      <formula>NOT(ISERROR(SEARCH("超过",F52)))</formula>
    </cfRule>
  </conditionalFormatting>
  <conditionalFormatting sqref="J54">
    <cfRule type="containsText" dxfId="95" priority="18" stopIfTrue="1" operator="containsText" text="超过">
      <formula>NOT(ISERROR(SEARCH("超过",J54)))</formula>
    </cfRule>
  </conditionalFormatting>
  <conditionalFormatting sqref="H54">
    <cfRule type="containsText" dxfId="94" priority="17" stopIfTrue="1" operator="containsText" text="超过">
      <formula>NOT(ISERROR(SEARCH("超过",H54)))</formula>
    </cfRule>
  </conditionalFormatting>
  <conditionalFormatting sqref="F54">
    <cfRule type="containsText" dxfId="93" priority="16" stopIfTrue="1" operator="containsText" text="超过">
      <formula>NOT(ISERROR(SEARCH("超过",F54)))</formula>
    </cfRule>
  </conditionalFormatting>
  <conditionalFormatting sqref="F53 H53 J53">
    <cfRule type="containsText" dxfId="92" priority="15" stopIfTrue="1" operator="containsText" text="超过">
      <formula>NOT(ISERROR(SEARCH("超过",F53)))</formula>
    </cfRule>
  </conditionalFormatting>
  <conditionalFormatting sqref="E52">
    <cfRule type="expression" dxfId="91" priority="14" stopIfTrue="1">
      <formula>$F$52="超过30%"</formula>
    </cfRule>
  </conditionalFormatting>
  <conditionalFormatting sqref="G54">
    <cfRule type="expression" dxfId="90" priority="12" stopIfTrue="1">
      <formula>$H$54="超过30%"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43436.4</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4.4">
      <c r="A4" s="361" t="s">
        <v>2466</v>
      </c>
      <c r="B4" s="362"/>
      <c r="C4" s="3303" t="s">
        <v>2467</v>
      </c>
      <c r="D4" s="3304"/>
      <c r="E4" s="3305" t="s">
        <v>2468</v>
      </c>
      <c r="F4" s="3306"/>
      <c r="G4" s="3303" t="s">
        <v>2469</v>
      </c>
      <c r="H4" s="3304"/>
      <c r="I4" s="3303" t="s">
        <v>2470</v>
      </c>
      <c r="J4" s="3304"/>
      <c r="K4" s="567" t="s">
        <v>2471</v>
      </c>
      <c r="L4" s="1043"/>
      <c r="M4" s="1044"/>
      <c r="N4" s="1044"/>
      <c r="O4" s="1044"/>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29">
      <c r="A5" s="364"/>
      <c r="B5" s="365"/>
      <c r="C5" s="3292" t="s">
        <v>2363</v>
      </c>
      <c r="D5" s="3293"/>
      <c r="E5" s="3336" t="s">
        <v>2364</v>
      </c>
      <c r="F5" s="3291"/>
      <c r="G5" s="3292" t="s">
        <v>2365</v>
      </c>
      <c r="H5" s="3293"/>
      <c r="I5" s="3292" t="s">
        <v>2366</v>
      </c>
      <c r="J5" s="3293"/>
      <c r="K5" s="567"/>
      <c r="L5" s="1043"/>
      <c r="M5" s="1044"/>
      <c r="N5" s="1044"/>
      <c r="O5" s="1044"/>
      <c r="P5" s="3339"/>
      <c r="Q5" s="3310"/>
      <c r="R5" s="3288"/>
      <c r="S5" s="3289"/>
      <c r="T5" s="3288"/>
      <c r="U5" s="3289"/>
      <c r="V5" s="3316"/>
      <c r="W5" s="3316"/>
      <c r="X5" s="1537"/>
      <c r="Y5" s="3288"/>
      <c r="Z5" s="3289"/>
      <c r="AA5" s="3282"/>
      <c r="AB5" s="3282"/>
      <c r="AC5" s="3282"/>
    </row>
    <row r="6" spans="1:29" ht="15" thickBot="1">
      <c r="A6" s="366"/>
      <c r="B6" s="367"/>
      <c r="C6" s="3294" t="s">
        <v>2367</v>
      </c>
      <c r="D6" s="3295"/>
      <c r="E6" s="3297" t="s">
        <v>2367</v>
      </c>
      <c r="F6" s="3298"/>
      <c r="G6" s="3294" t="s">
        <v>2367</v>
      </c>
      <c r="H6" s="3295"/>
      <c r="I6" s="3294" t="s">
        <v>2367</v>
      </c>
      <c r="J6" s="3295"/>
      <c r="K6" s="567" t="s">
        <v>2368</v>
      </c>
      <c r="L6" s="1043"/>
      <c r="M6" s="1044"/>
      <c r="N6" s="1044"/>
      <c r="O6" s="1044"/>
      <c r="P6" s="3340"/>
      <c r="Q6" s="3312"/>
      <c r="R6" s="3288"/>
      <c r="S6" s="3289"/>
      <c r="T6" s="3313"/>
      <c r="U6" s="3314"/>
      <c r="V6" s="3316"/>
      <c r="W6" s="3316"/>
      <c r="X6" s="1537"/>
      <c r="Y6" s="3313"/>
      <c r="Z6" s="3314"/>
      <c r="AA6" s="3283"/>
      <c r="AB6" s="3283"/>
      <c r="AC6" s="3283"/>
    </row>
    <row r="7" spans="1:29" s="113" customFormat="1" ht="15" thickBot="1">
      <c r="A7" s="368" t="s">
        <v>2369</v>
      </c>
      <c r="B7" s="369"/>
      <c r="C7" s="370">
        <f>'数据-取费表'!B2</f>
        <v>44561</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84" t="s">
        <v>2370</v>
      </c>
      <c r="Q7" s="3318"/>
      <c r="R7" s="709" t="s">
        <v>17</v>
      </c>
      <c r="S7" s="710">
        <f t="shared" ref="S7:S15" si="0">F7</f>
        <v>0</v>
      </c>
      <c r="T7" s="709" t="s">
        <v>17</v>
      </c>
      <c r="U7" s="710">
        <f t="shared" ref="U7:U15" si="1">H7</f>
        <v>0</v>
      </c>
      <c r="V7" s="709" t="s">
        <v>17</v>
      </c>
      <c r="W7" s="710">
        <f t="shared" ref="W7:W15" si="2">J7</f>
        <v>0</v>
      </c>
      <c r="X7" s="711"/>
      <c r="Y7" s="3284" t="s">
        <v>2370</v>
      </c>
      <c r="Z7" s="3285"/>
      <c r="AA7" s="712" t="e">
        <f>D7/F7</f>
        <v>#DIV/0!</v>
      </c>
      <c r="AB7" s="712" t="e">
        <f>D7/H7</f>
        <v>#DIV/0!</v>
      </c>
      <c r="AC7" s="712" t="e">
        <f>D7/J7</f>
        <v>#DIV/0!</v>
      </c>
    </row>
    <row r="8" spans="1:29" s="113" customFormat="1" ht="1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84" t="s">
        <v>2373</v>
      </c>
      <c r="Q8" s="3285"/>
      <c r="R8" s="709" t="s">
        <v>17</v>
      </c>
      <c r="S8" s="710">
        <f t="shared" si="0"/>
        <v>0</v>
      </c>
      <c r="T8" s="709" t="s">
        <v>17</v>
      </c>
      <c r="U8" s="710">
        <f t="shared" si="1"/>
        <v>0</v>
      </c>
      <c r="V8" s="709" t="s">
        <v>17</v>
      </c>
      <c r="W8" s="710">
        <f t="shared" si="2"/>
        <v>0</v>
      </c>
      <c r="X8" s="711"/>
      <c r="Y8" s="3284" t="s">
        <v>2373</v>
      </c>
      <c r="Z8" s="3285"/>
      <c r="AA8" s="712" t="e">
        <f t="shared" ref="AA8:AA40" si="3">D8/F8</f>
        <v>#DIV/0!</v>
      </c>
      <c r="AB8" s="712" t="e">
        <f t="shared" ref="AB8:AB40" si="4">D8/H8</f>
        <v>#DIV/0!</v>
      </c>
      <c r="AC8" s="712" t="e">
        <f t="shared" ref="AC8:AC40" si="5">D8/J8</f>
        <v>#DIV/0!</v>
      </c>
    </row>
    <row r="9" spans="1:29" s="113" customFormat="1" ht="14.4">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28"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29" s="386" customFormat="1" ht="28.8">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28"/>
      <c r="Q10" s="1525" t="str">
        <f t="shared" si="6"/>
        <v>土地使用年限（年）</v>
      </c>
      <c r="R10" s="709" t="s">
        <v>17</v>
      </c>
      <c r="S10" s="710">
        <f t="shared" si="0"/>
        <v>100</v>
      </c>
      <c r="T10" s="709" t="s">
        <v>17</v>
      </c>
      <c r="U10" s="710">
        <f t="shared" si="1"/>
        <v>100</v>
      </c>
      <c r="V10" s="709" t="s">
        <v>17</v>
      </c>
      <c r="W10" s="710">
        <f t="shared" si="2"/>
        <v>100</v>
      </c>
      <c r="X10" s="711"/>
      <c r="Y10" s="3257"/>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28"/>
      <c r="Q11" s="1525" t="str">
        <f t="shared" si="6"/>
        <v>容积率</v>
      </c>
      <c r="R11" s="709" t="s">
        <v>17</v>
      </c>
      <c r="S11" s="710" t="e">
        <f t="shared" si="0"/>
        <v>#N/A</v>
      </c>
      <c r="T11" s="709" t="s">
        <v>17</v>
      </c>
      <c r="U11" s="710" t="e">
        <f t="shared" si="1"/>
        <v>#N/A</v>
      </c>
      <c r="V11" s="709" t="s">
        <v>17</v>
      </c>
      <c r="W11" s="710" t="e">
        <f t="shared" si="2"/>
        <v>#N/A</v>
      </c>
      <c r="X11" s="711"/>
      <c r="Y11" s="3257"/>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328"/>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15.6"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328"/>
      <c r="Q14" s="1525">
        <f t="shared" si="6"/>
        <v>111</v>
      </c>
      <c r="R14" s="709" t="s">
        <v>17</v>
      </c>
      <c r="S14" s="710">
        <f t="shared" si="0"/>
        <v>100</v>
      </c>
      <c r="T14" s="709" t="s">
        <v>17</v>
      </c>
      <c r="U14" s="710">
        <f t="shared" si="1"/>
        <v>100</v>
      </c>
      <c r="V14" s="709" t="s">
        <v>17</v>
      </c>
      <c r="W14" s="710">
        <f t="shared" si="2"/>
        <v>100</v>
      </c>
      <c r="X14" s="711"/>
      <c r="Y14" s="3257"/>
      <c r="Z14" s="55">
        <f t="shared" si="7"/>
        <v>111</v>
      </c>
      <c r="AA14" s="712">
        <f t="shared" si="3"/>
        <v>1</v>
      </c>
      <c r="AB14" s="712">
        <f t="shared" si="4"/>
        <v>1</v>
      </c>
      <c r="AC14" s="712">
        <f t="shared" si="5"/>
        <v>1</v>
      </c>
    </row>
    <row r="15" spans="1:29" ht="69">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21" t="s">
        <v>2381</v>
      </c>
      <c r="Q15" s="1534" t="str">
        <f t="shared" si="6"/>
        <v>产业集聚程度</v>
      </c>
      <c r="R15" s="713" t="s">
        <v>17</v>
      </c>
      <c r="S15" s="714">
        <f t="shared" si="0"/>
        <v>100</v>
      </c>
      <c r="T15" s="713" t="s">
        <v>17</v>
      </c>
      <c r="U15" s="714">
        <f t="shared" si="1"/>
        <v>100</v>
      </c>
      <c r="V15" s="713" t="s">
        <v>17</v>
      </c>
      <c r="W15" s="714">
        <f t="shared" si="2"/>
        <v>100</v>
      </c>
      <c r="X15" s="1537"/>
      <c r="Y15" s="3321"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322"/>
      <c r="Q16" s="1534"/>
      <c r="R16" s="713"/>
      <c r="S16" s="714"/>
      <c r="T16" s="713"/>
      <c r="U16" s="714"/>
      <c r="V16" s="713"/>
      <c r="W16" s="714"/>
      <c r="X16" s="1537"/>
      <c r="Y16" s="3322"/>
      <c r="Z16" s="1538"/>
      <c r="AA16" s="1535">
        <v>1</v>
      </c>
      <c r="AB16" s="1535">
        <v>1</v>
      </c>
      <c r="AC16" s="1535">
        <v>1</v>
      </c>
    </row>
    <row r="17" spans="1:29" ht="96.6">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22"/>
      <c r="Q17" s="1534" t="str">
        <f>B17</f>
        <v>交通便捷度</v>
      </c>
      <c r="R17" s="713" t="s">
        <v>17</v>
      </c>
      <c r="S17" s="714">
        <f>F17</f>
        <v>100</v>
      </c>
      <c r="T17" s="713" t="s">
        <v>17</v>
      </c>
      <c r="U17" s="714">
        <f>H17</f>
        <v>100</v>
      </c>
      <c r="V17" s="713" t="s">
        <v>17</v>
      </c>
      <c r="W17" s="714">
        <f>J17</f>
        <v>100</v>
      </c>
      <c r="X17" s="1537"/>
      <c r="Y17" s="3322"/>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322"/>
      <c r="Q18" s="1534"/>
      <c r="R18" s="713"/>
      <c r="S18" s="714"/>
      <c r="T18" s="713"/>
      <c r="U18" s="714"/>
      <c r="V18" s="713"/>
      <c r="W18" s="714"/>
      <c r="X18" s="1537"/>
      <c r="Y18" s="3322"/>
      <c r="Z18" s="1538"/>
      <c r="AA18" s="1535">
        <v>1</v>
      </c>
      <c r="AB18" s="1535">
        <v>1</v>
      </c>
      <c r="AC18" s="1535">
        <v>1</v>
      </c>
    </row>
    <row r="19" spans="1:29" ht="41.4">
      <c r="A19" s="387"/>
      <c r="B19" s="410" t="s">
        <v>2509</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22"/>
      <c r="Q19" s="1534" t="str">
        <f>B19</f>
        <v>公共配套设施</v>
      </c>
      <c r="R19" s="713" t="s">
        <v>17</v>
      </c>
      <c r="S19" s="714">
        <f>F19</f>
        <v>100</v>
      </c>
      <c r="T19" s="713" t="s">
        <v>17</v>
      </c>
      <c r="U19" s="714">
        <f>H19</f>
        <v>100</v>
      </c>
      <c r="V19" s="713" t="s">
        <v>17</v>
      </c>
      <c r="W19" s="714">
        <f>J19</f>
        <v>100</v>
      </c>
      <c r="X19" s="1537"/>
      <c r="Y19" s="3322"/>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322"/>
      <c r="Q20" s="1534"/>
      <c r="R20" s="713"/>
      <c r="S20" s="714"/>
      <c r="T20" s="713"/>
      <c r="U20" s="714"/>
      <c r="V20" s="713"/>
      <c r="W20" s="714"/>
      <c r="X20" s="1537"/>
      <c r="Y20" s="3322"/>
      <c r="Z20" s="1538"/>
      <c r="AA20" s="1535">
        <v>1</v>
      </c>
      <c r="AB20" s="1535">
        <v>1</v>
      </c>
      <c r="AC20" s="1535">
        <v>1</v>
      </c>
    </row>
    <row r="21" spans="1:29" ht="41.4">
      <c r="A21" s="387"/>
      <c r="B21" s="1292" t="s">
        <v>2510</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22"/>
      <c r="Q21" s="1534" t="str">
        <f>B21</f>
        <v>基础设施水平</v>
      </c>
      <c r="R21" s="713" t="s">
        <v>17</v>
      </c>
      <c r="S21" s="714">
        <f>F21</f>
        <v>100</v>
      </c>
      <c r="T21" s="713" t="s">
        <v>17</v>
      </c>
      <c r="U21" s="714">
        <f>H21</f>
        <v>100</v>
      </c>
      <c r="V21" s="713" t="s">
        <v>17</v>
      </c>
      <c r="W21" s="714">
        <f>J21</f>
        <v>100</v>
      </c>
      <c r="X21" s="1537"/>
      <c r="Y21" s="3322"/>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322"/>
      <c r="Q22" s="1534"/>
      <c r="R22" s="713"/>
      <c r="S22" s="714"/>
      <c r="T22" s="713"/>
      <c r="U22" s="714"/>
      <c r="V22" s="713"/>
      <c r="W22" s="714"/>
      <c r="X22" s="1537"/>
      <c r="Y22" s="3322"/>
      <c r="Z22" s="1538"/>
      <c r="AA22" s="1535">
        <v>1</v>
      </c>
      <c r="AB22" s="1535">
        <v>1</v>
      </c>
      <c r="AC22" s="1535">
        <v>1</v>
      </c>
    </row>
    <row r="23" spans="1:29" ht="82.8">
      <c r="A23" s="387"/>
      <c r="B23" s="410" t="s">
        <v>2511</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22"/>
      <c r="Q23" s="1534" t="str">
        <f>B23</f>
        <v>环境质量</v>
      </c>
      <c r="R23" s="713" t="s">
        <v>17</v>
      </c>
      <c r="S23" s="714">
        <f>F23</f>
        <v>100</v>
      </c>
      <c r="T23" s="713" t="s">
        <v>17</v>
      </c>
      <c r="U23" s="714">
        <f>H23</f>
        <v>100</v>
      </c>
      <c r="V23" s="713" t="s">
        <v>17</v>
      </c>
      <c r="W23" s="714">
        <f>J23</f>
        <v>100</v>
      </c>
      <c r="X23" s="1537"/>
      <c r="Y23" s="3322"/>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322"/>
      <c r="Q24" s="1534"/>
      <c r="R24" s="713"/>
      <c r="S24" s="714"/>
      <c r="T24" s="713"/>
      <c r="U24" s="714"/>
      <c r="V24" s="713"/>
      <c r="W24" s="714"/>
      <c r="X24" s="1537"/>
      <c r="Y24" s="3322"/>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22"/>
      <c r="Q25" s="1534">
        <f>B25</f>
        <v>111</v>
      </c>
      <c r="R25" s="713" t="s">
        <v>17</v>
      </c>
      <c r="S25" s="714">
        <f>F25</f>
        <v>100</v>
      </c>
      <c r="T25" s="713" t="s">
        <v>17</v>
      </c>
      <c r="U25" s="714">
        <f>H25</f>
        <v>100</v>
      </c>
      <c r="V25" s="713" t="s">
        <v>17</v>
      </c>
      <c r="W25" s="714">
        <f>J25</f>
        <v>100</v>
      </c>
      <c r="X25" s="1537"/>
      <c r="Y25" s="3322"/>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22"/>
      <c r="Q26" s="1534">
        <f t="shared" ref="Q26:Q40" si="11">B26</f>
        <v>111</v>
      </c>
      <c r="R26" s="713" t="s">
        <v>17</v>
      </c>
      <c r="S26" s="714">
        <f>F26</f>
        <v>100</v>
      </c>
      <c r="T26" s="713" t="s">
        <v>17</v>
      </c>
      <c r="U26" s="714">
        <f>H26</f>
        <v>100</v>
      </c>
      <c r="V26" s="713" t="s">
        <v>17</v>
      </c>
      <c r="W26" s="714">
        <f>J26</f>
        <v>100</v>
      </c>
      <c r="X26" s="1537"/>
      <c r="Y26" s="3322"/>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22"/>
      <c r="Q27" s="1525">
        <f t="shared" si="11"/>
        <v>111</v>
      </c>
      <c r="R27" s="709" t="s">
        <v>17</v>
      </c>
      <c r="S27" s="710">
        <f>F27</f>
        <v>100</v>
      </c>
      <c r="T27" s="709" t="s">
        <v>17</v>
      </c>
      <c r="U27" s="710">
        <f>H27</f>
        <v>100</v>
      </c>
      <c r="V27" s="709" t="s">
        <v>17</v>
      </c>
      <c r="W27" s="710">
        <f>J27</f>
        <v>100</v>
      </c>
      <c r="X27" s="711"/>
      <c r="Y27" s="3322"/>
      <c r="Z27" s="55">
        <f>Q27</f>
        <v>111</v>
      </c>
      <c r="AA27" s="1535">
        <f>D27/F27</f>
        <v>1</v>
      </c>
      <c r="AB27" s="1535">
        <f>D27/H27</f>
        <v>1</v>
      </c>
      <c r="AC27" s="1535">
        <f>D27/J27</f>
        <v>1</v>
      </c>
    </row>
    <row r="28" spans="1:29" ht="15.6"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22"/>
      <c r="Q28" s="1534">
        <f t="shared" si="11"/>
        <v>111</v>
      </c>
      <c r="R28" s="713" t="s">
        <v>17</v>
      </c>
      <c r="S28" s="714">
        <f t="shared" ref="S28:S40" si="12">F28</f>
        <v>100</v>
      </c>
      <c r="T28" s="713" t="s">
        <v>17</v>
      </c>
      <c r="U28" s="714">
        <f t="shared" ref="U28:U40" si="13">H28</f>
        <v>100</v>
      </c>
      <c r="V28" s="713" t="s">
        <v>17</v>
      </c>
      <c r="W28" s="714">
        <f t="shared" ref="W28:W40" si="14">J28</f>
        <v>100</v>
      </c>
      <c r="X28" s="1537"/>
      <c r="Y28" s="3322"/>
      <c r="Z28" s="1538">
        <f t="shared" ref="Z28:Z40" si="15">Q28</f>
        <v>111</v>
      </c>
      <c r="AA28" s="1535">
        <f t="shared" si="3"/>
        <v>1</v>
      </c>
      <c r="AB28" s="1535">
        <f t="shared" si="4"/>
        <v>1</v>
      </c>
      <c r="AC28" s="1535">
        <f t="shared" si="5"/>
        <v>1</v>
      </c>
    </row>
    <row r="29" spans="1:29" ht="30">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53" t="s">
        <v>2386</v>
      </c>
      <c r="Q29" s="1534" t="str">
        <f t="shared" si="11"/>
        <v>建筑类型</v>
      </c>
      <c r="R29" s="713" t="s">
        <v>17</v>
      </c>
      <c r="S29" s="714">
        <f t="shared" si="12"/>
        <v>100</v>
      </c>
      <c r="T29" s="713" t="s">
        <v>17</v>
      </c>
      <c r="U29" s="714">
        <f t="shared" si="13"/>
        <v>100</v>
      </c>
      <c r="V29" s="713" t="s">
        <v>17</v>
      </c>
      <c r="W29" s="714">
        <f t="shared" si="14"/>
        <v>100</v>
      </c>
      <c r="X29" s="1537"/>
      <c r="Y29" s="3326"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26"/>
      <c r="Q30" s="715" t="str">
        <f t="shared" si="11"/>
        <v>项目建筑规模</v>
      </c>
      <c r="R30" s="716" t="s">
        <v>17</v>
      </c>
      <c r="S30" s="717" t="e">
        <f t="shared" si="12"/>
        <v>#N/A</v>
      </c>
      <c r="T30" s="716" t="s">
        <v>17</v>
      </c>
      <c r="U30" s="717" t="e">
        <f t="shared" si="13"/>
        <v>#N/A</v>
      </c>
      <c r="V30" s="716" t="s">
        <v>17</v>
      </c>
      <c r="W30" s="717" t="e">
        <f t="shared" si="14"/>
        <v>#N/A</v>
      </c>
      <c r="X30" s="718"/>
      <c r="Y30" s="3326"/>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26"/>
      <c r="Q31" s="1534" t="str">
        <f t="shared" si="11"/>
        <v>建筑结构</v>
      </c>
      <c r="R31" s="713" t="s">
        <v>17</v>
      </c>
      <c r="S31" s="714">
        <f t="shared" si="12"/>
        <v>100</v>
      </c>
      <c r="T31" s="713" t="s">
        <v>17</v>
      </c>
      <c r="U31" s="714">
        <f t="shared" si="13"/>
        <v>100</v>
      </c>
      <c r="V31" s="713" t="s">
        <v>17</v>
      </c>
      <c r="W31" s="714">
        <f t="shared" si="14"/>
        <v>100</v>
      </c>
      <c r="X31" s="1537"/>
      <c r="Y31" s="3326"/>
      <c r="Z31" s="1538" t="str">
        <f t="shared" si="15"/>
        <v>建筑结构</v>
      </c>
      <c r="AA31" s="1535">
        <f t="shared" si="3"/>
        <v>1</v>
      </c>
      <c r="AB31" s="1535">
        <f t="shared" si="4"/>
        <v>1</v>
      </c>
      <c r="AC31" s="1535">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26"/>
      <c r="Q32" s="1534" t="str">
        <f t="shared" si="11"/>
        <v>公共部分装修</v>
      </c>
      <c r="R32" s="713" t="s">
        <v>17</v>
      </c>
      <c r="S32" s="714">
        <f t="shared" si="12"/>
        <v>100</v>
      </c>
      <c r="T32" s="713" t="s">
        <v>17</v>
      </c>
      <c r="U32" s="714">
        <f t="shared" si="13"/>
        <v>100</v>
      </c>
      <c r="V32" s="713" t="s">
        <v>17</v>
      </c>
      <c r="W32" s="714">
        <f t="shared" si="14"/>
        <v>100</v>
      </c>
      <c r="X32" s="1537"/>
      <c r="Y32" s="3326"/>
      <c r="Z32" s="1538" t="str">
        <f t="shared" si="15"/>
        <v>公共部分装修</v>
      </c>
      <c r="AA32" s="1535">
        <f t="shared" si="3"/>
        <v>1</v>
      </c>
      <c r="AB32" s="1535">
        <f t="shared" si="4"/>
        <v>1</v>
      </c>
      <c r="AC32" s="1535">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26"/>
      <c r="Q33" s="1534" t="str">
        <f t="shared" si="11"/>
        <v>成新度</v>
      </c>
      <c r="R33" s="713" t="s">
        <v>17</v>
      </c>
      <c r="S33" s="714" t="e">
        <f t="shared" si="12"/>
        <v>#N/A</v>
      </c>
      <c r="T33" s="713" t="s">
        <v>17</v>
      </c>
      <c r="U33" s="714" t="e">
        <f t="shared" si="13"/>
        <v>#N/A</v>
      </c>
      <c r="V33" s="713" t="s">
        <v>17</v>
      </c>
      <c r="W33" s="714" t="e">
        <f t="shared" si="14"/>
        <v>#N/A</v>
      </c>
      <c r="X33" s="1537"/>
      <c r="Y33" s="3326"/>
      <c r="Z33" s="1538" t="str">
        <f t="shared" si="15"/>
        <v>成新度</v>
      </c>
      <c r="AA33" s="1535" t="e">
        <f t="shared" si="3"/>
        <v>#N/A</v>
      </c>
      <c r="AB33" s="1535" t="e">
        <f t="shared" si="4"/>
        <v>#N/A</v>
      </c>
      <c r="AC33" s="1535"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26"/>
      <c r="Q34" s="1525" t="str">
        <f t="shared" si="11"/>
        <v>物业管理</v>
      </c>
      <c r="R34" s="709" t="s">
        <v>17</v>
      </c>
      <c r="S34" s="710">
        <f t="shared" si="12"/>
        <v>100</v>
      </c>
      <c r="T34" s="709" t="s">
        <v>17</v>
      </c>
      <c r="U34" s="710">
        <f t="shared" si="13"/>
        <v>100</v>
      </c>
      <c r="V34" s="709" t="s">
        <v>17</v>
      </c>
      <c r="W34" s="710">
        <f t="shared" si="14"/>
        <v>100</v>
      </c>
      <c r="X34" s="711"/>
      <c r="Y34" s="3326"/>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26" t="s">
        <v>2386</v>
      </c>
      <c r="Q35" s="1534" t="str">
        <f t="shared" si="11"/>
        <v>市政基础设施</v>
      </c>
      <c r="R35" s="713" t="s">
        <v>17</v>
      </c>
      <c r="S35" s="714">
        <f t="shared" si="12"/>
        <v>100</v>
      </c>
      <c r="T35" s="713" t="s">
        <v>17</v>
      </c>
      <c r="U35" s="714">
        <f t="shared" si="13"/>
        <v>100</v>
      </c>
      <c r="V35" s="713" t="s">
        <v>17</v>
      </c>
      <c r="W35" s="714">
        <f t="shared" si="14"/>
        <v>100</v>
      </c>
      <c r="X35" s="1537"/>
      <c r="Y35" s="3326" t="s">
        <v>2386</v>
      </c>
      <c r="Z35" s="1538" t="str">
        <f t="shared" si="15"/>
        <v>市政基础设施</v>
      </c>
      <c r="AA35" s="1535">
        <f t="shared" si="3"/>
        <v>1</v>
      </c>
      <c r="AB35" s="1535">
        <f t="shared" si="4"/>
        <v>1</v>
      </c>
      <c r="AC35" s="1535">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26"/>
      <c r="Q36" s="1534" t="str">
        <f t="shared" si="11"/>
        <v>内部装修</v>
      </c>
      <c r="R36" s="713" t="s">
        <v>17</v>
      </c>
      <c r="S36" s="714">
        <f t="shared" si="12"/>
        <v>100</v>
      </c>
      <c r="T36" s="713" t="s">
        <v>17</v>
      </c>
      <c r="U36" s="714">
        <f t="shared" si="13"/>
        <v>100</v>
      </c>
      <c r="V36" s="713" t="s">
        <v>17</v>
      </c>
      <c r="W36" s="714">
        <f t="shared" si="14"/>
        <v>100</v>
      </c>
      <c r="X36" s="1537"/>
      <c r="Y36" s="3326"/>
      <c r="Z36" s="1538" t="str">
        <f t="shared" si="15"/>
        <v>内部装修</v>
      </c>
      <c r="AA36" s="1535">
        <f t="shared" si="3"/>
        <v>1</v>
      </c>
      <c r="AB36" s="1535">
        <f t="shared" si="4"/>
        <v>1</v>
      </c>
      <c r="AC36" s="1535">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26"/>
      <c r="Q37" s="1534" t="str">
        <f t="shared" si="11"/>
        <v>内部装修状况</v>
      </c>
      <c r="R37" s="713" t="s">
        <v>17</v>
      </c>
      <c r="S37" s="714">
        <f t="shared" si="12"/>
        <v>100</v>
      </c>
      <c r="T37" s="713" t="s">
        <v>17</v>
      </c>
      <c r="U37" s="714">
        <f t="shared" si="13"/>
        <v>100</v>
      </c>
      <c r="V37" s="713" t="s">
        <v>17</v>
      </c>
      <c r="W37" s="714">
        <f t="shared" si="14"/>
        <v>100</v>
      </c>
      <c r="X37" s="1537"/>
      <c r="Y37" s="3326"/>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26"/>
      <c r="Q38" s="715">
        <f t="shared" si="11"/>
        <v>111</v>
      </c>
      <c r="R38" s="716" t="s">
        <v>17</v>
      </c>
      <c r="S38" s="717">
        <f t="shared" si="12"/>
        <v>100</v>
      </c>
      <c r="T38" s="716" t="s">
        <v>17</v>
      </c>
      <c r="U38" s="717">
        <f t="shared" si="13"/>
        <v>100</v>
      </c>
      <c r="V38" s="716" t="s">
        <v>17</v>
      </c>
      <c r="W38" s="717">
        <f t="shared" si="14"/>
        <v>100</v>
      </c>
      <c r="X38" s="718"/>
      <c r="Y38" s="3326"/>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26"/>
      <c r="Q39" s="1534">
        <f t="shared" si="11"/>
        <v>111</v>
      </c>
      <c r="R39" s="713" t="s">
        <v>17</v>
      </c>
      <c r="S39" s="714">
        <f t="shared" si="12"/>
        <v>100</v>
      </c>
      <c r="T39" s="713" t="s">
        <v>17</v>
      </c>
      <c r="U39" s="714">
        <f t="shared" si="13"/>
        <v>100</v>
      </c>
      <c r="V39" s="713" t="s">
        <v>17</v>
      </c>
      <c r="W39" s="714">
        <f t="shared" si="14"/>
        <v>100</v>
      </c>
      <c r="X39" s="1537"/>
      <c r="Y39" s="3326"/>
      <c r="Z39" s="1538">
        <f t="shared" si="15"/>
        <v>111</v>
      </c>
      <c r="AA39" s="1535">
        <f t="shared" si="3"/>
        <v>1</v>
      </c>
      <c r="AB39" s="1535">
        <f t="shared" si="4"/>
        <v>1</v>
      </c>
      <c r="AC39" s="1535">
        <f t="shared" si="5"/>
        <v>1</v>
      </c>
    </row>
    <row r="40" spans="1:29" ht="15.6"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27"/>
      <c r="Q40" s="1534">
        <f t="shared" si="11"/>
        <v>111</v>
      </c>
      <c r="R40" s="713" t="s">
        <v>17</v>
      </c>
      <c r="S40" s="714">
        <f t="shared" si="12"/>
        <v>100</v>
      </c>
      <c r="T40" s="713" t="s">
        <v>17</v>
      </c>
      <c r="U40" s="714">
        <f t="shared" si="13"/>
        <v>100</v>
      </c>
      <c r="V40" s="713" t="s">
        <v>17</v>
      </c>
      <c r="W40" s="714">
        <f t="shared" si="14"/>
        <v>100</v>
      </c>
      <c r="X40" s="1537"/>
      <c r="Y40" s="3327"/>
      <c r="Z40" s="1538">
        <f t="shared" si="15"/>
        <v>111</v>
      </c>
      <c r="AA40" s="1535">
        <f t="shared" si="3"/>
        <v>1</v>
      </c>
      <c r="AB40" s="1535">
        <f t="shared" si="4"/>
        <v>1</v>
      </c>
      <c r="AC40" s="1535">
        <f t="shared" si="5"/>
        <v>1</v>
      </c>
    </row>
    <row r="41" spans="1:29" ht="14.4">
      <c r="A41" s="438" t="s">
        <v>2398</v>
      </c>
      <c r="B41" s="439"/>
      <c r="C41" s="1315" t="s">
        <v>1</v>
      </c>
      <c r="D41" s="1316"/>
      <c r="E41" s="1317"/>
      <c r="F41" s="1318"/>
      <c r="G41" s="1319"/>
      <c r="H41" s="1320"/>
      <c r="I41" s="1317"/>
      <c r="J41" s="1320"/>
      <c r="K41" s="722"/>
      <c r="L41" s="1056"/>
      <c r="M41" s="1057"/>
      <c r="N41" s="1044"/>
      <c r="O41" s="1057"/>
      <c r="P41" s="3328" t="str">
        <f>A41</f>
        <v>成交单价（元/平方米）</v>
      </c>
      <c r="Q41" s="3328"/>
      <c r="R41" s="3329">
        <f>E41</f>
        <v>0</v>
      </c>
      <c r="S41" s="3329"/>
      <c r="T41" s="3329">
        <f>G41</f>
        <v>0</v>
      </c>
      <c r="U41" s="3329"/>
      <c r="V41" s="3329">
        <f>I41</f>
        <v>0</v>
      </c>
      <c r="W41" s="3329"/>
      <c r="X41" s="698"/>
      <c r="Y41" s="720"/>
      <c r="Z41" s="698"/>
      <c r="AA41" s="698"/>
      <c r="AB41" s="698"/>
      <c r="AC41" s="698"/>
    </row>
    <row r="42" spans="1:29" ht="15" thickBot="1">
      <c r="A42" s="445" t="s">
        <v>2490</v>
      </c>
      <c r="B42" s="446"/>
      <c r="C42" s="1321" t="e">
        <f>R43</f>
        <v>#DIV/0!</v>
      </c>
      <c r="D42" s="2536" t="s">
        <v>2879</v>
      </c>
      <c r="E42" s="1322" t="e">
        <f>R42</f>
        <v>#DIV/0!</v>
      </c>
      <c r="F42" s="2537"/>
      <c r="G42" s="1321" t="e">
        <f>T42</f>
        <v>#DIV/0!</v>
      </c>
      <c r="H42" s="2537"/>
      <c r="I42" s="1322" t="e">
        <f>V42</f>
        <v>#DIV/0!</v>
      </c>
      <c r="J42" s="2537"/>
      <c r="K42" s="2539">
        <f>F42+H42+J42</f>
        <v>0</v>
      </c>
      <c r="L42" s="1056"/>
      <c r="M42" s="1057"/>
      <c r="N42" s="1044"/>
      <c r="O42" s="1057"/>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698"/>
      <c r="Y42" s="698"/>
      <c r="Z42" s="698"/>
      <c r="AA42" s="698"/>
      <c r="AB42" s="698"/>
      <c r="AC42" s="698"/>
    </row>
    <row r="43" spans="1:29" ht="15" thickBot="1">
      <c r="A43" s="449" t="s">
        <v>2491</v>
      </c>
      <c r="B43" s="450"/>
      <c r="C43" s="1324" t="e">
        <f>R43</f>
        <v>#DIV/0!</v>
      </c>
      <c r="D43" s="1324"/>
      <c r="E43" s="1324"/>
      <c r="F43" s="1324"/>
      <c r="G43" s="1324"/>
      <c r="H43" s="1324"/>
      <c r="I43" s="1324"/>
      <c r="J43" s="1324"/>
      <c r="K43" s="723"/>
      <c r="L43" s="1056"/>
      <c r="M43" s="1057"/>
      <c r="N43" s="1057"/>
      <c r="O43" s="1057"/>
      <c r="P43" s="3341" t="str">
        <f>A43</f>
        <v>估价对象XX用房的比较价值（楼面单价，元/平方米）</v>
      </c>
      <c r="Q43" s="3342"/>
      <c r="R43" s="3343" t="e">
        <f>IF(F1="售价",ROUND(IF(D42="简单平均",AVERAGE(R42:V42),R42*F42+T42*H42+V42*J42),0),ROUND(IF(D42="简单平均",AVERAGE(R42:V42),R42*F42+T42*H42+V42*J42),1))</f>
        <v>#DIV/0!</v>
      </c>
      <c r="S43" s="3343"/>
      <c r="T43" s="3343"/>
      <c r="U43" s="3343"/>
      <c r="V43" s="3343"/>
      <c r="W43" s="3343"/>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2.2" thickBot="1">
      <c r="A51" s="702" t="s">
        <v>2495</v>
      </c>
      <c r="B51" s="698"/>
      <c r="C51" s="703"/>
      <c r="D51" s="703"/>
      <c r="E51" s="703"/>
      <c r="F51" s="704"/>
      <c r="G51" s="704"/>
      <c r="H51" s="703"/>
      <c r="I51" s="703"/>
      <c r="J51" s="703"/>
      <c r="K51" s="1071"/>
      <c r="L51" s="1072"/>
      <c r="M51" s="1070"/>
      <c r="N51" s="1070"/>
      <c r="O51" s="1070"/>
      <c r="P51" s="460"/>
      <c r="Q51" s="461"/>
    </row>
    <row r="52" spans="1:17" s="465" customFormat="1" ht="14.4">
      <c r="A52" s="462" t="s">
        <v>2369</v>
      </c>
      <c r="B52" s="463"/>
      <c r="C52" s="1344" t="str">
        <f>YEAR(C7)&amp;"-"&amp;MONTH(C7)</f>
        <v>2021-12</v>
      </c>
      <c r="D52" s="1345">
        <f>EDATE(C52,-1)</f>
        <v>44501</v>
      </c>
      <c r="E52" s="1345">
        <f t="shared" ref="E52:O52" si="16">EDATE(D52,-1)</f>
        <v>44470</v>
      </c>
      <c r="F52" s="1345">
        <f t="shared" si="16"/>
        <v>44440</v>
      </c>
      <c r="G52" s="1345">
        <f t="shared" si="16"/>
        <v>44409</v>
      </c>
      <c r="H52" s="1345">
        <f t="shared" si="16"/>
        <v>44378</v>
      </c>
      <c r="I52" s="1345">
        <f t="shared" si="16"/>
        <v>44348</v>
      </c>
      <c r="J52" s="1345">
        <f t="shared" si="16"/>
        <v>44317</v>
      </c>
      <c r="K52" s="1345">
        <f t="shared" si="16"/>
        <v>44287</v>
      </c>
      <c r="L52" s="1345">
        <f t="shared" si="16"/>
        <v>44256</v>
      </c>
      <c r="M52" s="1345">
        <f t="shared" si="16"/>
        <v>44228</v>
      </c>
      <c r="N52" s="1345">
        <f t="shared" si="16"/>
        <v>44197</v>
      </c>
      <c r="O52" s="1345">
        <f t="shared" si="16"/>
        <v>44166</v>
      </c>
      <c r="P52" s="464"/>
    </row>
    <row r="53" spans="1:17" s="113" customFormat="1">
      <c r="A53" s="466"/>
      <c r="B53" s="467"/>
      <c r="C53" s="1343">
        <v>100</v>
      </c>
      <c r="D53" s="469"/>
      <c r="E53" s="469"/>
      <c r="F53" s="469"/>
      <c r="G53" s="469"/>
      <c r="H53" s="469"/>
      <c r="I53" s="469"/>
      <c r="J53" s="469"/>
      <c r="K53" s="469"/>
      <c r="L53" s="469"/>
      <c r="M53" s="470"/>
      <c r="N53" s="469"/>
      <c r="O53" s="471"/>
      <c r="P53" s="461"/>
    </row>
    <row r="54" spans="1:17" s="113" customFormat="1" ht="15" thickBot="1">
      <c r="A54" s="472" t="s">
        <v>2406</v>
      </c>
      <c r="B54" s="473"/>
      <c r="C54" s="474"/>
      <c r="D54" s="475"/>
      <c r="E54" s="475"/>
      <c r="F54" s="475"/>
      <c r="G54" s="475"/>
      <c r="H54" s="475"/>
      <c r="I54" s="475"/>
      <c r="J54" s="475"/>
      <c r="K54" s="475"/>
      <c r="L54" s="475"/>
      <c r="M54" s="476"/>
      <c r="N54" s="2997"/>
      <c r="O54" s="2998"/>
      <c r="P54" s="461"/>
      <c r="Q54" s="461"/>
    </row>
    <row r="55" spans="1:17" s="113" customFormat="1" ht="14.4">
      <c r="A55" s="478" t="s">
        <v>2371</v>
      </c>
      <c r="B55" s="467"/>
      <c r="C55" s="479" t="s">
        <v>2473</v>
      </c>
      <c r="D55" s="480"/>
      <c r="E55" s="480"/>
      <c r="F55" s="480"/>
      <c r="G55" s="480"/>
      <c r="H55" s="480"/>
      <c r="I55" s="480"/>
      <c r="J55" s="480"/>
      <c r="K55" s="480"/>
      <c r="L55" s="481"/>
      <c r="M55" s="482"/>
      <c r="N55" s="1062"/>
      <c r="O55" s="1062"/>
      <c r="P55" s="483"/>
      <c r="Q55" s="461"/>
    </row>
    <row r="56" spans="1:17" s="113" customFormat="1" ht="14.4" thickBot="1">
      <c r="A56" s="478"/>
      <c r="B56" s="467"/>
      <c r="C56" s="595">
        <v>100</v>
      </c>
      <c r="D56" s="469"/>
      <c r="E56" s="469"/>
      <c r="F56" s="469"/>
      <c r="G56" s="469"/>
      <c r="H56" s="469"/>
      <c r="I56" s="469"/>
      <c r="J56" s="469"/>
      <c r="K56" s="469"/>
      <c r="L56" s="469"/>
      <c r="M56" s="471"/>
      <c r="N56" s="1062"/>
      <c r="O56" s="1062"/>
      <c r="P56" s="461"/>
      <c r="Q56" s="461"/>
    </row>
    <row r="57" spans="1:17" ht="14.4">
      <c r="A57" s="484" t="s">
        <v>2409</v>
      </c>
      <c r="B57" s="485" t="s">
        <v>2375</v>
      </c>
      <c r="C57" s="486">
        <f>C9</f>
        <v>0</v>
      </c>
      <c r="D57" s="487"/>
      <c r="E57" s="487"/>
      <c r="F57" s="487"/>
      <c r="G57" s="487"/>
      <c r="H57" s="487"/>
      <c r="I57" s="487"/>
      <c r="J57" s="487"/>
      <c r="K57" s="488"/>
      <c r="L57" s="489"/>
      <c r="M57" s="490"/>
      <c r="N57" s="1063"/>
      <c r="O57" s="1063"/>
      <c r="P57" s="45"/>
      <c r="Q57" s="461"/>
    </row>
    <row r="58" spans="1:17" ht="14.4" thickBot="1">
      <c r="A58" s="491"/>
      <c r="B58" s="492"/>
      <c r="C58" s="493">
        <v>100</v>
      </c>
      <c r="D58" s="493"/>
      <c r="E58" s="493"/>
      <c r="F58" s="493"/>
      <c r="G58" s="493"/>
      <c r="H58" s="493"/>
      <c r="I58" s="493"/>
      <c r="J58" s="493"/>
      <c r="K58" s="493"/>
      <c r="L58" s="493"/>
      <c r="M58" s="494"/>
      <c r="N58" s="1064"/>
      <c r="O58" s="1064"/>
      <c r="P58" s="45"/>
      <c r="Q58" s="461"/>
    </row>
    <row r="59" spans="1:17" ht="29.4"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c r="A62" s="491"/>
      <c r="B62" s="505"/>
      <c r="C62" s="506"/>
      <c r="D62" s="506"/>
      <c r="E62" s="506"/>
      <c r="F62" s="506"/>
      <c r="G62" s="506"/>
      <c r="H62" s="506"/>
      <c r="I62" s="506"/>
      <c r="J62" s="506"/>
      <c r="K62" s="507"/>
      <c r="L62" s="508"/>
      <c r="M62" s="509"/>
      <c r="N62" s="1063"/>
      <c r="O62" s="1063"/>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4.4" thickTop="1">
      <c r="A64" s="510"/>
      <c r="B64" s="495">
        <f>B12</f>
        <v>111</v>
      </c>
      <c r="C64" s="511"/>
      <c r="D64" s="511"/>
      <c r="E64" s="511"/>
      <c r="F64" s="511"/>
      <c r="G64" s="511"/>
      <c r="H64" s="512"/>
      <c r="I64" s="512"/>
      <c r="J64" s="512"/>
      <c r="K64" s="512"/>
      <c r="L64" s="513"/>
      <c r="M64" s="514"/>
      <c r="N64" s="1065"/>
      <c r="O64" s="1065"/>
      <c r="P64" s="515"/>
      <c r="Q64" s="516"/>
    </row>
    <row r="65" spans="1:17" s="430" customFormat="1" ht="14.4" thickBot="1">
      <c r="A65" s="510"/>
      <c r="B65" s="500"/>
      <c r="C65" s="517"/>
      <c r="D65" s="493"/>
      <c r="E65" s="493"/>
      <c r="F65" s="493"/>
      <c r="G65" s="493"/>
      <c r="H65" s="493"/>
      <c r="I65" s="493"/>
      <c r="J65" s="493"/>
      <c r="K65" s="493"/>
      <c r="L65" s="493"/>
      <c r="M65" s="494"/>
      <c r="N65" s="1064"/>
      <c r="O65" s="1064"/>
      <c r="P65" s="515"/>
      <c r="Q65" s="516"/>
    </row>
    <row r="66" spans="1:17" s="430" customFormat="1" ht="14.4" thickTop="1">
      <c r="A66" s="510"/>
      <c r="B66" s="495">
        <f>B13</f>
        <v>111</v>
      </c>
      <c r="C66" s="511"/>
      <c r="D66" s="511"/>
      <c r="E66" s="511"/>
      <c r="F66" s="511"/>
      <c r="G66" s="511"/>
      <c r="H66" s="512"/>
      <c r="I66" s="512"/>
      <c r="J66" s="512"/>
      <c r="K66" s="512"/>
      <c r="L66" s="513"/>
      <c r="M66" s="514"/>
      <c r="N66" s="1065"/>
      <c r="O66" s="1065"/>
      <c r="P66" s="429"/>
      <c r="Q66" s="518"/>
    </row>
    <row r="67" spans="1:17" s="430" customFormat="1" ht="14.4" thickBot="1">
      <c r="A67" s="510"/>
      <c r="B67" s="500"/>
      <c r="C67" s="517"/>
      <c r="D67" s="493"/>
      <c r="E67" s="493"/>
      <c r="F67" s="493"/>
      <c r="G67" s="517"/>
      <c r="H67" s="519"/>
      <c r="I67" s="519"/>
      <c r="J67" s="519"/>
      <c r="K67" s="519"/>
      <c r="L67" s="519"/>
      <c r="M67" s="520"/>
      <c r="N67" s="1065"/>
      <c r="O67" s="1065"/>
      <c r="P67" s="515"/>
      <c r="Q67" s="516"/>
    </row>
    <row r="68" spans="1:17" s="430" customFormat="1" ht="14.4" thickTop="1">
      <c r="A68" s="510"/>
      <c r="B68" s="503">
        <f>B14</f>
        <v>111</v>
      </c>
      <c r="C68" s="480"/>
      <c r="D68" s="480"/>
      <c r="E68" s="480"/>
      <c r="F68" s="480"/>
      <c r="G68" s="480"/>
      <c r="H68" s="521"/>
      <c r="I68" s="521"/>
      <c r="J68" s="521"/>
      <c r="K68" s="521"/>
      <c r="L68" s="522"/>
      <c r="M68" s="523"/>
      <c r="N68" s="1065"/>
      <c r="O68" s="1065"/>
      <c r="P68" s="524"/>
      <c r="Q68" s="516"/>
    </row>
    <row r="69" spans="1:17" s="430" customFormat="1" ht="14.4" thickBot="1">
      <c r="A69" s="525"/>
      <c r="B69" s="526"/>
      <c r="C69" s="527"/>
      <c r="D69" s="527"/>
      <c r="E69" s="527"/>
      <c r="F69" s="527"/>
      <c r="G69" s="527"/>
      <c r="H69" s="528"/>
      <c r="I69" s="528"/>
      <c r="J69" s="528"/>
      <c r="K69" s="528"/>
      <c r="L69" s="528"/>
      <c r="M69" s="529"/>
      <c r="N69" s="1065"/>
      <c r="O69" s="1065"/>
      <c r="P69" s="515"/>
      <c r="Q69" s="516"/>
    </row>
    <row r="70" spans="1:17" ht="14.4">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4.4" thickTop="1">
      <c r="A80" s="536"/>
      <c r="B80" s="495">
        <f>B25</f>
        <v>111</v>
      </c>
      <c r="C80" s="511"/>
      <c r="D80" s="511"/>
      <c r="E80" s="511"/>
      <c r="F80" s="511"/>
      <c r="G80" s="511"/>
      <c r="H80" s="511"/>
      <c r="I80" s="511"/>
      <c r="J80" s="511"/>
      <c r="K80" s="511"/>
      <c r="L80" s="537"/>
      <c r="M80" s="538"/>
      <c r="N80" s="1062"/>
      <c r="O80" s="1062"/>
      <c r="P80" s="45"/>
      <c r="Q80" s="461"/>
    </row>
    <row r="81" spans="1:17" s="113" customFormat="1" ht="14.4" thickBot="1">
      <c r="A81" s="536"/>
      <c r="B81" s="500"/>
      <c r="C81" s="517"/>
      <c r="D81" s="493"/>
      <c r="E81" s="493"/>
      <c r="F81" s="493"/>
      <c r="G81" s="493"/>
      <c r="H81" s="493"/>
      <c r="I81" s="493"/>
      <c r="J81" s="493"/>
      <c r="K81" s="493"/>
      <c r="L81" s="493"/>
      <c r="M81" s="494"/>
      <c r="N81" s="1064"/>
      <c r="O81" s="1064"/>
      <c r="P81" s="45"/>
      <c r="Q81" s="461"/>
    </row>
    <row r="82" spans="1:17" s="113" customFormat="1" ht="14.4" thickTop="1">
      <c r="A82" s="536"/>
      <c r="B82" s="495">
        <f>B26</f>
        <v>111</v>
      </c>
      <c r="C82" s="511"/>
      <c r="D82" s="511"/>
      <c r="E82" s="511"/>
      <c r="F82" s="511"/>
      <c r="G82" s="511"/>
      <c r="H82" s="511"/>
      <c r="I82" s="511"/>
      <c r="J82" s="511"/>
      <c r="K82" s="511"/>
      <c r="L82" s="537"/>
      <c r="M82" s="538"/>
      <c r="N82" s="1062"/>
      <c r="O82" s="1062"/>
      <c r="P82" s="45"/>
      <c r="Q82" s="461"/>
    </row>
    <row r="83" spans="1:17" s="113" customFormat="1" ht="14.4" thickBot="1">
      <c r="A83" s="536"/>
      <c r="B83" s="500"/>
      <c r="C83" s="517"/>
      <c r="D83" s="493"/>
      <c r="E83" s="493"/>
      <c r="F83" s="493"/>
      <c r="G83" s="493"/>
      <c r="H83" s="493"/>
      <c r="I83" s="493"/>
      <c r="J83" s="493"/>
      <c r="K83" s="493"/>
      <c r="L83" s="493"/>
      <c r="M83" s="494"/>
      <c r="N83" s="1064"/>
      <c r="O83" s="1064"/>
      <c r="P83" s="45"/>
      <c r="Q83" s="461"/>
    </row>
    <row r="84" spans="1:17" s="430" customFormat="1" ht="14.4" thickTop="1">
      <c r="A84" s="510"/>
      <c r="B84" s="495">
        <f>B27</f>
        <v>111</v>
      </c>
      <c r="C84" s="511"/>
      <c r="D84" s="511"/>
      <c r="E84" s="511"/>
      <c r="F84" s="511"/>
      <c r="G84" s="511"/>
      <c r="H84" s="511"/>
      <c r="I84" s="511"/>
      <c r="J84" s="511"/>
      <c r="K84" s="511"/>
      <c r="L84" s="537"/>
      <c r="M84" s="538"/>
      <c r="N84" s="1065"/>
      <c r="O84" s="1065"/>
      <c r="P84" s="515"/>
      <c r="Q84" s="516"/>
    </row>
    <row r="85" spans="1:17" s="430" customFormat="1" ht="14.4" thickBot="1">
      <c r="A85" s="510"/>
      <c r="B85" s="500"/>
      <c r="C85" s="517"/>
      <c r="D85" s="493"/>
      <c r="E85" s="493"/>
      <c r="F85" s="493"/>
      <c r="G85" s="493"/>
      <c r="H85" s="493"/>
      <c r="I85" s="493"/>
      <c r="J85" s="493"/>
      <c r="K85" s="493"/>
      <c r="L85" s="493"/>
      <c r="M85" s="494"/>
      <c r="N85" s="1065"/>
      <c r="O85" s="1065"/>
      <c r="P85" s="515"/>
      <c r="Q85" s="516"/>
    </row>
    <row r="86" spans="1:17" ht="14.4" thickTop="1">
      <c r="A86" s="491"/>
      <c r="B86" s="503">
        <f>B28</f>
        <v>111</v>
      </c>
      <c r="C86" s="480"/>
      <c r="D86" s="480"/>
      <c r="E86" s="480"/>
      <c r="F86" s="480"/>
      <c r="G86" s="544"/>
      <c r="H86" s="544"/>
      <c r="I86" s="544"/>
      <c r="J86" s="544"/>
      <c r="K86" s="545"/>
      <c r="L86" s="546"/>
      <c r="M86" s="547"/>
      <c r="N86" s="1063"/>
      <c r="O86" s="1063"/>
      <c r="P86" s="45"/>
      <c r="Q86" s="461"/>
    </row>
    <row r="87" spans="1:17" ht="14.4" thickBot="1">
      <c r="A87" s="2112"/>
      <c r="B87" s="526"/>
      <c r="C87" s="527"/>
      <c r="D87" s="527"/>
      <c r="E87" s="527"/>
      <c r="F87" s="527"/>
      <c r="G87" s="548"/>
      <c r="H87" s="548"/>
      <c r="I87" s="548"/>
      <c r="J87" s="548"/>
      <c r="K87" s="548"/>
      <c r="L87" s="548"/>
      <c r="M87" s="549"/>
      <c r="N87" s="1064"/>
      <c r="O87" s="1064"/>
      <c r="P87" s="45"/>
      <c r="Q87" s="461"/>
    </row>
    <row r="88" spans="1:17" ht="14.4">
      <c r="A88" s="484" t="s">
        <v>2384</v>
      </c>
      <c r="B88" s="485" t="s">
        <v>2433</v>
      </c>
      <c r="C88" s="487"/>
      <c r="D88" s="487"/>
      <c r="E88" s="487"/>
      <c r="F88" s="487"/>
      <c r="G88" s="487"/>
      <c r="H88" s="487"/>
      <c r="I88" s="487"/>
      <c r="J88" s="487"/>
      <c r="K88" s="488"/>
      <c r="L88" s="489"/>
      <c r="M88" s="490"/>
      <c r="N88" s="1063"/>
      <c r="O88" s="1063"/>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4.4"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29.4"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4.4"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4.4" thickBot="1">
      <c r="A109" s="510"/>
      <c r="B109" s="492"/>
      <c r="C109" s="517"/>
      <c r="D109" s="493"/>
      <c r="E109" s="493"/>
      <c r="F109" s="493"/>
      <c r="G109" s="517"/>
      <c r="H109" s="519"/>
      <c r="I109" s="519"/>
      <c r="J109" s="519"/>
      <c r="K109" s="519"/>
      <c r="L109" s="519"/>
      <c r="M109" s="520"/>
      <c r="N109" s="1065"/>
      <c r="O109" s="1065"/>
      <c r="P109" s="515"/>
      <c r="Q109" s="516"/>
    </row>
    <row r="110" spans="1:17" ht="14.4" thickTop="1">
      <c r="A110" s="556"/>
      <c r="B110" s="495">
        <f>B39</f>
        <v>111</v>
      </c>
      <c r="C110" s="511"/>
      <c r="D110" s="511"/>
      <c r="E110" s="511"/>
      <c r="F110" s="511"/>
      <c r="G110" s="511"/>
      <c r="H110" s="512"/>
      <c r="I110" s="512"/>
      <c r="J110" s="512"/>
      <c r="K110" s="512"/>
      <c r="L110" s="513"/>
      <c r="M110" s="514"/>
      <c r="N110" s="1063"/>
      <c r="O110" s="1063"/>
      <c r="P110" s="45"/>
      <c r="Q110" s="461"/>
    </row>
    <row r="111" spans="1:17" ht="14.4" thickBot="1">
      <c r="A111" s="491"/>
      <c r="B111" s="500"/>
      <c r="C111" s="517"/>
      <c r="D111" s="493"/>
      <c r="E111" s="493"/>
      <c r="F111" s="493"/>
      <c r="G111" s="517"/>
      <c r="H111" s="519"/>
      <c r="I111" s="519"/>
      <c r="J111" s="519"/>
      <c r="K111" s="519"/>
      <c r="L111" s="519"/>
      <c r="M111" s="520"/>
      <c r="N111" s="1064"/>
      <c r="O111" s="1064"/>
      <c r="P111" s="45"/>
      <c r="Q111" s="461"/>
    </row>
    <row r="112" spans="1:17" ht="14.4" thickTop="1">
      <c r="A112" s="556"/>
      <c r="B112" s="503">
        <f>B40</f>
        <v>111</v>
      </c>
      <c r="C112" s="480"/>
      <c r="D112" s="480"/>
      <c r="E112" s="480"/>
      <c r="F112" s="480"/>
      <c r="G112" s="544"/>
      <c r="H112" s="544"/>
      <c r="I112" s="544"/>
      <c r="J112" s="544"/>
      <c r="K112" s="480"/>
      <c r="L112" s="481"/>
      <c r="M112" s="547"/>
      <c r="N112" s="1063"/>
      <c r="O112" s="1063"/>
      <c r="P112" s="45"/>
      <c r="Q112" s="461"/>
    </row>
    <row r="113" spans="1:17" ht="14.4"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8" priority="20" stopIfTrue="1" operator="containsText" text="超过">
      <formula>NOT(ISERROR(SEARCH("超过",F46)))</formula>
    </cfRule>
  </conditionalFormatting>
  <conditionalFormatting sqref="H48">
    <cfRule type="containsText" dxfId="77" priority="19" stopIfTrue="1" operator="containsText" text="超过">
      <formula>NOT(ISERROR(SEARCH("超过",H48)))</formula>
    </cfRule>
  </conditionalFormatting>
  <conditionalFormatting sqref="F48">
    <cfRule type="containsText" dxfId="76" priority="18" stopIfTrue="1" operator="containsText" text="超过">
      <formula>NOT(ISERROR(SEARCH("超过",F48)))</formula>
    </cfRule>
  </conditionalFormatting>
  <conditionalFormatting sqref="F47 H47">
    <cfRule type="containsText" dxfId="75" priority="17" stopIfTrue="1" operator="containsText" text="超过">
      <formula>NOT(ISERROR(SEARCH("超过",F47)))</formula>
    </cfRule>
  </conditionalFormatting>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J46">
    <cfRule type="containsText" dxfId="68" priority="10" stopIfTrue="1" operator="containsText" text="超过">
      <formula>NOT(ISERROR(SEARCH("超过",J46)))</formula>
    </cfRule>
  </conditionalFormatting>
  <conditionalFormatting sqref="J48">
    <cfRule type="containsText" dxfId="67" priority="9" stopIfTrue="1" operator="containsText" text="超过">
      <formula>NOT(ISERROR(SEARCH("超过",J48)))</formula>
    </cfRule>
  </conditionalFormatting>
  <conditionalFormatting sqref="J47">
    <cfRule type="containsText" dxfId="66" priority="8" stopIfTrue="1" operator="containsText" text="超过">
      <formula>NOT(ISERROR(SEARCH("超过",J47)))</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4.4">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29">
      <c r="A5" s="364"/>
      <c r="B5" s="365"/>
      <c r="C5" s="3292" t="s">
        <v>2363</v>
      </c>
      <c r="D5" s="3293"/>
      <c r="E5" s="3336" t="s">
        <v>2364</v>
      </c>
      <c r="F5" s="3291"/>
      <c r="G5" s="3292" t="s">
        <v>2365</v>
      </c>
      <c r="H5" s="3293"/>
      <c r="I5" s="3292" t="s">
        <v>2366</v>
      </c>
      <c r="J5" s="3293"/>
      <c r="K5" s="567"/>
      <c r="L5" s="2942"/>
      <c r="M5" s="2943"/>
      <c r="N5" s="2943"/>
      <c r="O5" s="2943"/>
      <c r="P5" s="3339"/>
      <c r="Q5" s="3310"/>
      <c r="R5" s="3288"/>
      <c r="S5" s="3289"/>
      <c r="T5" s="3288"/>
      <c r="U5" s="3289"/>
      <c r="V5" s="3316"/>
      <c r="W5" s="3316"/>
      <c r="X5" s="1537"/>
      <c r="Y5" s="3288"/>
      <c r="Z5" s="3289"/>
      <c r="AA5" s="3282"/>
      <c r="AB5" s="3282"/>
      <c r="AC5" s="3282"/>
    </row>
    <row r="6" spans="1:29" ht="15" thickBot="1">
      <c r="A6" s="366"/>
      <c r="B6" s="367"/>
      <c r="C6" s="3294" t="s">
        <v>2367</v>
      </c>
      <c r="D6" s="3295"/>
      <c r="E6" s="3297" t="s">
        <v>2367</v>
      </c>
      <c r="F6" s="3298"/>
      <c r="G6" s="3294" t="s">
        <v>2367</v>
      </c>
      <c r="H6" s="3295"/>
      <c r="I6" s="3294" t="s">
        <v>2367</v>
      </c>
      <c r="J6" s="3295"/>
      <c r="K6" s="567" t="s">
        <v>2368</v>
      </c>
      <c r="L6" s="2942"/>
      <c r="M6" s="2943"/>
      <c r="N6" s="2943"/>
      <c r="O6" s="2943"/>
      <c r="P6" s="3340"/>
      <c r="Q6" s="3312"/>
      <c r="R6" s="3288"/>
      <c r="S6" s="3289"/>
      <c r="T6" s="3313"/>
      <c r="U6" s="3314"/>
      <c r="V6" s="3316"/>
      <c r="W6" s="3316"/>
      <c r="X6" s="1537"/>
      <c r="Y6" s="3313"/>
      <c r="Z6" s="3314"/>
      <c r="AA6" s="3283"/>
      <c r="AB6" s="3283"/>
      <c r="AC6" s="3283"/>
    </row>
    <row r="7" spans="1:29" s="113" customFormat="1" ht="15" thickBot="1">
      <c r="A7" s="368" t="s">
        <v>2369</v>
      </c>
      <c r="B7" s="369"/>
      <c r="C7" s="370">
        <f>'数据-取费表'!B2</f>
        <v>44561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84" t="s">
        <v>2370</v>
      </c>
      <c r="Q7" s="3318"/>
      <c r="R7" s="709" t="s">
        <v>17</v>
      </c>
      <c r="S7" s="710">
        <f t="shared" ref="S7:S14" si="0">F7</f>
        <v>0</v>
      </c>
      <c r="T7" s="709" t="s">
        <v>17</v>
      </c>
      <c r="U7" s="710">
        <f t="shared" ref="U7:U14" si="1">H7</f>
        <v>0</v>
      </c>
      <c r="V7" s="709" t="s">
        <v>17</v>
      </c>
      <c r="W7" s="710">
        <f t="shared" ref="W7:W14" si="2">J7</f>
        <v>0</v>
      </c>
      <c r="X7" s="711"/>
      <c r="Y7" s="3284" t="s">
        <v>2370</v>
      </c>
      <c r="Z7" s="3285"/>
      <c r="AA7" s="712" t="e">
        <f>D7/F7</f>
        <v>#DIV/0!</v>
      </c>
      <c r="AB7" s="712" t="e">
        <f>D7/H7</f>
        <v>#DIV/0!</v>
      </c>
      <c r="AC7" s="712" t="e">
        <f>D7/J7</f>
        <v>#DIV/0!</v>
      </c>
    </row>
    <row r="8" spans="1:29" s="113" customFormat="1" ht="1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84" t="s">
        <v>2373</v>
      </c>
      <c r="Q8" s="3285"/>
      <c r="R8" s="709" t="s">
        <v>17</v>
      </c>
      <c r="S8" s="710">
        <f t="shared" si="0"/>
        <v>0</v>
      </c>
      <c r="T8" s="709" t="s">
        <v>17</v>
      </c>
      <c r="U8" s="710">
        <f t="shared" si="1"/>
        <v>0</v>
      </c>
      <c r="V8" s="709" t="s">
        <v>17</v>
      </c>
      <c r="W8" s="710">
        <f t="shared" si="2"/>
        <v>0</v>
      </c>
      <c r="X8" s="711"/>
      <c r="Y8" s="3284" t="s">
        <v>2373</v>
      </c>
      <c r="Z8" s="3285"/>
      <c r="AA8" s="712" t="e">
        <f t="shared" ref="AA8:AA36" si="3">D8/F8</f>
        <v>#DIV/0!</v>
      </c>
      <c r="AB8" s="712" t="e">
        <f t="shared" ref="AB8:AB36" si="4">D8/H8</f>
        <v>#DIV/0!</v>
      </c>
      <c r="AC8" s="712" t="e">
        <f t="shared" ref="AC8:AC36" si="5">D8/J8</f>
        <v>#DIV/0!</v>
      </c>
    </row>
    <row r="9" spans="1:29" s="113" customFormat="1" ht="14.4">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28" t="s">
        <v>2376</v>
      </c>
      <c r="Q9" s="1525" t="str">
        <f t="shared" ref="Q9:Q14" si="6">B9</f>
        <v>用途</v>
      </c>
      <c r="R9" s="709" t="s">
        <v>17</v>
      </c>
      <c r="S9" s="710">
        <f t="shared" si="0"/>
        <v>100</v>
      </c>
      <c r="T9" s="709" t="s">
        <v>17</v>
      </c>
      <c r="U9" s="710">
        <f t="shared" si="1"/>
        <v>100</v>
      </c>
      <c r="V9" s="709" t="s">
        <v>17</v>
      </c>
      <c r="W9" s="710">
        <f t="shared" si="2"/>
        <v>100</v>
      </c>
      <c r="X9" s="711"/>
      <c r="Y9" s="3257" t="s">
        <v>2377</v>
      </c>
      <c r="Z9" s="55" t="str">
        <f t="shared" ref="Z9:Z14" si="7">Q9</f>
        <v>用途</v>
      </c>
      <c r="AA9" s="712">
        <f t="shared" si="3"/>
        <v>1</v>
      </c>
      <c r="AB9" s="712">
        <f t="shared" si="4"/>
        <v>1</v>
      </c>
      <c r="AC9" s="712">
        <f t="shared" si="5"/>
        <v>1</v>
      </c>
    </row>
    <row r="10" spans="1:29" s="386" customFormat="1" ht="28.8">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28"/>
      <c r="Q10" s="1525" t="str">
        <f t="shared" si="6"/>
        <v>土地使用年限（年）</v>
      </c>
      <c r="R10" s="709" t="s">
        <v>17</v>
      </c>
      <c r="S10" s="710">
        <f t="shared" si="0"/>
        <v>100</v>
      </c>
      <c r="T10" s="709" t="s">
        <v>17</v>
      </c>
      <c r="U10" s="710">
        <f t="shared" si="1"/>
        <v>100</v>
      </c>
      <c r="V10" s="709" t="s">
        <v>17</v>
      </c>
      <c r="W10" s="710">
        <f t="shared" si="2"/>
        <v>100</v>
      </c>
      <c r="X10" s="711"/>
      <c r="Y10" s="3257"/>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28"/>
      <c r="Q11" s="1525">
        <f t="shared" si="6"/>
        <v>111</v>
      </c>
      <c r="R11" s="709" t="s">
        <v>17</v>
      </c>
      <c r="S11" s="710">
        <f t="shared" si="0"/>
        <v>100</v>
      </c>
      <c r="T11" s="709" t="s">
        <v>17</v>
      </c>
      <c r="U11" s="710">
        <f t="shared" si="1"/>
        <v>100</v>
      </c>
      <c r="V11" s="709" t="s">
        <v>17</v>
      </c>
      <c r="W11" s="710">
        <f t="shared" si="2"/>
        <v>100</v>
      </c>
      <c r="X11" s="711"/>
      <c r="Y11" s="3257"/>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28"/>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96.6">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21" t="s">
        <v>2381</v>
      </c>
      <c r="Q14" s="1534" t="str">
        <f t="shared" si="6"/>
        <v>交通便捷度</v>
      </c>
      <c r="R14" s="713" t="s">
        <v>17</v>
      </c>
      <c r="S14" s="714">
        <f t="shared" si="0"/>
        <v>100</v>
      </c>
      <c r="T14" s="713" t="s">
        <v>17</v>
      </c>
      <c r="U14" s="714">
        <f t="shared" si="1"/>
        <v>100</v>
      </c>
      <c r="V14" s="713" t="s">
        <v>17</v>
      </c>
      <c r="W14" s="714">
        <f t="shared" si="2"/>
        <v>100</v>
      </c>
      <c r="X14" s="1537"/>
      <c r="Y14" s="3321"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322"/>
      <c r="Q15" s="1534"/>
      <c r="R15" s="713"/>
      <c r="S15" s="714"/>
      <c r="T15" s="713"/>
      <c r="U15" s="714"/>
      <c r="V15" s="713"/>
      <c r="W15" s="714"/>
      <c r="X15" s="1537"/>
      <c r="Y15" s="3322"/>
      <c r="Z15" s="1538"/>
      <c r="AA15" s="1535">
        <v>1</v>
      </c>
      <c r="AB15" s="1535">
        <v>1</v>
      </c>
      <c r="AC15" s="1535">
        <v>1</v>
      </c>
    </row>
    <row r="16" spans="1:29" ht="41.4">
      <c r="A16" s="364"/>
      <c r="B16" s="587" t="s">
        <v>2509</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22"/>
      <c r="Q16" s="1534" t="str">
        <f>B16</f>
        <v>公共配套设施</v>
      </c>
      <c r="R16" s="713" t="s">
        <v>17</v>
      </c>
      <c r="S16" s="714">
        <f>F16</f>
        <v>100</v>
      </c>
      <c r="T16" s="713" t="s">
        <v>17</v>
      </c>
      <c r="U16" s="714">
        <f>H16</f>
        <v>100</v>
      </c>
      <c r="V16" s="713" t="s">
        <v>17</v>
      </c>
      <c r="W16" s="714">
        <f>J16</f>
        <v>100</v>
      </c>
      <c r="X16" s="1537"/>
      <c r="Y16" s="3322"/>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322"/>
      <c r="Q17" s="1534"/>
      <c r="R17" s="713"/>
      <c r="S17" s="714"/>
      <c r="T17" s="713"/>
      <c r="U17" s="714"/>
      <c r="V17" s="713"/>
      <c r="W17" s="714"/>
      <c r="X17" s="1537"/>
      <c r="Y17" s="3322"/>
      <c r="Z17" s="1538"/>
      <c r="AA17" s="1535">
        <v>1</v>
      </c>
      <c r="AB17" s="1535">
        <v>1</v>
      </c>
      <c r="AC17" s="1535">
        <v>1</v>
      </c>
    </row>
    <row r="18" spans="1:29" ht="41.4">
      <c r="A18" s="364"/>
      <c r="B18" s="589" t="s">
        <v>2510</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22"/>
      <c r="Q18" s="1534" t="str">
        <f>B18</f>
        <v>基础设施水平</v>
      </c>
      <c r="R18" s="713" t="s">
        <v>17</v>
      </c>
      <c r="S18" s="714">
        <f>F18</f>
        <v>100</v>
      </c>
      <c r="T18" s="713" t="s">
        <v>17</v>
      </c>
      <c r="U18" s="714">
        <f>H18</f>
        <v>100</v>
      </c>
      <c r="V18" s="713" t="s">
        <v>17</v>
      </c>
      <c r="W18" s="714">
        <f>J18</f>
        <v>100</v>
      </c>
      <c r="X18" s="1537"/>
      <c r="Y18" s="3322"/>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322"/>
      <c r="Q19" s="1534"/>
      <c r="R19" s="713"/>
      <c r="S19" s="714"/>
      <c r="T19" s="713"/>
      <c r="U19" s="714"/>
      <c r="V19" s="713"/>
      <c r="W19" s="714"/>
      <c r="X19" s="1537"/>
      <c r="Y19" s="3322"/>
      <c r="Z19" s="1538"/>
      <c r="AA19" s="1535">
        <v>1</v>
      </c>
      <c r="AB19" s="1535">
        <v>1</v>
      </c>
      <c r="AC19" s="1535">
        <v>1</v>
      </c>
    </row>
    <row r="20" spans="1:29" ht="55.2">
      <c r="A20" s="364"/>
      <c r="B20" s="587" t="s">
        <v>2531</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22"/>
      <c r="Q20" s="1534" t="str">
        <f>B20</f>
        <v>自然及人文环境</v>
      </c>
      <c r="R20" s="713" t="s">
        <v>17</v>
      </c>
      <c r="S20" s="714">
        <f>F20</f>
        <v>100</v>
      </c>
      <c r="T20" s="713" t="s">
        <v>17</v>
      </c>
      <c r="U20" s="714">
        <f>H20</f>
        <v>100</v>
      </c>
      <c r="V20" s="713" t="s">
        <v>17</v>
      </c>
      <c r="W20" s="714">
        <f>J20</f>
        <v>100</v>
      </c>
      <c r="X20" s="1537"/>
      <c r="Y20" s="3322"/>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322"/>
      <c r="Q21" s="1534"/>
      <c r="R21" s="713"/>
      <c r="S21" s="714"/>
      <c r="T21" s="713"/>
      <c r="U21" s="714"/>
      <c r="V21" s="713"/>
      <c r="W21" s="714"/>
      <c r="X21" s="1537"/>
      <c r="Y21" s="3322"/>
      <c r="Z21" s="1538"/>
      <c r="AA21" s="1535">
        <v>1</v>
      </c>
      <c r="AB21" s="1535">
        <v>1</v>
      </c>
      <c r="AC21" s="1535">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22"/>
      <c r="Q22" s="1534" t="str">
        <f>B22</f>
        <v>楼层</v>
      </c>
      <c r="R22" s="713" t="s">
        <v>17</v>
      </c>
      <c r="S22" s="714">
        <f>F22</f>
        <v>100</v>
      </c>
      <c r="T22" s="713" t="s">
        <v>17</v>
      </c>
      <c r="U22" s="714">
        <f>H22</f>
        <v>100</v>
      </c>
      <c r="V22" s="713" t="s">
        <v>17</v>
      </c>
      <c r="W22" s="714">
        <f>J22</f>
        <v>100</v>
      </c>
      <c r="X22" s="1537"/>
      <c r="Y22" s="3322"/>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22"/>
      <c r="Q23" s="1534">
        <f>B23</f>
        <v>111</v>
      </c>
      <c r="R23" s="713" t="s">
        <v>17</v>
      </c>
      <c r="S23" s="714">
        <f>F23</f>
        <v>100</v>
      </c>
      <c r="T23" s="713" t="s">
        <v>17</v>
      </c>
      <c r="U23" s="714">
        <f>H23</f>
        <v>100</v>
      </c>
      <c r="V23" s="713" t="s">
        <v>17</v>
      </c>
      <c r="W23" s="714">
        <f>J23</f>
        <v>100</v>
      </c>
      <c r="X23" s="1537"/>
      <c r="Y23" s="3322"/>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22"/>
      <c r="Q24" s="1534">
        <f t="shared" ref="Q24:Q36" si="11">B24</f>
        <v>111</v>
      </c>
      <c r="R24" s="713" t="s">
        <v>17</v>
      </c>
      <c r="S24" s="714">
        <f>F24</f>
        <v>100</v>
      </c>
      <c r="T24" s="713" t="s">
        <v>17</v>
      </c>
      <c r="U24" s="714">
        <f>H24</f>
        <v>100</v>
      </c>
      <c r="V24" s="713" t="s">
        <v>17</v>
      </c>
      <c r="W24" s="714">
        <f>J24</f>
        <v>100</v>
      </c>
      <c r="X24" s="1537"/>
      <c r="Y24" s="3322"/>
      <c r="Z24" s="1538">
        <f>Q24</f>
        <v>111</v>
      </c>
      <c r="AA24" s="1535">
        <f t="shared" si="3"/>
        <v>1</v>
      </c>
      <c r="AB24" s="1535">
        <f t="shared" si="4"/>
        <v>1</v>
      </c>
      <c r="AC24" s="1535">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22"/>
      <c r="Q25" s="1525">
        <f t="shared" si="11"/>
        <v>111</v>
      </c>
      <c r="R25" s="709" t="s">
        <v>17</v>
      </c>
      <c r="S25" s="710">
        <f>F25</f>
        <v>100</v>
      </c>
      <c r="T25" s="709" t="s">
        <v>17</v>
      </c>
      <c r="U25" s="710">
        <f>H25</f>
        <v>100</v>
      </c>
      <c r="V25" s="709" t="s">
        <v>17</v>
      </c>
      <c r="W25" s="710">
        <f>J25</f>
        <v>100</v>
      </c>
      <c r="X25" s="711"/>
      <c r="Y25" s="3322"/>
      <c r="Z25" s="55">
        <f>Q25</f>
        <v>111</v>
      </c>
      <c r="AA25" s="1535">
        <f>D25/F25</f>
        <v>1</v>
      </c>
      <c r="AB25" s="1535">
        <f>D25/H25</f>
        <v>1</v>
      </c>
      <c r="AC25" s="1535">
        <f>D25/J25</f>
        <v>1</v>
      </c>
    </row>
    <row r="26" spans="1:29" ht="30">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53"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26" t="s">
        <v>2386</v>
      </c>
      <c r="Z26" s="1538" t="str">
        <f t="shared" ref="Z26:Z36" si="15">Q26</f>
        <v>配套类型</v>
      </c>
      <c r="AA26" s="1535">
        <f t="shared" si="3"/>
        <v>1</v>
      </c>
      <c r="AB26" s="1535">
        <f t="shared" si="4"/>
        <v>1</v>
      </c>
      <c r="AC26" s="1535">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26"/>
      <c r="Q27" s="715" t="str">
        <f t="shared" si="11"/>
        <v>项目停车位配比</v>
      </c>
      <c r="R27" s="716" t="s">
        <v>17</v>
      </c>
      <c r="S27" s="717">
        <f t="shared" si="12"/>
        <v>100</v>
      </c>
      <c r="T27" s="716" t="s">
        <v>17</v>
      </c>
      <c r="U27" s="717">
        <f t="shared" si="13"/>
        <v>100</v>
      </c>
      <c r="V27" s="716" t="s">
        <v>17</v>
      </c>
      <c r="W27" s="717">
        <f t="shared" si="14"/>
        <v>100</v>
      </c>
      <c r="X27" s="718"/>
      <c r="Y27" s="3326"/>
      <c r="Z27" s="719" t="str">
        <f t="shared" si="15"/>
        <v>项目停车位配比</v>
      </c>
      <c r="AA27" s="1535">
        <f t="shared" si="3"/>
        <v>1</v>
      </c>
      <c r="AB27" s="1535">
        <f t="shared" si="4"/>
        <v>1</v>
      </c>
      <c r="AC27" s="1535">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26"/>
      <c r="Q28" s="1534" t="str">
        <f t="shared" si="11"/>
        <v>公共部分装修</v>
      </c>
      <c r="R28" s="713" t="s">
        <v>17</v>
      </c>
      <c r="S28" s="714">
        <f t="shared" si="12"/>
        <v>100</v>
      </c>
      <c r="T28" s="713" t="s">
        <v>17</v>
      </c>
      <c r="U28" s="714">
        <f t="shared" si="13"/>
        <v>100</v>
      </c>
      <c r="V28" s="713" t="s">
        <v>17</v>
      </c>
      <c r="W28" s="714">
        <f t="shared" si="14"/>
        <v>100</v>
      </c>
      <c r="X28" s="1537"/>
      <c r="Y28" s="3326"/>
      <c r="Z28" s="1538" t="str">
        <f t="shared" si="15"/>
        <v>公共部分装修</v>
      </c>
      <c r="AA28" s="1535">
        <f t="shared" si="3"/>
        <v>1</v>
      </c>
      <c r="AB28" s="1535">
        <f t="shared" si="4"/>
        <v>1</v>
      </c>
      <c r="AC28" s="1535">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26"/>
      <c r="Q29" s="1534" t="str">
        <f t="shared" si="11"/>
        <v>成新率</v>
      </c>
      <c r="R29" s="713" t="s">
        <v>17</v>
      </c>
      <c r="S29" s="714" t="e">
        <f t="shared" si="12"/>
        <v>#N/A</v>
      </c>
      <c r="T29" s="713" t="s">
        <v>17</v>
      </c>
      <c r="U29" s="714" t="e">
        <f t="shared" si="13"/>
        <v>#N/A</v>
      </c>
      <c r="V29" s="713" t="s">
        <v>17</v>
      </c>
      <c r="W29" s="714" t="e">
        <f t="shared" si="14"/>
        <v>#N/A</v>
      </c>
      <c r="X29" s="1537"/>
      <c r="Y29" s="3326"/>
      <c r="Z29" s="1538" t="str">
        <f t="shared" si="15"/>
        <v>成新率</v>
      </c>
      <c r="AA29" s="1535" t="e">
        <f t="shared" si="3"/>
        <v>#N/A</v>
      </c>
      <c r="AB29" s="1535" t="e">
        <f t="shared" si="4"/>
        <v>#N/A</v>
      </c>
      <c r="AC29" s="1535"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26"/>
      <c r="Q30" s="1534" t="str">
        <f t="shared" si="11"/>
        <v>物业等级</v>
      </c>
      <c r="R30" s="713" t="s">
        <v>17</v>
      </c>
      <c r="S30" s="714">
        <f t="shared" si="12"/>
        <v>100</v>
      </c>
      <c r="T30" s="713" t="s">
        <v>17</v>
      </c>
      <c r="U30" s="714">
        <f t="shared" si="13"/>
        <v>100</v>
      </c>
      <c r="V30" s="713" t="s">
        <v>17</v>
      </c>
      <c r="W30" s="714">
        <f t="shared" si="14"/>
        <v>100</v>
      </c>
      <c r="X30" s="1537"/>
      <c r="Y30" s="3326"/>
      <c r="Z30" s="1538" t="str">
        <f t="shared" si="15"/>
        <v>物业等级</v>
      </c>
      <c r="AA30" s="1535">
        <f t="shared" si="3"/>
        <v>1</v>
      </c>
      <c r="AB30" s="1535">
        <f t="shared" si="4"/>
        <v>1</v>
      </c>
      <c r="AC30" s="1535">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26"/>
      <c r="Q31" s="1525" t="str">
        <f t="shared" si="11"/>
        <v>停车位面积</v>
      </c>
      <c r="R31" s="709" t="s">
        <v>17</v>
      </c>
      <c r="S31" s="710" t="e">
        <f t="shared" si="12"/>
        <v>#N/A</v>
      </c>
      <c r="T31" s="709" t="s">
        <v>17</v>
      </c>
      <c r="U31" s="710" t="e">
        <f t="shared" si="13"/>
        <v>#N/A</v>
      </c>
      <c r="V31" s="709" t="s">
        <v>17</v>
      </c>
      <c r="W31" s="710" t="e">
        <f t="shared" si="14"/>
        <v>#N/A</v>
      </c>
      <c r="X31" s="711"/>
      <c r="Y31" s="3326"/>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26" t="s">
        <v>2386</v>
      </c>
      <c r="Q32" s="1534" t="str">
        <f t="shared" si="11"/>
        <v>车位类型</v>
      </c>
      <c r="R32" s="713" t="s">
        <v>17</v>
      </c>
      <c r="S32" s="714">
        <f t="shared" si="12"/>
        <v>100</v>
      </c>
      <c r="T32" s="713" t="s">
        <v>17</v>
      </c>
      <c r="U32" s="714">
        <f t="shared" si="13"/>
        <v>100</v>
      </c>
      <c r="V32" s="713" t="s">
        <v>17</v>
      </c>
      <c r="W32" s="714">
        <f t="shared" si="14"/>
        <v>100</v>
      </c>
      <c r="X32" s="1537"/>
      <c r="Y32" s="3326" t="s">
        <v>2386</v>
      </c>
      <c r="Z32" s="1538" t="str">
        <f t="shared" si="15"/>
        <v>车位类型</v>
      </c>
      <c r="AA32" s="1535">
        <f t="shared" si="3"/>
        <v>1</v>
      </c>
      <c r="AB32" s="1535">
        <f t="shared" si="4"/>
        <v>1</v>
      </c>
      <c r="AC32" s="1535">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26"/>
      <c r="Q33" s="1534" t="str">
        <f t="shared" si="11"/>
        <v>是否直接入户</v>
      </c>
      <c r="R33" s="713" t="s">
        <v>17</v>
      </c>
      <c r="S33" s="714">
        <f t="shared" si="12"/>
        <v>100</v>
      </c>
      <c r="T33" s="713" t="s">
        <v>17</v>
      </c>
      <c r="U33" s="714">
        <f t="shared" si="13"/>
        <v>100</v>
      </c>
      <c r="V33" s="713" t="s">
        <v>17</v>
      </c>
      <c r="W33" s="714">
        <f t="shared" si="14"/>
        <v>100</v>
      </c>
      <c r="X33" s="1537"/>
      <c r="Y33" s="3326"/>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26"/>
      <c r="Q34" s="1534">
        <f t="shared" si="11"/>
        <v>111</v>
      </c>
      <c r="R34" s="713" t="s">
        <v>17</v>
      </c>
      <c r="S34" s="714">
        <f t="shared" si="12"/>
        <v>100</v>
      </c>
      <c r="T34" s="713" t="s">
        <v>17</v>
      </c>
      <c r="U34" s="714">
        <f t="shared" si="13"/>
        <v>100</v>
      </c>
      <c r="V34" s="713" t="s">
        <v>17</v>
      </c>
      <c r="W34" s="714">
        <f t="shared" si="14"/>
        <v>100</v>
      </c>
      <c r="X34" s="1537"/>
      <c r="Y34" s="3326"/>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26"/>
      <c r="Q35" s="715">
        <f t="shared" si="11"/>
        <v>111</v>
      </c>
      <c r="R35" s="716" t="s">
        <v>17</v>
      </c>
      <c r="S35" s="717">
        <f t="shared" si="12"/>
        <v>100</v>
      </c>
      <c r="T35" s="716" t="s">
        <v>17</v>
      </c>
      <c r="U35" s="717">
        <f t="shared" si="13"/>
        <v>100</v>
      </c>
      <c r="V35" s="716" t="s">
        <v>17</v>
      </c>
      <c r="W35" s="717">
        <f t="shared" si="14"/>
        <v>100</v>
      </c>
      <c r="X35" s="718"/>
      <c r="Y35" s="3326"/>
      <c r="Z35" s="719">
        <f t="shared" si="15"/>
        <v>111</v>
      </c>
      <c r="AA35" s="1535">
        <f t="shared" si="3"/>
        <v>1</v>
      </c>
      <c r="AB35" s="1535">
        <f t="shared" si="4"/>
        <v>1</v>
      </c>
      <c r="AC35" s="1535">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26"/>
      <c r="Q36" s="1534">
        <f t="shared" si="11"/>
        <v>111</v>
      </c>
      <c r="R36" s="713" t="s">
        <v>17</v>
      </c>
      <c r="S36" s="714">
        <f t="shared" si="12"/>
        <v>100</v>
      </c>
      <c r="T36" s="713" t="s">
        <v>17</v>
      </c>
      <c r="U36" s="714">
        <f t="shared" si="13"/>
        <v>100</v>
      </c>
      <c r="V36" s="713" t="s">
        <v>17</v>
      </c>
      <c r="W36" s="714">
        <f t="shared" si="14"/>
        <v>100</v>
      </c>
      <c r="X36" s="1537"/>
      <c r="Y36" s="3326"/>
      <c r="Z36" s="1538">
        <f t="shared" si="15"/>
        <v>111</v>
      </c>
      <c r="AA36" s="1535">
        <f t="shared" si="3"/>
        <v>1</v>
      </c>
      <c r="AB36" s="1535">
        <f t="shared" si="4"/>
        <v>1</v>
      </c>
      <c r="AC36" s="1535">
        <f t="shared" si="5"/>
        <v>1</v>
      </c>
    </row>
    <row r="37" spans="1:29" ht="14.4">
      <c r="A37" s="438" t="s">
        <v>2541</v>
      </c>
      <c r="B37" s="2157" t="s">
        <v>2542</v>
      </c>
      <c r="C37" s="1315" t="s">
        <v>1</v>
      </c>
      <c r="D37" s="1316"/>
      <c r="E37" s="1317"/>
      <c r="F37" s="1318"/>
      <c r="G37" s="1319"/>
      <c r="H37" s="1320"/>
      <c r="I37" s="1317"/>
      <c r="J37" s="1320"/>
      <c r="K37" s="576"/>
      <c r="L37" s="2951"/>
      <c r="M37" s="2952"/>
      <c r="N37" s="2943"/>
      <c r="O37" s="2952"/>
      <c r="P37" s="3328" t="str">
        <f>A37</f>
        <v>成交单价</v>
      </c>
      <c r="Q37" s="3328"/>
      <c r="R37" s="3329">
        <f>E37</f>
        <v>0</v>
      </c>
      <c r="S37" s="3329"/>
      <c r="T37" s="3329">
        <f>G37</f>
        <v>0</v>
      </c>
      <c r="U37" s="3329"/>
      <c r="V37" s="3329">
        <f>I37</f>
        <v>0</v>
      </c>
      <c r="W37" s="3329"/>
      <c r="X37" s="698"/>
      <c r="Y37" s="720"/>
      <c r="Z37" s="698"/>
      <c r="AA37" s="698"/>
      <c r="AB37" s="698"/>
      <c r="AC37" s="698"/>
    </row>
    <row r="38" spans="1:29" ht="15" thickBot="1">
      <c r="A38" s="445" t="s">
        <v>2543</v>
      </c>
      <c r="B38" s="446" t="str">
        <f>B37</f>
        <v>元/车位</v>
      </c>
      <c r="C38" s="1321" t="e">
        <f>R39</f>
        <v>#DIV/0!</v>
      </c>
      <c r="D38" s="2536" t="s">
        <v>2879</v>
      </c>
      <c r="E38" s="1322" t="e">
        <f>R38</f>
        <v>#DIV/0!</v>
      </c>
      <c r="F38" s="2537"/>
      <c r="G38" s="1321" t="e">
        <f>T38</f>
        <v>#DIV/0!</v>
      </c>
      <c r="H38" s="2537"/>
      <c r="I38" s="1322" t="e">
        <f>V38</f>
        <v>#DIV/0!</v>
      </c>
      <c r="J38" s="2537"/>
      <c r="K38" s="2539">
        <f>F38+H38+J38</f>
        <v>0</v>
      </c>
      <c r="L38" s="2951"/>
      <c r="M38" s="2952"/>
      <c r="N38" s="2952"/>
      <c r="O38" s="2952"/>
      <c r="P38" s="3328" t="str">
        <f>A38</f>
        <v>比较价值（元/平方米）</v>
      </c>
      <c r="Q38" s="3328"/>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698"/>
      <c r="Y38" s="698"/>
      <c r="Z38" s="698"/>
      <c r="AA38" s="698"/>
      <c r="AB38" s="698"/>
      <c r="AC38" s="698"/>
    </row>
    <row r="39" spans="1:29" ht="15" thickBot="1">
      <c r="A39" s="449" t="s">
        <v>2544</v>
      </c>
      <c r="B39" s="450"/>
      <c r="C39" s="1324" t="e">
        <f>R39</f>
        <v>#DIV/0!</v>
      </c>
      <c r="D39" s="1324"/>
      <c r="E39" s="1324"/>
      <c r="F39" s="1324"/>
      <c r="G39" s="1324"/>
      <c r="H39" s="1324"/>
      <c r="I39" s="1324"/>
      <c r="J39" s="1324"/>
      <c r="K39" s="577"/>
      <c r="L39" s="2951"/>
      <c r="M39" s="2952"/>
      <c r="N39" s="2952"/>
      <c r="O39" s="2952"/>
      <c r="P39" s="3341" t="str">
        <f>A39</f>
        <v>估价对象XX用房的比较价值（楼面单价，元/平方米）</v>
      </c>
      <c r="Q39" s="3342"/>
      <c r="R39" s="3386" t="e">
        <f>IF(F1="售价",ROUND(IF(D38="简单平均",AVERAGE(R38:W38),R38*F38+T38*H38+V38*J38),0),ROUND(IF(D38="简单平均",AVERAGE(R38:V38),R38*F38+T38*H38+V38*J38),1))</f>
        <v>#DIV/0!</v>
      </c>
      <c r="S39" s="3386"/>
      <c r="T39" s="3386"/>
      <c r="U39" s="3386"/>
      <c r="V39" s="3386"/>
      <c r="W39" s="3386"/>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2.2" thickBot="1">
      <c r="A47" s="1327" t="s">
        <v>2548</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4.4">
      <c r="A48" s="462" t="s">
        <v>2549</v>
      </c>
      <c r="B48" s="463"/>
      <c r="C48" s="1344" t="str">
        <f>YEAR(C7)&amp;"-"&amp;MONTH(C7)</f>
        <v>2021-12</v>
      </c>
      <c r="D48" s="1345">
        <f>EDATE(C48,-1)</f>
        <v>44501</v>
      </c>
      <c r="E48" s="1345">
        <f t="shared" ref="E48:O48" si="16">EDATE(D48,-1)</f>
        <v>44470</v>
      </c>
      <c r="F48" s="1345">
        <f t="shared" si="16"/>
        <v>44440</v>
      </c>
      <c r="G48" s="1345">
        <f t="shared" si="16"/>
        <v>44409</v>
      </c>
      <c r="H48" s="1345">
        <f t="shared" si="16"/>
        <v>44378</v>
      </c>
      <c r="I48" s="1345">
        <f t="shared" si="16"/>
        <v>44348</v>
      </c>
      <c r="J48" s="1345">
        <f t="shared" si="16"/>
        <v>44317</v>
      </c>
      <c r="K48" s="1345">
        <f t="shared" si="16"/>
        <v>44287</v>
      </c>
      <c r="L48" s="1345">
        <f t="shared" si="16"/>
        <v>44256</v>
      </c>
      <c r="M48" s="1345">
        <f t="shared" si="16"/>
        <v>44228</v>
      </c>
      <c r="N48" s="1345">
        <f t="shared" si="16"/>
        <v>44197</v>
      </c>
      <c r="O48" s="1345">
        <f t="shared" si="16"/>
        <v>44166</v>
      </c>
      <c r="P48" s="2986"/>
      <c r="Q48" s="2968"/>
      <c r="R48" s="2968"/>
      <c r="S48" s="2968"/>
      <c r="T48" s="2968"/>
      <c r="U48" s="2968"/>
      <c r="V48" s="2968"/>
      <c r="W48" s="2968"/>
      <c r="X48" s="2968"/>
      <c r="Y48" s="2968"/>
      <c r="Z48" s="2968"/>
      <c r="AA48" s="2968"/>
      <c r="AB48" s="2968"/>
      <c r="AC48" s="2968"/>
    </row>
    <row r="49" spans="1:29" s="113" customFormat="1">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4.4">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4.4"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ht="14.4">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4.4"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9.4"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4.4"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4.4"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4.4"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4.4"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4.4"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4.4"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 thickTop="1">
      <c r="A67" s="491"/>
      <c r="B67" s="503" t="s">
        <v>2510</v>
      </c>
      <c r="C67" s="616" t="s">
        <v>2496</v>
      </c>
      <c r="D67" s="616" t="s">
        <v>2497</v>
      </c>
      <c r="E67" s="616" t="s">
        <v>2498</v>
      </c>
      <c r="F67" s="616" t="s">
        <v>2499</v>
      </c>
      <c r="G67" s="616" t="s">
        <v>2500</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4.4"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4.4"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4.4"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4.4"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4.4"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4.4"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9.4"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4.4"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4.4"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4.4"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4.4"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4.4"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4.4"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4.4"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4.4">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29">
      <c r="A5" s="364"/>
      <c r="B5" s="365"/>
      <c r="C5" s="3292" t="s">
        <v>2363</v>
      </c>
      <c r="D5" s="3293"/>
      <c r="E5" s="3336" t="s">
        <v>2364</v>
      </c>
      <c r="F5" s="3291"/>
      <c r="G5" s="3292" t="s">
        <v>2365</v>
      </c>
      <c r="H5" s="3293"/>
      <c r="I5" s="3292" t="s">
        <v>2366</v>
      </c>
      <c r="J5" s="3293"/>
      <c r="K5" s="567"/>
      <c r="L5" s="2942"/>
      <c r="M5" s="2943"/>
      <c r="N5" s="2943"/>
      <c r="O5" s="2943"/>
      <c r="P5" s="3339"/>
      <c r="Q5" s="3310"/>
      <c r="R5" s="3288"/>
      <c r="S5" s="3289"/>
      <c r="T5" s="3288"/>
      <c r="U5" s="3289"/>
      <c r="V5" s="3316"/>
      <c r="W5" s="3316"/>
      <c r="X5" s="1537"/>
      <c r="Y5" s="3288"/>
      <c r="Z5" s="3289"/>
      <c r="AA5" s="3282"/>
      <c r="AB5" s="3282"/>
      <c r="AC5" s="3282"/>
    </row>
    <row r="6" spans="1:29" ht="15" thickBot="1">
      <c r="A6" s="366"/>
      <c r="B6" s="367"/>
      <c r="C6" s="3294" t="s">
        <v>2367</v>
      </c>
      <c r="D6" s="3295"/>
      <c r="E6" s="3297" t="s">
        <v>2367</v>
      </c>
      <c r="F6" s="3298"/>
      <c r="G6" s="3294" t="s">
        <v>2367</v>
      </c>
      <c r="H6" s="3295"/>
      <c r="I6" s="3294" t="s">
        <v>2367</v>
      </c>
      <c r="J6" s="3295"/>
      <c r="K6" s="567" t="s">
        <v>2368</v>
      </c>
      <c r="L6" s="2942"/>
      <c r="M6" s="2943"/>
      <c r="N6" s="2943"/>
      <c r="O6" s="2943"/>
      <c r="P6" s="3340"/>
      <c r="Q6" s="3312"/>
      <c r="R6" s="3288"/>
      <c r="S6" s="3289"/>
      <c r="T6" s="3313"/>
      <c r="U6" s="3314"/>
      <c r="V6" s="3316"/>
      <c r="W6" s="3316"/>
      <c r="X6" s="1537"/>
      <c r="Y6" s="3313"/>
      <c r="Z6" s="3314"/>
      <c r="AA6" s="3283"/>
      <c r="AB6" s="3283"/>
      <c r="AC6" s="3283"/>
    </row>
    <row r="7" spans="1:29" s="113" customFormat="1" ht="15" thickBot="1">
      <c r="A7" s="368" t="s">
        <v>2369</v>
      </c>
      <c r="B7" s="369"/>
      <c r="C7" s="370">
        <f>'数据-取费表'!B2</f>
        <v>44561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84" t="s">
        <v>2370</v>
      </c>
      <c r="Q7" s="3318"/>
      <c r="R7" s="709" t="s">
        <v>17</v>
      </c>
      <c r="S7" s="710">
        <f t="shared" ref="S7:S14" si="0">F7</f>
        <v>0</v>
      </c>
      <c r="T7" s="709" t="s">
        <v>17</v>
      </c>
      <c r="U7" s="710">
        <f t="shared" ref="U7:U14" si="1">H7</f>
        <v>0</v>
      </c>
      <c r="V7" s="709" t="s">
        <v>17</v>
      </c>
      <c r="W7" s="710">
        <f t="shared" ref="W7:W14" si="2">J7</f>
        <v>0</v>
      </c>
      <c r="X7" s="711"/>
      <c r="Y7" s="3284" t="s">
        <v>2370</v>
      </c>
      <c r="Z7" s="3285"/>
      <c r="AA7" s="712" t="e">
        <f>D7/F7</f>
        <v>#DIV/0!</v>
      </c>
      <c r="AB7" s="712" t="e">
        <f>D7/H7</f>
        <v>#DIV/0!</v>
      </c>
      <c r="AC7" s="712" t="e">
        <f>D7/J7</f>
        <v>#DIV/0!</v>
      </c>
    </row>
    <row r="8" spans="1:29" s="113" customFormat="1" ht="1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84" t="s">
        <v>2373</v>
      </c>
      <c r="Q8" s="3285"/>
      <c r="R8" s="709" t="s">
        <v>17</v>
      </c>
      <c r="S8" s="710">
        <f t="shared" si="0"/>
        <v>0</v>
      </c>
      <c r="T8" s="709" t="s">
        <v>17</v>
      </c>
      <c r="U8" s="710">
        <f t="shared" si="1"/>
        <v>0</v>
      </c>
      <c r="V8" s="709" t="s">
        <v>17</v>
      </c>
      <c r="W8" s="710">
        <f t="shared" si="2"/>
        <v>0</v>
      </c>
      <c r="X8" s="711"/>
      <c r="Y8" s="3284" t="s">
        <v>2373</v>
      </c>
      <c r="Z8" s="3285"/>
      <c r="AA8" s="712" t="e">
        <f t="shared" ref="AA8:AA34" si="3">D8/F8</f>
        <v>#DIV/0!</v>
      </c>
      <c r="AB8" s="712" t="e">
        <f t="shared" ref="AB8:AB34" si="4">D8/H8</f>
        <v>#DIV/0!</v>
      </c>
      <c r="AC8" s="712" t="e">
        <f t="shared" ref="AC8:AC34" si="5">D8/J8</f>
        <v>#DIV/0!</v>
      </c>
    </row>
    <row r="9" spans="1:29" s="113" customFormat="1" ht="14.4">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28" t="s">
        <v>2376</v>
      </c>
      <c r="Q9" s="1525" t="str">
        <f t="shared" ref="Q9:Q14" si="6">B9</f>
        <v>用途</v>
      </c>
      <c r="R9" s="709" t="s">
        <v>17</v>
      </c>
      <c r="S9" s="710">
        <f t="shared" si="0"/>
        <v>100</v>
      </c>
      <c r="T9" s="709" t="s">
        <v>17</v>
      </c>
      <c r="U9" s="710">
        <f t="shared" si="1"/>
        <v>100</v>
      </c>
      <c r="V9" s="709" t="s">
        <v>17</v>
      </c>
      <c r="W9" s="710">
        <f t="shared" si="2"/>
        <v>100</v>
      </c>
      <c r="X9" s="711"/>
      <c r="Y9" s="3257" t="s">
        <v>2377</v>
      </c>
      <c r="Z9" s="55" t="str">
        <f t="shared" ref="Z9:Z14" si="7">Q9</f>
        <v>用途</v>
      </c>
      <c r="AA9" s="712">
        <f t="shared" si="3"/>
        <v>1</v>
      </c>
      <c r="AB9" s="712">
        <f t="shared" si="4"/>
        <v>1</v>
      </c>
      <c r="AC9" s="712">
        <f t="shared" si="5"/>
        <v>1</v>
      </c>
    </row>
    <row r="10" spans="1:29" s="386" customFormat="1" ht="28.8">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28"/>
      <c r="Q10" s="1525" t="str">
        <f t="shared" si="6"/>
        <v>土地使用年限（年）</v>
      </c>
      <c r="R10" s="709" t="s">
        <v>17</v>
      </c>
      <c r="S10" s="710">
        <f t="shared" si="0"/>
        <v>100</v>
      </c>
      <c r="T10" s="709" t="s">
        <v>17</v>
      </c>
      <c r="U10" s="710">
        <f t="shared" si="1"/>
        <v>100</v>
      </c>
      <c r="V10" s="709" t="s">
        <v>17</v>
      </c>
      <c r="W10" s="710">
        <f t="shared" si="2"/>
        <v>100</v>
      </c>
      <c r="X10" s="711"/>
      <c r="Y10" s="3257"/>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28"/>
      <c r="Q11" s="1525">
        <f t="shared" si="6"/>
        <v>111</v>
      </c>
      <c r="R11" s="709" t="s">
        <v>17</v>
      </c>
      <c r="S11" s="710">
        <f t="shared" si="0"/>
        <v>100</v>
      </c>
      <c r="T11" s="709" t="s">
        <v>17</v>
      </c>
      <c r="U11" s="710">
        <f t="shared" si="1"/>
        <v>100</v>
      </c>
      <c r="V11" s="709" t="s">
        <v>17</v>
      </c>
      <c r="W11" s="710">
        <f t="shared" si="2"/>
        <v>100</v>
      </c>
      <c r="X11" s="711"/>
      <c r="Y11" s="3257"/>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28"/>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6"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96.6">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21" t="s">
        <v>2381</v>
      </c>
      <c r="Q14" s="1534" t="str">
        <f t="shared" si="6"/>
        <v>交通便捷度</v>
      </c>
      <c r="R14" s="713" t="s">
        <v>17</v>
      </c>
      <c r="S14" s="714">
        <f t="shared" si="0"/>
        <v>100</v>
      </c>
      <c r="T14" s="713" t="s">
        <v>17</v>
      </c>
      <c r="U14" s="714">
        <f t="shared" si="1"/>
        <v>100</v>
      </c>
      <c r="V14" s="713" t="s">
        <v>17</v>
      </c>
      <c r="W14" s="714">
        <f t="shared" si="2"/>
        <v>100</v>
      </c>
      <c r="X14" s="1537"/>
      <c r="Y14" s="3321"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322"/>
      <c r="Q15" s="1534"/>
      <c r="R15" s="713"/>
      <c r="S15" s="714"/>
      <c r="T15" s="713"/>
      <c r="U15" s="714"/>
      <c r="V15" s="713"/>
      <c r="W15" s="714"/>
      <c r="X15" s="1537"/>
      <c r="Y15" s="3322"/>
      <c r="Z15" s="1538"/>
      <c r="AA15" s="1535">
        <v>1</v>
      </c>
      <c r="AB15" s="1535">
        <v>1</v>
      </c>
      <c r="AC15" s="1535">
        <v>1</v>
      </c>
    </row>
    <row r="16" spans="1:29" ht="41.4">
      <c r="A16" s="387"/>
      <c r="B16" s="410" t="s">
        <v>2509</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22"/>
      <c r="Q16" s="1534" t="str">
        <f>B16</f>
        <v>公共配套设施</v>
      </c>
      <c r="R16" s="713" t="s">
        <v>17</v>
      </c>
      <c r="S16" s="714">
        <f>F16</f>
        <v>100</v>
      </c>
      <c r="T16" s="713" t="s">
        <v>17</v>
      </c>
      <c r="U16" s="714">
        <f>H16</f>
        <v>100</v>
      </c>
      <c r="V16" s="713" t="s">
        <v>17</v>
      </c>
      <c r="W16" s="714">
        <f>J16</f>
        <v>100</v>
      </c>
      <c r="X16" s="1537"/>
      <c r="Y16" s="3322"/>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322"/>
      <c r="Q17" s="1534"/>
      <c r="R17" s="713"/>
      <c r="S17" s="714"/>
      <c r="T17" s="713"/>
      <c r="U17" s="714"/>
      <c r="V17" s="713"/>
      <c r="W17" s="714"/>
      <c r="X17" s="1537"/>
      <c r="Y17" s="3322"/>
      <c r="Z17" s="1538"/>
      <c r="AA17" s="1535">
        <v>1</v>
      </c>
      <c r="AB17" s="1535">
        <v>1</v>
      </c>
      <c r="AC17" s="1535">
        <v>1</v>
      </c>
    </row>
    <row r="18" spans="1:29" ht="41.4">
      <c r="A18" s="387"/>
      <c r="B18" s="1292" t="s">
        <v>2510</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22"/>
      <c r="Q18" s="1534" t="str">
        <f>B18</f>
        <v>基础设施水平</v>
      </c>
      <c r="R18" s="713" t="s">
        <v>17</v>
      </c>
      <c r="S18" s="714">
        <f>F18</f>
        <v>100</v>
      </c>
      <c r="T18" s="713" t="s">
        <v>17</v>
      </c>
      <c r="U18" s="714">
        <f>H18</f>
        <v>100</v>
      </c>
      <c r="V18" s="713" t="s">
        <v>17</v>
      </c>
      <c r="W18" s="714">
        <f>J18</f>
        <v>100</v>
      </c>
      <c r="X18" s="1537"/>
      <c r="Y18" s="3322"/>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322"/>
      <c r="Q19" s="1534"/>
      <c r="R19" s="713"/>
      <c r="S19" s="714"/>
      <c r="T19" s="713"/>
      <c r="U19" s="714"/>
      <c r="V19" s="713"/>
      <c r="W19" s="714"/>
      <c r="X19" s="1537"/>
      <c r="Y19" s="3322"/>
      <c r="Z19" s="1538"/>
      <c r="AA19" s="1535">
        <v>1</v>
      </c>
      <c r="AB19" s="1535">
        <v>1</v>
      </c>
      <c r="AC19" s="1535">
        <v>1</v>
      </c>
    </row>
    <row r="20" spans="1:29" ht="55.2">
      <c r="A20" s="387"/>
      <c r="B20" s="410" t="s">
        <v>2531</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22"/>
      <c r="Q20" s="1534" t="str">
        <f>B20</f>
        <v>自然及人文环境</v>
      </c>
      <c r="R20" s="713" t="s">
        <v>17</v>
      </c>
      <c r="S20" s="714">
        <f>F20</f>
        <v>100</v>
      </c>
      <c r="T20" s="713" t="s">
        <v>17</v>
      </c>
      <c r="U20" s="714">
        <f>H20</f>
        <v>100</v>
      </c>
      <c r="V20" s="713" t="s">
        <v>17</v>
      </c>
      <c r="W20" s="714">
        <f>J20</f>
        <v>100</v>
      </c>
      <c r="X20" s="1537"/>
      <c r="Y20" s="3322"/>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322"/>
      <c r="Q21" s="1534"/>
      <c r="R21" s="713"/>
      <c r="S21" s="714"/>
      <c r="T21" s="713"/>
      <c r="U21" s="714"/>
      <c r="V21" s="713"/>
      <c r="W21" s="714"/>
      <c r="X21" s="1537"/>
      <c r="Y21" s="3322"/>
      <c r="Z21" s="1538"/>
      <c r="AA21" s="1535">
        <v>1</v>
      </c>
      <c r="AB21" s="1535">
        <v>1</v>
      </c>
      <c r="AC21" s="1535">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22"/>
      <c r="Q22" s="1534" t="str">
        <f>B22</f>
        <v>楼层</v>
      </c>
      <c r="R22" s="713" t="s">
        <v>17</v>
      </c>
      <c r="S22" s="714">
        <f>F22</f>
        <v>100</v>
      </c>
      <c r="T22" s="713" t="s">
        <v>17</v>
      </c>
      <c r="U22" s="714">
        <f>H22</f>
        <v>100</v>
      </c>
      <c r="V22" s="713" t="s">
        <v>17</v>
      </c>
      <c r="W22" s="714">
        <f>J22</f>
        <v>100</v>
      </c>
      <c r="X22" s="1537"/>
      <c r="Y22" s="3322"/>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22"/>
      <c r="Q23" s="1534">
        <f>B23</f>
        <v>111</v>
      </c>
      <c r="R23" s="713" t="s">
        <v>17</v>
      </c>
      <c r="S23" s="714">
        <f>F23</f>
        <v>100</v>
      </c>
      <c r="T23" s="713" t="s">
        <v>17</v>
      </c>
      <c r="U23" s="714">
        <f>H23</f>
        <v>100</v>
      </c>
      <c r="V23" s="713" t="s">
        <v>17</v>
      </c>
      <c r="W23" s="714">
        <f>J23</f>
        <v>100</v>
      </c>
      <c r="X23" s="1537"/>
      <c r="Y23" s="3322"/>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22"/>
      <c r="Q24" s="1534">
        <f t="shared" ref="Q24:Q34" si="11">B24</f>
        <v>111</v>
      </c>
      <c r="R24" s="713" t="s">
        <v>17</v>
      </c>
      <c r="S24" s="714">
        <f>F24</f>
        <v>100</v>
      </c>
      <c r="T24" s="713" t="s">
        <v>17</v>
      </c>
      <c r="U24" s="714">
        <f>H24</f>
        <v>100</v>
      </c>
      <c r="V24" s="713" t="s">
        <v>17</v>
      </c>
      <c r="W24" s="714">
        <f>J24</f>
        <v>100</v>
      </c>
      <c r="X24" s="1537"/>
      <c r="Y24" s="3322"/>
      <c r="Z24" s="1538">
        <f>Q24</f>
        <v>111</v>
      </c>
      <c r="AA24" s="1535">
        <f t="shared" si="3"/>
        <v>1</v>
      </c>
      <c r="AB24" s="1535">
        <f t="shared" si="4"/>
        <v>1</v>
      </c>
      <c r="AC24" s="1535">
        <f t="shared" si="5"/>
        <v>1</v>
      </c>
    </row>
    <row r="25" spans="1:29" s="113" customFormat="1" ht="15.6"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22"/>
      <c r="Q25" s="1525">
        <f t="shared" si="11"/>
        <v>111</v>
      </c>
      <c r="R25" s="709" t="s">
        <v>17</v>
      </c>
      <c r="S25" s="710">
        <f>F25</f>
        <v>100</v>
      </c>
      <c r="T25" s="709" t="s">
        <v>17</v>
      </c>
      <c r="U25" s="710">
        <f>H25</f>
        <v>100</v>
      </c>
      <c r="V25" s="709" t="s">
        <v>17</v>
      </c>
      <c r="W25" s="710">
        <f>J25</f>
        <v>100</v>
      </c>
      <c r="X25" s="711"/>
      <c r="Y25" s="3322"/>
      <c r="Z25" s="55">
        <f>Q25</f>
        <v>111</v>
      </c>
      <c r="AA25" s="1535">
        <f>D25/F25</f>
        <v>1</v>
      </c>
      <c r="AB25" s="1535">
        <f>D25/H25</f>
        <v>1</v>
      </c>
      <c r="AC25" s="1535">
        <f>D25/J25</f>
        <v>1</v>
      </c>
    </row>
    <row r="26" spans="1:29" ht="30">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53"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26" t="s">
        <v>2386</v>
      </c>
      <c r="Z26" s="1538" t="str">
        <f t="shared" ref="Z26:Z34" si="15">Q26</f>
        <v>公共部分装修</v>
      </c>
      <c r="AA26" s="1535">
        <f t="shared" si="3"/>
        <v>1</v>
      </c>
      <c r="AB26" s="1535">
        <f t="shared" si="4"/>
        <v>1</v>
      </c>
      <c r="AC26" s="1535">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26"/>
      <c r="Q27" s="715" t="str">
        <f t="shared" si="11"/>
        <v>成新率</v>
      </c>
      <c r="R27" s="716" t="s">
        <v>17</v>
      </c>
      <c r="S27" s="717" t="e">
        <f t="shared" si="12"/>
        <v>#N/A</v>
      </c>
      <c r="T27" s="716" t="s">
        <v>17</v>
      </c>
      <c r="U27" s="717" t="e">
        <f t="shared" si="13"/>
        <v>#N/A</v>
      </c>
      <c r="V27" s="716" t="s">
        <v>17</v>
      </c>
      <c r="W27" s="717" t="e">
        <f t="shared" si="14"/>
        <v>#N/A</v>
      </c>
      <c r="X27" s="718"/>
      <c r="Y27" s="3326"/>
      <c r="Z27" s="719" t="str">
        <f t="shared" si="15"/>
        <v>成新率</v>
      </c>
      <c r="AA27" s="1535" t="e">
        <f t="shared" si="3"/>
        <v>#N/A</v>
      </c>
      <c r="AB27" s="1535" t="e">
        <f t="shared" si="4"/>
        <v>#N/A</v>
      </c>
      <c r="AC27" s="1535"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26"/>
      <c r="Q28" s="1534" t="str">
        <f t="shared" si="11"/>
        <v>物业等级</v>
      </c>
      <c r="R28" s="713" t="s">
        <v>17</v>
      </c>
      <c r="S28" s="714">
        <f t="shared" si="12"/>
        <v>100</v>
      </c>
      <c r="T28" s="713" t="s">
        <v>17</v>
      </c>
      <c r="U28" s="714">
        <f t="shared" si="13"/>
        <v>100</v>
      </c>
      <c r="V28" s="713" t="s">
        <v>17</v>
      </c>
      <c r="W28" s="714">
        <f t="shared" si="14"/>
        <v>100</v>
      </c>
      <c r="X28" s="1537"/>
      <c r="Y28" s="3326"/>
      <c r="Z28" s="1538" t="str">
        <f t="shared" si="15"/>
        <v>物业等级</v>
      </c>
      <c r="AA28" s="1535">
        <f t="shared" si="3"/>
        <v>1</v>
      </c>
      <c r="AB28" s="1535">
        <f t="shared" si="4"/>
        <v>1</v>
      </c>
      <c r="AC28" s="1535">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26"/>
      <c r="Q29" s="1534" t="str">
        <f t="shared" si="11"/>
        <v>有无电梯</v>
      </c>
      <c r="R29" s="713" t="s">
        <v>17</v>
      </c>
      <c r="S29" s="714">
        <f t="shared" si="12"/>
        <v>100</v>
      </c>
      <c r="T29" s="713" t="s">
        <v>17</v>
      </c>
      <c r="U29" s="714">
        <f t="shared" si="13"/>
        <v>100</v>
      </c>
      <c r="V29" s="713" t="s">
        <v>17</v>
      </c>
      <c r="W29" s="714">
        <f t="shared" si="14"/>
        <v>100</v>
      </c>
      <c r="X29" s="1537"/>
      <c r="Y29" s="3326"/>
      <c r="Z29" s="1538" t="str">
        <f t="shared" si="15"/>
        <v>有无电梯</v>
      </c>
      <c r="AA29" s="1535">
        <f t="shared" si="3"/>
        <v>1</v>
      </c>
      <c r="AB29" s="1535">
        <f t="shared" si="4"/>
        <v>1</v>
      </c>
      <c r="AC29" s="1535">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26"/>
      <c r="Q30" s="1534" t="str">
        <f t="shared" si="11"/>
        <v>建筑面积</v>
      </c>
      <c r="R30" s="713" t="s">
        <v>17</v>
      </c>
      <c r="S30" s="714" t="e">
        <f t="shared" si="12"/>
        <v>#N/A</v>
      </c>
      <c r="T30" s="713" t="s">
        <v>17</v>
      </c>
      <c r="U30" s="714" t="e">
        <f t="shared" si="13"/>
        <v>#N/A</v>
      </c>
      <c r="V30" s="713" t="s">
        <v>17</v>
      </c>
      <c r="W30" s="714" t="e">
        <f t="shared" si="14"/>
        <v>#N/A</v>
      </c>
      <c r="X30" s="1537"/>
      <c r="Y30" s="3326"/>
      <c r="Z30" s="1538" t="str">
        <f t="shared" si="15"/>
        <v>建筑面积</v>
      </c>
      <c r="AA30" s="1535" t="e">
        <f t="shared" si="3"/>
        <v>#N/A</v>
      </c>
      <c r="AB30" s="1535" t="e">
        <f t="shared" si="4"/>
        <v>#N/A</v>
      </c>
      <c r="AC30" s="1535"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26"/>
      <c r="Q31" s="1525" t="str">
        <f t="shared" si="11"/>
        <v>是否封闭</v>
      </c>
      <c r="R31" s="709" t="s">
        <v>17</v>
      </c>
      <c r="S31" s="710">
        <f t="shared" si="12"/>
        <v>100</v>
      </c>
      <c r="T31" s="709" t="s">
        <v>17</v>
      </c>
      <c r="U31" s="710">
        <f t="shared" si="13"/>
        <v>100</v>
      </c>
      <c r="V31" s="709" t="s">
        <v>17</v>
      </c>
      <c r="W31" s="710">
        <f t="shared" si="14"/>
        <v>100</v>
      </c>
      <c r="X31" s="711"/>
      <c r="Y31" s="3326"/>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26" t="s">
        <v>2386</v>
      </c>
      <c r="Q32" s="1534">
        <f t="shared" si="11"/>
        <v>111</v>
      </c>
      <c r="R32" s="713" t="s">
        <v>17</v>
      </c>
      <c r="S32" s="714">
        <f t="shared" si="12"/>
        <v>100</v>
      </c>
      <c r="T32" s="713" t="s">
        <v>17</v>
      </c>
      <c r="U32" s="714">
        <f t="shared" si="13"/>
        <v>100</v>
      </c>
      <c r="V32" s="713" t="s">
        <v>17</v>
      </c>
      <c r="W32" s="714">
        <f t="shared" si="14"/>
        <v>100</v>
      </c>
      <c r="X32" s="1537"/>
      <c r="Y32" s="3326"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26"/>
      <c r="Q33" s="1534">
        <f t="shared" si="11"/>
        <v>111</v>
      </c>
      <c r="R33" s="713" t="s">
        <v>17</v>
      </c>
      <c r="S33" s="714">
        <f t="shared" si="12"/>
        <v>100</v>
      </c>
      <c r="T33" s="713" t="s">
        <v>17</v>
      </c>
      <c r="U33" s="714">
        <f t="shared" si="13"/>
        <v>100</v>
      </c>
      <c r="V33" s="713" t="s">
        <v>17</v>
      </c>
      <c r="W33" s="714">
        <f t="shared" si="14"/>
        <v>100</v>
      </c>
      <c r="X33" s="1537"/>
      <c r="Y33" s="3326"/>
      <c r="Z33" s="1538">
        <f t="shared" si="15"/>
        <v>111</v>
      </c>
      <c r="AA33" s="1535">
        <f t="shared" si="3"/>
        <v>1</v>
      </c>
      <c r="AB33" s="1535">
        <f t="shared" si="4"/>
        <v>1</v>
      </c>
      <c r="AC33" s="1535">
        <f t="shared" si="5"/>
        <v>1</v>
      </c>
    </row>
    <row r="34" spans="1:30" ht="15.6"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26"/>
      <c r="Q34" s="1534">
        <f t="shared" si="11"/>
        <v>111</v>
      </c>
      <c r="R34" s="713" t="s">
        <v>17</v>
      </c>
      <c r="S34" s="714">
        <f t="shared" si="12"/>
        <v>100</v>
      </c>
      <c r="T34" s="713" t="s">
        <v>17</v>
      </c>
      <c r="U34" s="714">
        <f t="shared" si="13"/>
        <v>100</v>
      </c>
      <c r="V34" s="713" t="s">
        <v>17</v>
      </c>
      <c r="W34" s="714">
        <f t="shared" si="14"/>
        <v>100</v>
      </c>
      <c r="X34" s="1537"/>
      <c r="Y34" s="3326"/>
      <c r="Z34" s="1538">
        <f t="shared" si="15"/>
        <v>111</v>
      </c>
      <c r="AA34" s="1535">
        <f t="shared" si="3"/>
        <v>1</v>
      </c>
      <c r="AB34" s="1535">
        <f t="shared" si="4"/>
        <v>1</v>
      </c>
      <c r="AC34" s="1535">
        <f t="shared" si="5"/>
        <v>1</v>
      </c>
    </row>
    <row r="35" spans="1:30" ht="14.4">
      <c r="A35" s="438" t="s">
        <v>2398</v>
      </c>
      <c r="B35" s="439"/>
      <c r="C35" s="1315" t="s">
        <v>1</v>
      </c>
      <c r="D35" s="1316"/>
      <c r="E35" s="1317"/>
      <c r="F35" s="1318"/>
      <c r="G35" s="1319"/>
      <c r="H35" s="1320"/>
      <c r="I35" s="1317"/>
      <c r="J35" s="1320"/>
      <c r="K35" s="722"/>
      <c r="L35" s="2951"/>
      <c r="M35" s="2952"/>
      <c r="N35" s="2943"/>
      <c r="O35" s="2952"/>
      <c r="P35" s="3328" t="str">
        <f>A35</f>
        <v>成交单价（元/平方米）</v>
      </c>
      <c r="Q35" s="3328"/>
      <c r="R35" s="3329">
        <f>E35</f>
        <v>0</v>
      </c>
      <c r="S35" s="3329"/>
      <c r="T35" s="3329">
        <f>G35</f>
        <v>0</v>
      </c>
      <c r="U35" s="3329"/>
      <c r="V35" s="3329">
        <f>I35</f>
        <v>0</v>
      </c>
      <c r="W35" s="3329"/>
      <c r="X35" s="698"/>
      <c r="Y35" s="720"/>
      <c r="Z35" s="698"/>
      <c r="AA35" s="698"/>
      <c r="AB35" s="698"/>
      <c r="AC35" s="698"/>
    </row>
    <row r="36" spans="1:30" ht="15" thickBot="1">
      <c r="A36" s="445" t="s">
        <v>2490</v>
      </c>
      <c r="B36" s="446"/>
      <c r="C36" s="1321" t="e">
        <f>R37</f>
        <v>#DIV/0!</v>
      </c>
      <c r="D36" s="2536" t="s">
        <v>2879</v>
      </c>
      <c r="E36" s="1322" t="e">
        <f>R36</f>
        <v>#DIV/0!</v>
      </c>
      <c r="F36" s="2537"/>
      <c r="G36" s="1321" t="e">
        <f>T36</f>
        <v>#DIV/0!</v>
      </c>
      <c r="H36" s="2537"/>
      <c r="I36" s="1322" t="e">
        <f>V36</f>
        <v>#DIV/0!</v>
      </c>
      <c r="J36" s="2537"/>
      <c r="K36" s="2539">
        <f>F36+H36+J36</f>
        <v>0</v>
      </c>
      <c r="L36" s="2951"/>
      <c r="M36" s="2952"/>
      <c r="N36" s="2943"/>
      <c r="O36" s="2952"/>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698"/>
      <c r="Y36" s="698"/>
      <c r="Z36" s="698"/>
      <c r="AA36" s="698"/>
      <c r="AB36" s="698"/>
      <c r="AC36" s="698"/>
    </row>
    <row r="37" spans="1:30" ht="15" thickBot="1">
      <c r="A37" s="449" t="s">
        <v>2491</v>
      </c>
      <c r="B37" s="450"/>
      <c r="C37" s="1324" t="e">
        <f>R37</f>
        <v>#DIV/0!</v>
      </c>
      <c r="D37" s="1324"/>
      <c r="E37" s="1324"/>
      <c r="F37" s="1324"/>
      <c r="G37" s="1324"/>
      <c r="H37" s="1324"/>
      <c r="I37" s="1324"/>
      <c r="J37" s="1324"/>
      <c r="K37" s="723"/>
      <c r="L37" s="2951"/>
      <c r="M37" s="2952"/>
      <c r="N37" s="2952"/>
      <c r="O37" s="2952"/>
      <c r="P37" s="3341" t="str">
        <f>A37</f>
        <v>估价对象XX用房的比较价值（楼面单价，元/平方米）</v>
      </c>
      <c r="Q37" s="3342"/>
      <c r="R37" s="3386" t="e">
        <f>IF(F1="售价",ROUND(IF(D36="简单平均",AVERAGE(R36:W36),R36*F36+T36*H36+V36*J36),0),ROUND(IF(D36="简单平均",AVERAGE(R36:V36),R36*F36+T36*H36+V36*J36),1))</f>
        <v>#DIV/0!</v>
      </c>
      <c r="S37" s="3386"/>
      <c r="T37" s="3386"/>
      <c r="U37" s="3386"/>
      <c r="V37" s="3386"/>
      <c r="W37" s="3386"/>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2.2"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4.4">
      <c r="A46" s="462" t="s">
        <v>2369</v>
      </c>
      <c r="B46" s="463"/>
      <c r="C46" s="1344" t="str">
        <f>YEAR(C7)&amp;"-"&amp;MONTH(C7)</f>
        <v>2021-12</v>
      </c>
      <c r="D46" s="1345">
        <f>EDATE(C46,-1)</f>
        <v>44501</v>
      </c>
      <c r="E46" s="1345">
        <f t="shared" ref="E46:O46" si="16">EDATE(D46,-1)</f>
        <v>44470</v>
      </c>
      <c r="F46" s="1345">
        <f t="shared" si="16"/>
        <v>44440</v>
      </c>
      <c r="G46" s="1345">
        <f t="shared" si="16"/>
        <v>44409</v>
      </c>
      <c r="H46" s="1345">
        <f t="shared" si="16"/>
        <v>44378</v>
      </c>
      <c r="I46" s="1345">
        <f t="shared" si="16"/>
        <v>44348</v>
      </c>
      <c r="J46" s="1345">
        <f t="shared" si="16"/>
        <v>44317</v>
      </c>
      <c r="K46" s="1345">
        <f t="shared" si="16"/>
        <v>44287</v>
      </c>
      <c r="L46" s="1345">
        <f t="shared" si="16"/>
        <v>44256</v>
      </c>
      <c r="M46" s="1345">
        <f t="shared" si="16"/>
        <v>44228</v>
      </c>
      <c r="N46" s="1345">
        <f t="shared" si="16"/>
        <v>44197</v>
      </c>
      <c r="O46" s="1345">
        <f t="shared" si="16"/>
        <v>44166</v>
      </c>
      <c r="P46" s="3003"/>
      <c r="Q46" s="2968"/>
      <c r="R46" s="2968"/>
      <c r="S46" s="2968"/>
      <c r="T46" s="2968"/>
      <c r="U46" s="2968"/>
      <c r="V46" s="2968"/>
      <c r="W46" s="2968"/>
      <c r="X46" s="2968"/>
      <c r="Y46" s="2968"/>
      <c r="Z46" s="2968"/>
      <c r="AA46" s="2968"/>
      <c r="AB46" s="2968"/>
      <c r="AC46" s="2968"/>
      <c r="AD46" s="2968"/>
    </row>
    <row r="47" spans="1:30" s="113" customFormat="1">
      <c r="A47" s="466"/>
      <c r="B47" s="467"/>
      <c r="C47" s="1343">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4.4">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4.4"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ht="14.4">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4.4"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9.4"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4.4"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4.4"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4.4"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4.4"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4.4"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4.4"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9.4"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 thickTop="1">
      <c r="A65" s="491"/>
      <c r="B65" s="503" t="s">
        <v>2510</v>
      </c>
      <c r="C65" s="616" t="s">
        <v>2496</v>
      </c>
      <c r="D65" s="616" t="s">
        <v>2497</v>
      </c>
      <c r="E65" s="616" t="s">
        <v>2498</v>
      </c>
      <c r="F65" s="616" t="s">
        <v>2499</v>
      </c>
      <c r="G65" s="616" t="s">
        <v>2500</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4.4"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4.4"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4.4"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4.4"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4.4"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4.4"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4.4"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4.4"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4.4"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4.4"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4.4"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4.4"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4.4"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4.4"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4.4"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4.4"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4.4">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29">
      <c r="A5" s="364"/>
      <c r="B5" s="365"/>
      <c r="C5" s="3292" t="s">
        <v>2363</v>
      </c>
      <c r="D5" s="3293"/>
      <c r="E5" s="3336" t="s">
        <v>2364</v>
      </c>
      <c r="F5" s="3291"/>
      <c r="G5" s="3292" t="s">
        <v>2365</v>
      </c>
      <c r="H5" s="3293"/>
      <c r="I5" s="3292" t="s">
        <v>2366</v>
      </c>
      <c r="J5" s="3293"/>
      <c r="K5" s="567"/>
      <c r="L5" s="2942"/>
      <c r="M5" s="2943"/>
      <c r="N5" s="2943"/>
      <c r="O5" s="2943"/>
      <c r="P5" s="3339"/>
      <c r="Q5" s="3310"/>
      <c r="R5" s="3288"/>
      <c r="S5" s="3289"/>
      <c r="T5" s="3288"/>
      <c r="U5" s="3289"/>
      <c r="V5" s="3316"/>
      <c r="W5" s="3316"/>
      <c r="X5" s="1537"/>
      <c r="Y5" s="3288"/>
      <c r="Z5" s="3289"/>
      <c r="AA5" s="3282"/>
      <c r="AB5" s="3282"/>
      <c r="AC5" s="3282"/>
    </row>
    <row r="6" spans="1:29" ht="15" thickBot="1">
      <c r="A6" s="366"/>
      <c r="B6" s="367"/>
      <c r="C6" s="3387" t="s">
        <v>2618</v>
      </c>
      <c r="D6" s="3388"/>
      <c r="E6" s="3389" t="s">
        <v>2618</v>
      </c>
      <c r="F6" s="3390"/>
      <c r="G6" s="3387" t="s">
        <v>2618</v>
      </c>
      <c r="H6" s="3388"/>
      <c r="I6" s="3387" t="s">
        <v>2618</v>
      </c>
      <c r="J6" s="3388"/>
      <c r="K6" s="567" t="s">
        <v>2368</v>
      </c>
      <c r="L6" s="2942"/>
      <c r="M6" s="2943"/>
      <c r="N6" s="2943"/>
      <c r="O6" s="2943"/>
      <c r="P6" s="3340"/>
      <c r="Q6" s="3312"/>
      <c r="R6" s="3288"/>
      <c r="S6" s="3289"/>
      <c r="T6" s="3313"/>
      <c r="U6" s="3314"/>
      <c r="V6" s="3316"/>
      <c r="W6" s="3316"/>
      <c r="X6" s="1537"/>
      <c r="Y6" s="3313"/>
      <c r="Z6" s="3314"/>
      <c r="AA6" s="3283"/>
      <c r="AB6" s="3283"/>
      <c r="AC6" s="3283"/>
    </row>
    <row r="7" spans="1:29" s="113" customFormat="1" ht="15" thickBot="1">
      <c r="A7" s="368" t="s">
        <v>2369</v>
      </c>
      <c r="B7" s="369"/>
      <c r="C7" s="370">
        <f>'数据-取费表'!B2</f>
        <v>44561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84" t="s">
        <v>2370</v>
      </c>
      <c r="Q7" s="3318"/>
      <c r="R7" s="709" t="s">
        <v>17</v>
      </c>
      <c r="S7" s="710">
        <f t="shared" ref="S7:S15" si="0">F7</f>
        <v>0</v>
      </c>
      <c r="T7" s="709" t="s">
        <v>17</v>
      </c>
      <c r="U7" s="710">
        <f t="shared" ref="U7:U15" si="1">H7</f>
        <v>0</v>
      </c>
      <c r="V7" s="709" t="s">
        <v>17</v>
      </c>
      <c r="W7" s="710">
        <f t="shared" ref="W7:W15" si="2">J7</f>
        <v>0</v>
      </c>
      <c r="X7" s="711"/>
      <c r="Y7" s="3284" t="s">
        <v>2370</v>
      </c>
      <c r="Z7" s="3285"/>
      <c r="AA7" s="712" t="e">
        <f>D7/F7</f>
        <v>#DIV/0!</v>
      </c>
      <c r="AB7" s="712" t="e">
        <f>D7/H7</f>
        <v>#DIV/0!</v>
      </c>
      <c r="AC7" s="712" t="e">
        <f>D7/J7</f>
        <v>#DIV/0!</v>
      </c>
    </row>
    <row r="8" spans="1:29" s="113" customFormat="1" ht="1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84" t="s">
        <v>2373</v>
      </c>
      <c r="Q8" s="3285"/>
      <c r="R8" s="709" t="s">
        <v>17</v>
      </c>
      <c r="S8" s="710">
        <f t="shared" si="0"/>
        <v>0</v>
      </c>
      <c r="T8" s="709" t="s">
        <v>17</v>
      </c>
      <c r="U8" s="710">
        <f t="shared" si="1"/>
        <v>0</v>
      </c>
      <c r="V8" s="709" t="s">
        <v>17</v>
      </c>
      <c r="W8" s="710">
        <f t="shared" si="2"/>
        <v>0</v>
      </c>
      <c r="X8" s="711"/>
      <c r="Y8" s="3284" t="s">
        <v>2373</v>
      </c>
      <c r="Z8" s="3285"/>
      <c r="AA8" s="712" t="e">
        <f t="shared" ref="AA8:AA40" si="3">D8/F8</f>
        <v>#DIV/0!</v>
      </c>
      <c r="AB8" s="712" t="e">
        <f t="shared" ref="AB8:AB40" si="4">D8/H8</f>
        <v>#DIV/0!</v>
      </c>
      <c r="AC8" s="712" t="e">
        <f t="shared" ref="AC8:AC40" si="5">D8/J8</f>
        <v>#DIV/0!</v>
      </c>
    </row>
    <row r="9" spans="1:29" s="113" customFormat="1" ht="14.4">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28"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29" s="386" customFormat="1" ht="28.8">
      <c r="A10" s="380"/>
      <c r="B10" s="381" t="s">
        <v>2378</v>
      </c>
      <c r="C10" s="391"/>
      <c r="D10" s="132">
        <v>100</v>
      </c>
      <c r="E10" s="391"/>
      <c r="F10" s="132">
        <f>ROUND(100/'数据-取费表'!G16,0)</f>
        <v>235</v>
      </c>
      <c r="G10" s="391"/>
      <c r="H10" s="132">
        <f>ROUND(100/'数据-取费表'!G16,0)</f>
        <v>235</v>
      </c>
      <c r="I10" s="391"/>
      <c r="J10" s="132">
        <f>ROUND(100/'数据-取费表'!G16,0)</f>
        <v>235</v>
      </c>
      <c r="K10" s="628"/>
      <c r="L10" s="2946"/>
      <c r="M10" s="2947"/>
      <c r="N10" s="2947"/>
      <c r="O10" s="3000"/>
      <c r="P10" s="3328"/>
      <c r="Q10" s="1525" t="str">
        <f t="shared" si="6"/>
        <v>土地使用年限（年）</v>
      </c>
      <c r="R10" s="709" t="s">
        <v>17</v>
      </c>
      <c r="S10" s="710">
        <f t="shared" si="0"/>
        <v>235</v>
      </c>
      <c r="T10" s="709" t="s">
        <v>17</v>
      </c>
      <c r="U10" s="710">
        <f t="shared" si="1"/>
        <v>235</v>
      </c>
      <c r="V10" s="709" t="s">
        <v>17</v>
      </c>
      <c r="W10" s="710">
        <f t="shared" si="2"/>
        <v>235</v>
      </c>
      <c r="X10" s="711"/>
      <c r="Y10" s="3257"/>
      <c r="Z10" s="55" t="str">
        <f t="shared" si="7"/>
        <v>土地使用年限（年）</v>
      </c>
      <c r="AA10" s="712">
        <f t="shared" si="3"/>
        <v>0.42553191489361702</v>
      </c>
      <c r="AB10" s="712">
        <f t="shared" si="4"/>
        <v>0.42553191489361702</v>
      </c>
      <c r="AC10" s="712">
        <f t="shared" si="5"/>
        <v>0.42553191489361702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28"/>
      <c r="Q11" s="1525" t="str">
        <f t="shared" si="6"/>
        <v>容积率</v>
      </c>
      <c r="R11" s="709" t="s">
        <v>17</v>
      </c>
      <c r="S11" s="710" t="e">
        <f t="shared" si="0"/>
        <v>#N/A</v>
      </c>
      <c r="T11" s="709" t="s">
        <v>17</v>
      </c>
      <c r="U11" s="710" t="e">
        <f t="shared" si="1"/>
        <v>#N/A</v>
      </c>
      <c r="V11" s="709" t="s">
        <v>17</v>
      </c>
      <c r="W11" s="710" t="e">
        <f t="shared" si="2"/>
        <v>#N/A</v>
      </c>
      <c r="X11" s="711"/>
      <c r="Y11" s="3257"/>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28"/>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15.6"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28"/>
      <c r="Q14" s="1525">
        <f t="shared" si="6"/>
        <v>111</v>
      </c>
      <c r="R14" s="709" t="s">
        <v>17</v>
      </c>
      <c r="S14" s="710">
        <f t="shared" si="0"/>
        <v>100</v>
      </c>
      <c r="T14" s="709" t="s">
        <v>17</v>
      </c>
      <c r="U14" s="710">
        <f t="shared" si="1"/>
        <v>100</v>
      </c>
      <c r="V14" s="709" t="s">
        <v>17</v>
      </c>
      <c r="W14" s="710">
        <f t="shared" si="2"/>
        <v>100</v>
      </c>
      <c r="X14" s="711"/>
      <c r="Y14" s="3257"/>
      <c r="Z14" s="55">
        <f t="shared" si="7"/>
        <v>111</v>
      </c>
      <c r="AA14" s="712">
        <f t="shared" si="3"/>
        <v>1</v>
      </c>
      <c r="AB14" s="712">
        <f t="shared" si="4"/>
        <v>1</v>
      </c>
      <c r="AC14" s="712">
        <f t="shared" si="5"/>
        <v>1</v>
      </c>
    </row>
    <row r="15" spans="1:29" ht="69">
      <c r="A15" s="399" t="s">
        <v>2380</v>
      </c>
      <c r="B15" s="585" t="s">
        <v>2619</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21" t="s">
        <v>2381</v>
      </c>
      <c r="Q15" s="1534" t="str">
        <f t="shared" si="6"/>
        <v>产业集聚程度</v>
      </c>
      <c r="R15" s="713" t="s">
        <v>17</v>
      </c>
      <c r="S15" s="714">
        <f t="shared" si="0"/>
        <v>100</v>
      </c>
      <c r="T15" s="713" t="s">
        <v>17</v>
      </c>
      <c r="U15" s="714">
        <f t="shared" si="1"/>
        <v>100</v>
      </c>
      <c r="V15" s="713" t="s">
        <v>17</v>
      </c>
      <c r="W15" s="714">
        <f t="shared" si="2"/>
        <v>100</v>
      </c>
      <c r="X15" s="1537"/>
      <c r="Y15" s="3321"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322"/>
      <c r="Q16" s="1534"/>
      <c r="R16" s="713"/>
      <c r="S16" s="714"/>
      <c r="T16" s="713"/>
      <c r="U16" s="714"/>
      <c r="V16" s="713"/>
      <c r="W16" s="714"/>
      <c r="X16" s="1537"/>
      <c r="Y16" s="3322"/>
      <c r="Z16" s="1538"/>
      <c r="AA16" s="1535">
        <v>1</v>
      </c>
      <c r="AB16" s="1535">
        <v>1</v>
      </c>
      <c r="AC16" s="1535">
        <v>1</v>
      </c>
    </row>
    <row r="17" spans="1:29" ht="96.6">
      <c r="A17" s="387"/>
      <c r="B17" s="587" t="s">
        <v>2530</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22"/>
      <c r="Q17" s="1534" t="str">
        <f>B17</f>
        <v>交通便捷度</v>
      </c>
      <c r="R17" s="713" t="s">
        <v>17</v>
      </c>
      <c r="S17" s="714">
        <f>F17</f>
        <v>100</v>
      </c>
      <c r="T17" s="713" t="s">
        <v>17</v>
      </c>
      <c r="U17" s="714">
        <f>H17</f>
        <v>100</v>
      </c>
      <c r="V17" s="713" t="s">
        <v>17</v>
      </c>
      <c r="W17" s="714">
        <f>J17</f>
        <v>100</v>
      </c>
      <c r="X17" s="1537"/>
      <c r="Y17" s="3322"/>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322"/>
      <c r="Q18" s="1534"/>
      <c r="R18" s="713"/>
      <c r="S18" s="714"/>
      <c r="T18" s="713"/>
      <c r="U18" s="714"/>
      <c r="V18" s="713"/>
      <c r="W18" s="714"/>
      <c r="X18" s="1537"/>
      <c r="Y18" s="3322"/>
      <c r="Z18" s="1538"/>
      <c r="AA18" s="1535">
        <v>1</v>
      </c>
      <c r="AB18" s="1535">
        <v>1</v>
      </c>
      <c r="AC18" s="1535">
        <v>1</v>
      </c>
    </row>
    <row r="19" spans="1:29" ht="28.8">
      <c r="A19" s="387"/>
      <c r="B19" s="587" t="s">
        <v>2569</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22"/>
      <c r="Q19" s="1534" t="str">
        <f t="shared" ref="Q19:Q33" si="8">B19</f>
        <v>区域土地利用方向</v>
      </c>
      <c r="R19" s="713" t="s">
        <v>17</v>
      </c>
      <c r="S19" s="714">
        <f>F19</f>
        <v>100</v>
      </c>
      <c r="T19" s="713" t="s">
        <v>17</v>
      </c>
      <c r="U19" s="714">
        <f>H19</f>
        <v>100</v>
      </c>
      <c r="V19" s="713" t="s">
        <v>17</v>
      </c>
      <c r="W19" s="714">
        <f>J19</f>
        <v>100</v>
      </c>
      <c r="X19" s="1537"/>
      <c r="Y19" s="3322"/>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322"/>
      <c r="Q20" s="1534"/>
      <c r="R20" s="713"/>
      <c r="S20" s="714"/>
      <c r="T20" s="713"/>
      <c r="U20" s="714"/>
      <c r="V20" s="713"/>
      <c r="W20" s="714"/>
      <c r="X20" s="1537"/>
      <c r="Y20" s="3322"/>
      <c r="Z20" s="1538"/>
      <c r="AA20" s="1535"/>
      <c r="AB20" s="1535"/>
      <c r="AC20" s="1535"/>
    </row>
    <row r="21" spans="1:29" ht="82.8">
      <c r="A21" s="364"/>
      <c r="B21" s="587" t="s">
        <v>2620</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22"/>
      <c r="Q21" s="1534" t="str">
        <f t="shared" si="8"/>
        <v>环境状况</v>
      </c>
      <c r="R21" s="713" t="s">
        <v>17</v>
      </c>
      <c r="S21" s="714">
        <f>F21</f>
        <v>100</v>
      </c>
      <c r="T21" s="713" t="s">
        <v>17</v>
      </c>
      <c r="U21" s="714">
        <f>H21</f>
        <v>100</v>
      </c>
      <c r="V21" s="713" t="s">
        <v>17</v>
      </c>
      <c r="W21" s="714">
        <f>J21</f>
        <v>100</v>
      </c>
      <c r="X21" s="1537"/>
      <c r="Y21" s="3322"/>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322"/>
      <c r="Q22" s="1534"/>
      <c r="R22" s="713"/>
      <c r="S22" s="714"/>
      <c r="T22" s="713"/>
      <c r="U22" s="714"/>
      <c r="V22" s="713"/>
      <c r="W22" s="714"/>
      <c r="X22" s="1537"/>
      <c r="Y22" s="3322"/>
      <c r="Z22" s="1538"/>
      <c r="AA22" s="1535">
        <v>1</v>
      </c>
      <c r="AB22" s="1535">
        <v>1</v>
      </c>
      <c r="AC22" s="1535">
        <v>1</v>
      </c>
    </row>
    <row r="23" spans="1:29" s="113" customFormat="1" ht="41.4">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22"/>
      <c r="Q23" s="1525" t="str">
        <f t="shared" si="8"/>
        <v>公共配套设施</v>
      </c>
      <c r="R23" s="709" t="s">
        <v>17</v>
      </c>
      <c r="S23" s="710">
        <f>F23</f>
        <v>100</v>
      </c>
      <c r="T23" s="709" t="s">
        <v>17</v>
      </c>
      <c r="U23" s="710">
        <f>H23</f>
        <v>100</v>
      </c>
      <c r="V23" s="709" t="s">
        <v>17</v>
      </c>
      <c r="W23" s="710">
        <f>J23</f>
        <v>100</v>
      </c>
      <c r="X23" s="711"/>
      <c r="Y23" s="3322"/>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322"/>
      <c r="Q24" s="1525"/>
      <c r="R24" s="709"/>
      <c r="S24" s="710"/>
      <c r="T24" s="709"/>
      <c r="U24" s="710"/>
      <c r="V24" s="709"/>
      <c r="W24" s="710"/>
      <c r="X24" s="711"/>
      <c r="Y24" s="3322"/>
      <c r="Z24" s="55"/>
      <c r="AA24" s="712">
        <v>1</v>
      </c>
      <c r="AB24" s="712">
        <v>1</v>
      </c>
      <c r="AC24" s="712">
        <v>1</v>
      </c>
    </row>
    <row r="25" spans="1:29" s="113" customFormat="1" ht="41.4">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22"/>
      <c r="Q25" s="1525" t="str">
        <f t="shared" ref="Q25" si="9">B25</f>
        <v>基础设施水平</v>
      </c>
      <c r="R25" s="709" t="s">
        <v>17</v>
      </c>
      <c r="S25" s="710">
        <f>F25</f>
        <v>100</v>
      </c>
      <c r="T25" s="709" t="s">
        <v>17</v>
      </c>
      <c r="U25" s="710">
        <f>H25</f>
        <v>100</v>
      </c>
      <c r="V25" s="709" t="s">
        <v>17</v>
      </c>
      <c r="W25" s="710">
        <f>J25</f>
        <v>100</v>
      </c>
      <c r="X25" s="711"/>
      <c r="Y25" s="3322"/>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322"/>
      <c r="Q26" s="1525"/>
      <c r="R26" s="709"/>
      <c r="S26" s="710"/>
      <c r="T26" s="709"/>
      <c r="U26" s="710"/>
      <c r="V26" s="709"/>
      <c r="W26" s="710"/>
      <c r="X26" s="711"/>
      <c r="Y26" s="3322"/>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22"/>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22"/>
      <c r="Z27" s="1538" t="str">
        <f t="shared" ref="Z27:Z40" si="13">Q27</f>
        <v>临街状况</v>
      </c>
      <c r="AA27" s="1535">
        <f t="shared" si="3"/>
        <v>1</v>
      </c>
      <c r="AB27" s="1535">
        <f t="shared" si="4"/>
        <v>1</v>
      </c>
      <c r="AC27" s="1535">
        <f t="shared" si="5"/>
        <v>1</v>
      </c>
    </row>
    <row r="28" spans="1:29" ht="28.8">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22"/>
      <c r="Q28" s="1534" t="str">
        <f t="shared" si="8"/>
        <v>毗邻道路的类型与等级</v>
      </c>
      <c r="R28" s="713" t="s">
        <v>17</v>
      </c>
      <c r="S28" s="714">
        <f t="shared" si="10"/>
        <v>100</v>
      </c>
      <c r="T28" s="713" t="s">
        <v>17</v>
      </c>
      <c r="U28" s="714">
        <f t="shared" si="11"/>
        <v>100</v>
      </c>
      <c r="V28" s="713" t="s">
        <v>17</v>
      </c>
      <c r="W28" s="714">
        <f t="shared" si="12"/>
        <v>100</v>
      </c>
      <c r="X28" s="1537"/>
      <c r="Y28" s="3322"/>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322"/>
      <c r="Q29" s="1534"/>
      <c r="R29" s="713"/>
      <c r="S29" s="714"/>
      <c r="T29" s="713"/>
      <c r="U29" s="714"/>
      <c r="V29" s="713"/>
      <c r="W29" s="714"/>
      <c r="X29" s="1537"/>
      <c r="Y29" s="3322"/>
      <c r="Z29" s="1538"/>
      <c r="AA29" s="1535">
        <v>1</v>
      </c>
      <c r="AB29" s="1535">
        <v>1</v>
      </c>
      <c r="AC29" s="1535">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22"/>
      <c r="Q30" s="1534" t="str">
        <f t="shared" si="8"/>
        <v>土地级别</v>
      </c>
      <c r="R30" s="713" t="s">
        <v>17</v>
      </c>
      <c r="S30" s="714">
        <f t="shared" si="10"/>
        <v>100</v>
      </c>
      <c r="T30" s="713" t="s">
        <v>17</v>
      </c>
      <c r="U30" s="714">
        <f t="shared" si="11"/>
        <v>100</v>
      </c>
      <c r="V30" s="713" t="s">
        <v>17</v>
      </c>
      <c r="W30" s="714">
        <f t="shared" si="12"/>
        <v>100</v>
      </c>
      <c r="X30" s="1537"/>
      <c r="Y30" s="3322"/>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22"/>
      <c r="Q31" s="1534">
        <f t="shared" si="8"/>
        <v>111</v>
      </c>
      <c r="R31" s="713" t="s">
        <v>17</v>
      </c>
      <c r="S31" s="714">
        <f t="shared" si="10"/>
        <v>100</v>
      </c>
      <c r="T31" s="713" t="s">
        <v>17</v>
      </c>
      <c r="U31" s="714">
        <f t="shared" si="11"/>
        <v>100</v>
      </c>
      <c r="V31" s="713" t="s">
        <v>17</v>
      </c>
      <c r="W31" s="714">
        <f t="shared" si="12"/>
        <v>100</v>
      </c>
      <c r="X31" s="1537"/>
      <c r="Y31" s="3322"/>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53" t="s">
        <v>2386</v>
      </c>
      <c r="Q32" s="1534">
        <f t="shared" si="8"/>
        <v>111</v>
      </c>
      <c r="R32" s="713" t="s">
        <v>17</v>
      </c>
      <c r="S32" s="714">
        <f t="shared" si="10"/>
        <v>100</v>
      </c>
      <c r="T32" s="713" t="s">
        <v>17</v>
      </c>
      <c r="U32" s="714">
        <f t="shared" si="11"/>
        <v>100</v>
      </c>
      <c r="V32" s="713" t="s">
        <v>17</v>
      </c>
      <c r="W32" s="714">
        <f t="shared" si="12"/>
        <v>100</v>
      </c>
      <c r="X32" s="1537"/>
      <c r="Y32" s="3326" t="s">
        <v>2386</v>
      </c>
      <c r="Z32" s="1538">
        <f t="shared" si="13"/>
        <v>111</v>
      </c>
      <c r="AA32" s="1535">
        <f t="shared" si="3"/>
        <v>1</v>
      </c>
      <c r="AB32" s="1535">
        <f t="shared" si="4"/>
        <v>1</v>
      </c>
      <c r="AC32" s="1535">
        <f t="shared" si="5"/>
        <v>1</v>
      </c>
    </row>
    <row r="33" spans="1:31" s="430" customFormat="1" ht="15.6"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26"/>
      <c r="Q33" s="1534">
        <f t="shared" si="8"/>
        <v>111</v>
      </c>
      <c r="R33" s="716" t="s">
        <v>17</v>
      </c>
      <c r="S33" s="717">
        <f t="shared" si="10"/>
        <v>100</v>
      </c>
      <c r="T33" s="716" t="s">
        <v>17</v>
      </c>
      <c r="U33" s="717">
        <f t="shared" si="11"/>
        <v>100</v>
      </c>
      <c r="V33" s="716" t="s">
        <v>17</v>
      </c>
      <c r="W33" s="717">
        <f t="shared" si="12"/>
        <v>100</v>
      </c>
      <c r="X33" s="718"/>
      <c r="Y33" s="3326"/>
      <c r="Z33" s="719">
        <f t="shared" si="13"/>
        <v>111</v>
      </c>
      <c r="AA33" s="1535">
        <f t="shared" si="3"/>
        <v>1</v>
      </c>
      <c r="AB33" s="1535">
        <f t="shared" si="4"/>
        <v>1</v>
      </c>
      <c r="AC33" s="1535">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26"/>
      <c r="Q34" s="1534" t="str">
        <f>B34</f>
        <v>宗地面积</v>
      </c>
      <c r="R34" s="713" t="s">
        <v>17</v>
      </c>
      <c r="S34" s="714" t="e">
        <f t="shared" si="10"/>
        <v>#N/A</v>
      </c>
      <c r="T34" s="713" t="s">
        <v>17</v>
      </c>
      <c r="U34" s="714" t="e">
        <f t="shared" si="11"/>
        <v>#N/A</v>
      </c>
      <c r="V34" s="713" t="s">
        <v>17</v>
      </c>
      <c r="W34" s="714" t="e">
        <f t="shared" si="12"/>
        <v>#N/A</v>
      </c>
      <c r="X34" s="1537"/>
      <c r="Y34" s="3326"/>
      <c r="Z34" s="1538" t="str">
        <f t="shared" si="13"/>
        <v>宗地面积</v>
      </c>
      <c r="AA34" s="1535" t="e">
        <f t="shared" si="3"/>
        <v>#N/A</v>
      </c>
      <c r="AB34" s="1535" t="e">
        <f t="shared" si="4"/>
        <v>#N/A</v>
      </c>
      <c r="AC34" s="1535" t="e">
        <f t="shared" si="5"/>
        <v>#N/A</v>
      </c>
    </row>
    <row r="35" spans="1:31" ht="15">
      <c r="A35" s="431"/>
      <c r="B35" s="381" t="s">
        <v>2573</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26"/>
      <c r="Q35" s="1534" t="str">
        <f t="shared" ref="Q35:Q40" si="14">B35</f>
        <v>宗地形状</v>
      </c>
      <c r="R35" s="713" t="s">
        <v>17</v>
      </c>
      <c r="S35" s="714">
        <f t="shared" si="10"/>
        <v>100</v>
      </c>
      <c r="T35" s="713" t="s">
        <v>17</v>
      </c>
      <c r="U35" s="714">
        <f t="shared" si="11"/>
        <v>100</v>
      </c>
      <c r="V35" s="713" t="s">
        <v>17</v>
      </c>
      <c r="W35" s="714">
        <f t="shared" si="12"/>
        <v>100</v>
      </c>
      <c r="X35" s="1537"/>
      <c r="Y35" s="3326"/>
      <c r="Z35" s="1538" t="str">
        <f t="shared" si="13"/>
        <v>宗地形状</v>
      </c>
      <c r="AA35" s="1535">
        <f t="shared" si="3"/>
        <v>1</v>
      </c>
      <c r="AB35" s="1535">
        <f t="shared" si="4"/>
        <v>1</v>
      </c>
      <c r="AC35" s="1535">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26"/>
      <c r="Q36" s="1534" t="str">
        <f t="shared" si="14"/>
        <v>宗地开发程度</v>
      </c>
      <c r="R36" s="709" t="s">
        <v>17</v>
      </c>
      <c r="S36" s="710">
        <f t="shared" si="10"/>
        <v>100</v>
      </c>
      <c r="T36" s="709" t="s">
        <v>17</v>
      </c>
      <c r="U36" s="710">
        <f t="shared" si="11"/>
        <v>100</v>
      </c>
      <c r="V36" s="709" t="s">
        <v>17</v>
      </c>
      <c r="W36" s="710">
        <f t="shared" si="12"/>
        <v>100</v>
      </c>
      <c r="X36" s="711"/>
      <c r="Y36" s="3326"/>
      <c r="Z36" s="55" t="str">
        <f t="shared" si="13"/>
        <v>宗地开发程度</v>
      </c>
      <c r="AA36" s="712">
        <f t="shared" si="3"/>
        <v>1</v>
      </c>
      <c r="AB36" s="712">
        <f t="shared" si="4"/>
        <v>1</v>
      </c>
      <c r="AC36" s="712">
        <f t="shared" si="5"/>
        <v>1</v>
      </c>
    </row>
    <row r="37" spans="1:31" ht="15">
      <c r="A37" s="431"/>
      <c r="B37" s="381" t="s">
        <v>2576</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26" t="s">
        <v>2386</v>
      </c>
      <c r="Q37" s="1534" t="str">
        <f t="shared" si="14"/>
        <v>工程地质条件</v>
      </c>
      <c r="R37" s="713" t="s">
        <v>17</v>
      </c>
      <c r="S37" s="714">
        <f t="shared" si="10"/>
        <v>100</v>
      </c>
      <c r="T37" s="713" t="s">
        <v>17</v>
      </c>
      <c r="U37" s="714">
        <f t="shared" si="11"/>
        <v>100</v>
      </c>
      <c r="V37" s="713" t="s">
        <v>17</v>
      </c>
      <c r="W37" s="714">
        <f t="shared" si="12"/>
        <v>100</v>
      </c>
      <c r="X37" s="1537"/>
      <c r="Y37" s="3326"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26"/>
      <c r="Q38" s="1534">
        <f t="shared" si="14"/>
        <v>111</v>
      </c>
      <c r="R38" s="713" t="s">
        <v>17</v>
      </c>
      <c r="S38" s="714">
        <f t="shared" si="10"/>
        <v>100</v>
      </c>
      <c r="T38" s="713" t="s">
        <v>17</v>
      </c>
      <c r="U38" s="714">
        <f t="shared" si="11"/>
        <v>100</v>
      </c>
      <c r="V38" s="713" t="s">
        <v>17</v>
      </c>
      <c r="W38" s="714">
        <f t="shared" si="12"/>
        <v>100</v>
      </c>
      <c r="X38" s="1537"/>
      <c r="Y38" s="3326"/>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26"/>
      <c r="Q39" s="1534">
        <f t="shared" si="14"/>
        <v>111</v>
      </c>
      <c r="R39" s="713" t="s">
        <v>17</v>
      </c>
      <c r="S39" s="714">
        <f t="shared" si="10"/>
        <v>100</v>
      </c>
      <c r="T39" s="713" t="s">
        <v>17</v>
      </c>
      <c r="U39" s="714">
        <f t="shared" si="11"/>
        <v>100</v>
      </c>
      <c r="V39" s="713" t="s">
        <v>17</v>
      </c>
      <c r="W39" s="714">
        <f t="shared" si="12"/>
        <v>100</v>
      </c>
      <c r="X39" s="1537"/>
      <c r="Y39" s="3326"/>
      <c r="Z39" s="1538">
        <f t="shared" si="13"/>
        <v>111</v>
      </c>
      <c r="AA39" s="1535">
        <f t="shared" si="3"/>
        <v>1</v>
      </c>
      <c r="AB39" s="1535">
        <f t="shared" si="4"/>
        <v>1</v>
      </c>
      <c r="AC39" s="1535">
        <f t="shared" si="5"/>
        <v>1</v>
      </c>
    </row>
    <row r="40" spans="1:31" s="430" customFormat="1" ht="15.6"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26"/>
      <c r="Q40" s="1534">
        <f t="shared" si="14"/>
        <v>111</v>
      </c>
      <c r="R40" s="716" t="s">
        <v>17</v>
      </c>
      <c r="S40" s="717">
        <f t="shared" si="10"/>
        <v>100</v>
      </c>
      <c r="T40" s="716" t="s">
        <v>17</v>
      </c>
      <c r="U40" s="717">
        <f t="shared" si="11"/>
        <v>100</v>
      </c>
      <c r="V40" s="716" t="s">
        <v>17</v>
      </c>
      <c r="W40" s="717">
        <f t="shared" si="12"/>
        <v>100</v>
      </c>
      <c r="X40" s="718"/>
      <c r="Y40" s="3326"/>
      <c r="Z40" s="719">
        <f t="shared" si="13"/>
        <v>111</v>
      </c>
      <c r="AA40" s="1535">
        <f t="shared" si="3"/>
        <v>1</v>
      </c>
      <c r="AB40" s="1535">
        <f t="shared" si="4"/>
        <v>1</v>
      </c>
      <c r="AC40" s="1535">
        <f t="shared" si="5"/>
        <v>1</v>
      </c>
    </row>
    <row r="41" spans="1:31" ht="14.4">
      <c r="A41" s="438" t="s">
        <v>2541</v>
      </c>
      <c r="B41" s="2166" t="s">
        <v>2621</v>
      </c>
      <c r="C41" s="638" t="s">
        <v>1</v>
      </c>
      <c r="D41" s="440"/>
      <c r="E41" s="441"/>
      <c r="F41" s="442"/>
      <c r="G41" s="443"/>
      <c r="H41" s="444"/>
      <c r="I41" s="441"/>
      <c r="J41" s="444"/>
      <c r="K41" s="722"/>
      <c r="L41" s="2951"/>
      <c r="M41" s="2943"/>
      <c r="N41" s="2943"/>
      <c r="O41" s="2952"/>
      <c r="P41" s="3328" t="str">
        <f>A41</f>
        <v>成交单价</v>
      </c>
      <c r="Q41" s="3328"/>
      <c r="R41" s="3316">
        <f>E41</f>
        <v>0</v>
      </c>
      <c r="S41" s="3316"/>
      <c r="T41" s="3316">
        <f>G41</f>
        <v>0</v>
      </c>
      <c r="U41" s="3316"/>
      <c r="V41" s="3316">
        <f>I41</f>
        <v>0</v>
      </c>
      <c r="W41" s="3316"/>
      <c r="X41" s="698"/>
      <c r="Y41" s="720"/>
      <c r="Z41" s="698"/>
      <c r="AA41" s="698"/>
      <c r="AB41" s="698"/>
      <c r="AC41" s="698"/>
    </row>
    <row r="42" spans="1:31" ht="15" thickBot="1">
      <c r="A42" s="445" t="s">
        <v>2490</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328" t="str">
        <f>A42</f>
        <v>比较价值（元/平方米）</v>
      </c>
      <c r="Q42" s="3328"/>
      <c r="R42" s="3354" t="e">
        <f>ROUND(PRODUCT(R41,AA7:AA40),0)</f>
        <v>#DIV/0!</v>
      </c>
      <c r="S42" s="3354"/>
      <c r="T42" s="3354" t="e">
        <f>ROUND(PRODUCT(T41,AB7:AB40),0)</f>
        <v>#DIV/0!</v>
      </c>
      <c r="U42" s="3354"/>
      <c r="V42" s="3354" t="e">
        <f>ROUND(PRODUCT(V41,AC7:AC40),0)</f>
        <v>#DIV/0!</v>
      </c>
      <c r="W42" s="3354"/>
      <c r="X42" s="698"/>
      <c r="Y42" s="698"/>
      <c r="Z42" s="698"/>
      <c r="AA42" s="698"/>
      <c r="AB42" s="698"/>
      <c r="AC42" s="698"/>
    </row>
    <row r="43" spans="1:31" ht="15" thickBot="1">
      <c r="A43" s="449" t="s">
        <v>2491</v>
      </c>
      <c r="B43" s="450"/>
      <c r="C43" s="451" t="e">
        <f>R43</f>
        <v>#DIV/0!</v>
      </c>
      <c r="D43" s="451"/>
      <c r="E43" s="451"/>
      <c r="F43" s="451"/>
      <c r="G43" s="451"/>
      <c r="H43" s="451"/>
      <c r="I43" s="451"/>
      <c r="J43" s="451"/>
      <c r="K43" s="723"/>
      <c r="L43" s="2951"/>
      <c r="M43" s="2943"/>
      <c r="N43" s="2943"/>
      <c r="O43" s="2952"/>
      <c r="P43" s="3341" t="str">
        <f>A43</f>
        <v>估价对象XX用房的比较价值（楼面单价，元/平方米）</v>
      </c>
      <c r="Q43" s="3342"/>
      <c r="R43" s="3355" t="e">
        <f>ROUND(IF(D42="简单平均",AVERAGE(R42:W42),R42*F42+T42*H42+V42*J42),0)</f>
        <v>#DIV/0!</v>
      </c>
      <c r="S43" s="3355"/>
      <c r="T43" s="3355"/>
      <c r="U43" s="3355"/>
      <c r="V43" s="3355"/>
      <c r="W43" s="3355"/>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4.4"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8.8">
      <c r="A50" s="640" t="s">
        <v>2579</v>
      </c>
      <c r="B50" s="641" t="s">
        <v>2580</v>
      </c>
      <c r="C50" s="2167" t="s">
        <v>2581</v>
      </c>
      <c r="D50" s="2168" t="s">
        <v>2582</v>
      </c>
      <c r="E50" s="642" t="s">
        <v>2583</v>
      </c>
      <c r="F50" s="643" t="s">
        <v>2584</v>
      </c>
      <c r="G50" s="3303" t="s">
        <v>2585</v>
      </c>
      <c r="H50" s="3356"/>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4">
        <v>1</v>
      </c>
      <c r="E51" s="646">
        <f>'数据-汇总表'!E8+'数据-汇总表'!E9</f>
        <v>43436.4</v>
      </c>
      <c r="F51" s="647" t="e">
        <f t="shared" ref="F51:F60" si="15">ROUND(B51*E51/10000,0)</f>
        <v>#DIV/0!</v>
      </c>
      <c r="G51" s="3299"/>
      <c r="H51" s="3328"/>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5">
        <v>0.25</v>
      </c>
      <c r="E52" s="650"/>
      <c r="F52" s="647" t="e">
        <f t="shared" si="15"/>
        <v>#DIV/0!</v>
      </c>
      <c r="G52" s="3357"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5">
        <v>0.25</v>
      </c>
      <c r="E53" s="650"/>
      <c r="F53" s="647" t="e">
        <f t="shared" si="15"/>
        <v>#DIV/0!</v>
      </c>
      <c r="G53" s="3357"/>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5">
        <v>0.25</v>
      </c>
      <c r="E54" s="650"/>
      <c r="F54" s="647" t="e">
        <f t="shared" si="15"/>
        <v>#DIV/0!</v>
      </c>
      <c r="G54" s="3357"/>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5">
        <v>0.25</v>
      </c>
      <c r="E55" s="650"/>
      <c r="F55" s="647" t="e">
        <f t="shared" si="15"/>
        <v>#DIV/0!</v>
      </c>
      <c r="G55" s="3357"/>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5">
        <v>0.25</v>
      </c>
      <c r="E56" s="223">
        <f>'数据-汇总表'!E11</f>
        <v>0</v>
      </c>
      <c r="F56" s="647"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5">
        <v>0.25</v>
      </c>
      <c r="E59" s="223">
        <f>'数据-汇总表'!E14</f>
        <v>0</v>
      </c>
      <c r="F59" s="647"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4.4" thickBot="1">
      <c r="A60" s="649" t="s">
        <v>2601</v>
      </c>
      <c r="B60" s="224" t="e">
        <f t="shared" si="17"/>
        <v>#DIV/0!</v>
      </c>
      <c r="C60" s="176">
        <f t="shared" si="16"/>
        <v>0</v>
      </c>
      <c r="D60" s="1075">
        <v>0.25</v>
      </c>
      <c r="E60" s="223">
        <f>'数据-汇总表'!E15</f>
        <v>0</v>
      </c>
      <c r="F60" s="647"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4.4" thickBot="1">
      <c r="A61" s="651" t="s">
        <v>2602</v>
      </c>
      <c r="B61" s="652" t="s">
        <v>28</v>
      </c>
      <c r="C61" s="652" t="s">
        <v>29</v>
      </c>
      <c r="D61" s="652" t="s">
        <v>997</v>
      </c>
      <c r="E61" s="652">
        <f>IF(B41="楼面地价",SUM(E51:E60),'数据-汇总表'!D3)</f>
        <v>27014.799999999999</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52"/>
      <c r="Q63" s="2952"/>
      <c r="R63" s="2952"/>
      <c r="S63" s="2952"/>
      <c r="T63" s="2952"/>
      <c r="U63" s="2952"/>
      <c r="V63" s="2952"/>
      <c r="W63" s="2952"/>
      <c r="X63" s="2952"/>
      <c r="Y63" s="2952"/>
      <c r="Z63" s="2952"/>
      <c r="AA63" s="2952"/>
      <c r="AB63" s="2952"/>
      <c r="AC63" s="2952"/>
      <c r="AD63" s="2952"/>
      <c r="AE63" s="2952"/>
    </row>
    <row r="64" spans="1:31" ht="22.2"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4.4">
      <c r="A65" s="2173" t="s">
        <v>2603</v>
      </c>
      <c r="B65" s="1268"/>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4" t="str">
        <f>"北京市平均增长率"&amp;TEXT(基准地价修正!P24,"0.00%")</f>
        <v>北京市平均增长率1.22%</v>
      </c>
      <c r="C66" s="560">
        <v>100</v>
      </c>
      <c r="D66" s="552"/>
      <c r="E66" s="552"/>
      <c r="F66" s="552"/>
      <c r="G66" s="552"/>
      <c r="H66" s="552"/>
      <c r="I66" s="552"/>
      <c r="J66" s="552"/>
      <c r="K66" s="552"/>
      <c r="L66" s="552"/>
      <c r="M66" s="1339"/>
      <c r="N66" s="1339"/>
      <c r="O66" s="1340"/>
      <c r="P66" s="2966"/>
      <c r="Q66" s="2886"/>
      <c r="R66" s="2886"/>
      <c r="S66" s="2886"/>
      <c r="T66" s="2886"/>
      <c r="U66" s="2886"/>
      <c r="V66" s="2886"/>
      <c r="W66" s="2886"/>
      <c r="X66" s="2886"/>
      <c r="Y66" s="2886"/>
      <c r="Z66" s="2886"/>
      <c r="AA66" s="2886"/>
      <c r="AB66" s="2886"/>
      <c r="AC66" s="2886"/>
      <c r="AD66" s="2886"/>
      <c r="AE66" s="2886"/>
    </row>
    <row r="67" spans="1:31" s="113" customFormat="1" ht="1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4.4">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4.4"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ht="14.4">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4.4"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9.4"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4.4"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4.4"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4.4"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4.4"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4.4"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4.4"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4.4"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ht="14.4">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29.4"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9.4"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9.4"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4.4"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4.4"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4.4"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4.4"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4.4"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4.4"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ht="14.4">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4.4"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4.4"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4.4"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4.4"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4.4"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4.4"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4.4"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48" customWidth="1"/>
    <col min="2" max="2" width="19.21875" style="2351" customWidth="1"/>
    <col min="3" max="4" width="12" style="2182"/>
    <col min="5" max="5" width="14.6640625" style="2182" customWidth="1"/>
    <col min="6" max="8" width="12" style="2182"/>
    <col min="9" max="9" width="12.21875" style="2182" bestFit="1" customWidth="1"/>
    <col min="10" max="10" width="12" style="2182"/>
    <col min="11" max="11" width="8.109375" style="2243" customWidth="1"/>
    <col min="12" max="12" width="12" style="2182"/>
    <col min="13" max="13" width="8.44140625" style="2182" customWidth="1"/>
    <col min="14" max="14" width="9.77734375" style="2182" customWidth="1"/>
    <col min="15" max="25" width="12" style="2182"/>
    <col min="26" max="26" width="9.33203125" style="2248" customWidth="1"/>
    <col min="27" max="32" width="9.33203125" style="1281" customWidth="1"/>
    <col min="33" max="36" width="9.33203125" style="2248" customWidth="1"/>
    <col min="37" max="38" width="9.33203125" style="2182" customWidth="1"/>
    <col min="39" max="16384" width="12" style="2182"/>
  </cols>
  <sheetData>
    <row r="1" spans="1:36" ht="31.2">
      <c r="A1" s="202" t="s">
        <v>2625</v>
      </c>
      <c r="B1" s="203"/>
      <c r="C1" s="207" t="s">
        <v>2626</v>
      </c>
      <c r="D1" s="348">
        <f>SUM(D29:D30,D33:D39)</f>
        <v>0</v>
      </c>
      <c r="E1" s="2179"/>
      <c r="F1" s="2179"/>
      <c r="G1" s="2179"/>
      <c r="H1" s="2179"/>
      <c r="I1" s="2179"/>
      <c r="J1" s="2179"/>
      <c r="K1" s="1279"/>
      <c r="L1" s="2180" t="s">
        <v>2627</v>
      </c>
      <c r="M1" s="993">
        <f>SUMPRODUCT((区片价!B5:B9=I2)*(区片价!C3:F3=E2)*(区片价!C5:F9))</f>
        <v>0</v>
      </c>
      <c r="N1" s="996">
        <f>SUMPRODUCT((因素修正幅度!B5:B9=I2)*(因素修正幅度!C3:F3=E2)*(因素修正幅度!C5:F9))</f>
        <v>0</v>
      </c>
      <c r="O1" s="2181"/>
      <c r="P1" s="2181"/>
      <c r="Q1" s="1279"/>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6">
      <c r="A2" s="207" t="s">
        <v>2633</v>
      </c>
      <c r="B2" s="210"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9"/>
      <c r="L2" s="2188" t="s">
        <v>2638</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6">
      <c r="A3" s="209" t="s">
        <v>2639</v>
      </c>
      <c r="B3" s="210" t="e">
        <f>ROUND(B2*10000/D1,0)</f>
        <v>#DIV/0!</v>
      </c>
      <c r="C3" s="2183" t="s">
        <v>2640</v>
      </c>
      <c r="D3" s="2184" t="s">
        <v>2641</v>
      </c>
      <c r="E3" s="2189"/>
      <c r="F3" s="2190" t="s">
        <v>2642</v>
      </c>
      <c r="G3" s="854">
        <f>IF(F3="宗地容积率",'数据-汇总表'!I4,IF(F3="估价对象容积率",'数据-汇总表'!I6,'数据-汇总表'!I7))</f>
        <v>1.61</v>
      </c>
      <c r="H3" s="175" t="s">
        <v>2643</v>
      </c>
      <c r="I3" s="880"/>
      <c r="J3" s="2187" t="s">
        <v>2644</v>
      </c>
      <c r="K3" s="1279"/>
      <c r="L3" s="2188" t="s">
        <v>2645</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6">
      <c r="A4" s="3410"/>
      <c r="B4" s="3411"/>
      <c r="C4" s="3411"/>
      <c r="D4" s="3412"/>
      <c r="E4" s="3412"/>
      <c r="F4" s="3412"/>
      <c r="G4" s="3412"/>
      <c r="H4" s="3412"/>
      <c r="I4" s="3412"/>
      <c r="J4" s="3413"/>
      <c r="K4" s="1279"/>
      <c r="L4" s="2188" t="s">
        <v>2646</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6"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6"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91"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9"/>
      <c r="P7" s="1279"/>
      <c r="Q7" s="1279"/>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2656</v>
      </c>
      <c r="X7" s="1374">
        <f>G2</f>
        <v>0</v>
      </c>
      <c r="Y7" s="1374" t="s">
        <v>2657</v>
      </c>
      <c r="Z7" s="1375">
        <f>G3</f>
        <v>1.61</v>
      </c>
      <c r="AA7" s="1376"/>
      <c r="AB7" s="1376"/>
      <c r="AC7" s="1377"/>
      <c r="AD7" s="1378"/>
      <c r="AE7" s="1378"/>
      <c r="AF7" s="1378"/>
      <c r="AG7" s="1378"/>
      <c r="AH7" s="1378"/>
      <c r="AI7" s="1378"/>
      <c r="AJ7" s="1379"/>
    </row>
    <row r="8" spans="1:36" ht="15">
      <c r="A8" s="3414"/>
      <c r="B8" s="175" t="s">
        <v>2658</v>
      </c>
      <c r="C8" s="2212"/>
      <c r="D8" s="858" t="s">
        <v>139</v>
      </c>
      <c r="E8" s="859" t="e">
        <f>ROUND(C11/E7,4)</f>
        <v>#DIV/0!</v>
      </c>
      <c r="F8" s="2213" t="s">
        <v>2659</v>
      </c>
      <c r="G8" s="2214"/>
      <c r="H8" s="2214"/>
      <c r="I8" s="2214"/>
      <c r="J8" s="2215"/>
      <c r="K8" s="1279"/>
      <c r="L8" s="2188" t="s">
        <v>2660</v>
      </c>
      <c r="M8" s="994">
        <f>SUMPRODUCT((区片价!B206:B244=I2)*(区片价!C3:F3=E2)*(区片价!C206:F244))</f>
        <v>0</v>
      </c>
      <c r="N8" s="996">
        <f>SUMPRODUCT((因素修正幅度!B206:B244=I2)*(因素修正幅度!C3:F3=E2)*(因素修正幅度!C206:F244))</f>
        <v>0</v>
      </c>
      <c r="O8" s="1279"/>
      <c r="P8" s="1279"/>
      <c r="Q8" s="1279"/>
      <c r="R8" s="1372">
        <v>7</v>
      </c>
      <c r="S8" s="1373"/>
      <c r="T8" s="1372" t="e">
        <f t="shared" si="0"/>
        <v>#DIV/0!</v>
      </c>
      <c r="U8" s="1373"/>
      <c r="V8" s="1372" t="e">
        <f t="shared" si="1"/>
        <v>#DIV/0!</v>
      </c>
      <c r="W8" s="3407" t="s">
        <v>2661</v>
      </c>
      <c r="X8" s="3408"/>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414"/>
      <c r="B9" s="175" t="s">
        <v>2674</v>
      </c>
      <c r="C9" s="860">
        <f>SUMIF(修正!C59:C119,C8,修正!E59:E119)</f>
        <v>0</v>
      </c>
      <c r="D9" s="176" t="s">
        <v>140</v>
      </c>
      <c r="E9" s="176" t="e">
        <f>ROUND(C11/E7,4)</f>
        <v>#DIV/0!</v>
      </c>
      <c r="F9" s="2213" t="s">
        <v>2675</v>
      </c>
      <c r="G9" s="2214"/>
      <c r="H9" s="2214"/>
      <c r="I9" s="2214"/>
      <c r="J9" s="2215"/>
      <c r="K9" s="1279"/>
      <c r="L9" s="2188" t="s">
        <v>2676</v>
      </c>
      <c r="M9" s="994">
        <f>SUMPRODUCT((区片价!B245:B289=I2)*(区片价!C3:F3=E2)*(区片价!C245:F289))</f>
        <v>0</v>
      </c>
      <c r="N9" s="996">
        <f>SUMPRODUCT((因素修正幅度!B245:B289=I2)*(因素修正幅度!C3:F3=E2)*(因素修正幅度!C245:F289))</f>
        <v>0</v>
      </c>
      <c r="O9" s="1279"/>
      <c r="P9" s="1279"/>
      <c r="Q9" s="1279"/>
      <c r="R9" s="1372">
        <v>8</v>
      </c>
      <c r="S9" s="1373"/>
      <c r="T9" s="1372" t="e">
        <f t="shared" si="0"/>
        <v>#DIV/0!</v>
      </c>
      <c r="U9" s="1373"/>
      <c r="V9" s="1372" t="e">
        <f t="shared" si="1"/>
        <v>#DIV/0!</v>
      </c>
      <c r="W9" s="3409"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14"/>
      <c r="B10" s="175" t="s">
        <v>2679</v>
      </c>
      <c r="C10" s="176">
        <f>SUMIF(修正!C59:C119,C8,修正!F59:F119)</f>
        <v>0</v>
      </c>
      <c r="D10" s="176" t="s">
        <v>141</v>
      </c>
      <c r="E10" s="176" t="e">
        <f>ROUND(C11/E7,4)</f>
        <v>#DIV/0!</v>
      </c>
      <c r="F10" s="2213" t="s">
        <v>2680</v>
      </c>
      <c r="G10" s="2214"/>
      <c r="H10" s="2214"/>
      <c r="I10" s="2214"/>
      <c r="J10" s="2215"/>
      <c r="K10" s="1279"/>
      <c r="L10" s="2188" t="s">
        <v>2681</v>
      </c>
      <c r="M10" s="994">
        <f>SUMPRODUCT((区片价!B290:B316=I2)*(区片价!C3:F3=E2)*(区片价!C290:F316))</f>
        <v>0</v>
      </c>
      <c r="N10" s="996">
        <f>SUMPRODUCT((因素修正幅度!B290:B316=I2)*(因素修正幅度!C3:F3=E2)*(因素修正幅度!C290:F316))</f>
        <v>0</v>
      </c>
      <c r="O10" s="1279"/>
      <c r="P10" s="1279"/>
      <c r="Q10" s="1279"/>
      <c r="R10" s="1372">
        <v>9</v>
      </c>
      <c r="S10" s="1373"/>
      <c r="T10" s="1372" t="e">
        <f t="shared" si="0"/>
        <v>#DIV/0!</v>
      </c>
      <c r="U10" s="1373"/>
      <c r="V10" s="1372" t="e">
        <f t="shared" si="1"/>
        <v>#DIV/0!</v>
      </c>
      <c r="W10" s="3409"/>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6" thickBot="1">
      <c r="A11" s="3414"/>
      <c r="B11" s="2216" t="s">
        <v>2682</v>
      </c>
      <c r="C11" s="861">
        <f>C10/4</f>
        <v>0</v>
      </c>
      <c r="D11" s="861" t="s">
        <v>142</v>
      </c>
      <c r="E11" s="861" t="e">
        <f>ROUND(C11/E7,4)</f>
        <v>#DIV/0!</v>
      </c>
      <c r="F11" s="2217" t="s">
        <v>2683</v>
      </c>
      <c r="G11" s="2218"/>
      <c r="H11" s="2218"/>
      <c r="I11" s="2218"/>
      <c r="J11" s="2219"/>
      <c r="K11" s="1279"/>
      <c r="L11" s="2188" t="s">
        <v>2684</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t="e">
        <f t="shared" si="0"/>
        <v>#DIV/0!</v>
      </c>
      <c r="U11" s="1373"/>
      <c r="V11" s="1372" t="e">
        <f t="shared" si="1"/>
        <v>#DIV/0!</v>
      </c>
      <c r="W11" s="3409" t="s">
        <v>2685</v>
      </c>
      <c r="X11" s="1384" t="s">
        <v>2686</v>
      </c>
      <c r="Y11" s="1385">
        <f>$G$3</f>
        <v>1.61</v>
      </c>
      <c r="Z11" s="1385">
        <f t="shared" ref="Z11:AJ11" si="3">$G$3</f>
        <v>1.61</v>
      </c>
      <c r="AA11" s="1385">
        <f t="shared" si="3"/>
        <v>1.61</v>
      </c>
      <c r="AB11" s="1385">
        <f t="shared" si="3"/>
        <v>1.61</v>
      </c>
      <c r="AC11" s="1385">
        <f t="shared" si="3"/>
        <v>1.61</v>
      </c>
      <c r="AD11" s="1385">
        <f t="shared" si="3"/>
        <v>1.61</v>
      </c>
      <c r="AE11" s="1385">
        <f t="shared" si="3"/>
        <v>1.61</v>
      </c>
      <c r="AF11" s="1385">
        <f t="shared" si="3"/>
        <v>1.61</v>
      </c>
      <c r="AG11" s="1385">
        <f t="shared" si="3"/>
        <v>1.61</v>
      </c>
      <c r="AH11" s="1385">
        <f t="shared" si="3"/>
        <v>1.61</v>
      </c>
      <c r="AI11" s="1385">
        <f t="shared" si="3"/>
        <v>1.61</v>
      </c>
      <c r="AJ11" s="1385">
        <f t="shared" si="3"/>
        <v>1.61</v>
      </c>
    </row>
    <row r="12" spans="1:36" ht="25.8" thickBot="1">
      <c r="A12" s="3391" t="s">
        <v>2687</v>
      </c>
      <c r="B12" s="2220" t="s">
        <v>2688</v>
      </c>
      <c r="C12" s="857">
        <f>ROUND(C15*D15*E15*F15*G15*H15*I15*J15,4)</f>
        <v>1</v>
      </c>
      <c r="D12" s="2221" t="s">
        <v>2689</v>
      </c>
      <c r="E12" s="2222"/>
      <c r="F12" s="2222"/>
      <c r="G12" s="2223"/>
      <c r="H12" s="2223"/>
      <c r="I12" s="2223"/>
      <c r="J12" s="2224"/>
      <c r="K12" s="1279"/>
      <c r="L12" s="2225" t="s">
        <v>2690</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t="e">
        <f t="shared" si="0"/>
        <v>#DIV/0!</v>
      </c>
      <c r="U12" s="1373"/>
      <c r="V12" s="1372" t="e">
        <f t="shared" si="1"/>
        <v>#DIV/0!</v>
      </c>
      <c r="W12" s="3409"/>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15"/>
      <c r="B13" s="2226" t="s">
        <v>2692</v>
      </c>
      <c r="C13" s="2227" t="s">
        <v>2693</v>
      </c>
      <c r="D13" s="1532" t="s">
        <v>2694</v>
      </c>
      <c r="E13" s="1532" t="s">
        <v>2695</v>
      </c>
      <c r="F13" s="30" t="s">
        <v>2696</v>
      </c>
      <c r="G13" s="2228" t="s">
        <v>2697</v>
      </c>
      <c r="H13" s="2228" t="s">
        <v>2697</v>
      </c>
      <c r="I13" s="2228" t="s">
        <v>2697</v>
      </c>
      <c r="J13" s="2229" t="s">
        <v>2697</v>
      </c>
      <c r="K13" s="1279"/>
      <c r="L13" s="1279"/>
      <c r="M13" s="1279"/>
      <c r="N13" s="1279"/>
      <c r="O13" s="1279"/>
      <c r="P13" s="1279"/>
      <c r="Q13" s="1279"/>
      <c r="R13" s="1372">
        <v>12</v>
      </c>
      <c r="S13" s="1373"/>
      <c r="T13" s="1372" t="e">
        <f t="shared" si="0"/>
        <v>#DIV/0!</v>
      </c>
      <c r="U13" s="1373"/>
      <c r="V13" s="1372" t="e">
        <f t="shared" si="1"/>
        <v>#DIV/0!</v>
      </c>
      <c r="W13" s="3409"/>
      <c r="X13" s="1386"/>
      <c r="Y13" s="1383">
        <f>(-0.163*(Y12^2)-0.59*Y12+7617)*(10^(-4))/Y11</f>
        <v>0.47310559006211178</v>
      </c>
      <c r="Z13" s="1383">
        <f t="shared" ref="Z13:AJ13" si="5">(-0.163*(Z12^2)-0.59*Z12+7617)*(10^(-4))/Z11</f>
        <v>0.47310559006211178</v>
      </c>
      <c r="AA13" s="1383">
        <f t="shared" si="5"/>
        <v>0.47310559006211178</v>
      </c>
      <c r="AB13" s="1383">
        <f t="shared" si="5"/>
        <v>0.47310559006211178</v>
      </c>
      <c r="AC13" s="1383">
        <f t="shared" si="5"/>
        <v>0.47310559006211178</v>
      </c>
      <c r="AD13" s="1383">
        <f t="shared" si="5"/>
        <v>0.47310559006211178</v>
      </c>
      <c r="AE13" s="1383">
        <f t="shared" si="5"/>
        <v>0.47310559006211178</v>
      </c>
      <c r="AF13" s="1383">
        <f t="shared" si="5"/>
        <v>0.47310559006211178</v>
      </c>
      <c r="AG13" s="1383">
        <f t="shared" si="5"/>
        <v>0.47310559006211178</v>
      </c>
      <c r="AH13" s="1383">
        <f t="shared" si="5"/>
        <v>0.47310559006211178</v>
      </c>
      <c r="AI13" s="1383">
        <f t="shared" si="5"/>
        <v>0.47310559006211178</v>
      </c>
      <c r="AJ13" s="1383">
        <f t="shared" si="5"/>
        <v>0.47310559006211178</v>
      </c>
    </row>
    <row r="14" spans="1:36" ht="15">
      <c r="A14" s="3415"/>
      <c r="B14" s="2230"/>
      <c r="C14" s="2231"/>
      <c r="D14" s="2232"/>
      <c r="E14" s="2232"/>
      <c r="F14" s="2233"/>
      <c r="G14" s="2234" t="s">
        <v>2698</v>
      </c>
      <c r="H14" s="2235"/>
      <c r="I14" s="2236"/>
      <c r="J14" s="2237"/>
      <c r="K14" s="1279"/>
      <c r="L14" s="1279"/>
      <c r="M14" s="1279"/>
      <c r="N14" s="1279"/>
      <c r="O14" s="1279"/>
      <c r="P14" s="1279"/>
      <c r="Q14" s="1279"/>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6" thickBot="1">
      <c r="A15" s="3416"/>
      <c r="B15" s="2238" t="s">
        <v>2699</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91" t="s">
        <v>2704</v>
      </c>
      <c r="B16" s="2207" t="s">
        <v>2705</v>
      </c>
      <c r="C16" s="2369" t="e">
        <f>ROUND(IF(F17="与级别开发程度一致",0,(G17-E17)/C17),0)</f>
        <v>#DIV/0!</v>
      </c>
      <c r="D16" s="3404" t="s">
        <v>2709</v>
      </c>
      <c r="E16" s="3405"/>
      <c r="F16" s="3404" t="s">
        <v>2706</v>
      </c>
      <c r="G16" s="3405"/>
      <c r="H16" s="2239"/>
      <c r="I16" s="2239"/>
      <c r="J16" s="2373"/>
      <c r="K16" s="2239"/>
      <c r="L16" s="2239"/>
      <c r="M16" s="2239"/>
      <c r="N16" s="2239"/>
      <c r="O16" s="2240"/>
      <c r="P16" s="2181"/>
      <c r="Q16" s="1279"/>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8" thickBot="1">
      <c r="A17" s="3392"/>
      <c r="B17" s="2380" t="s">
        <v>2708</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 thickBot="1">
      <c r="A18" s="2374" t="s">
        <v>808</v>
      </c>
      <c r="B18" s="2375" t="s">
        <v>2711</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9.4" thickBot="1">
      <c r="A19" s="2244" t="s">
        <v>809</v>
      </c>
      <c r="B19" s="2245" t="s">
        <v>2712</v>
      </c>
      <c r="C19" s="862" t="e">
        <f>ROUND(IF(H19="按公示增长率计算",SUMPRODUCT((地价!A3:A36=YEAR(G19)&amp;"-"&amp;ROUNDUP(MONTH(G19)/3,0))*(地价!X2:AB2=E2)*(地价!X3:AB36)),IF(H19="地价指数",M20/M19,(1+I19)^O19)),4)</f>
        <v>#VALUE!</v>
      </c>
      <c r="D19" s="2249" t="s">
        <v>2713</v>
      </c>
      <c r="E19" s="863">
        <v>41640</v>
      </c>
      <c r="F19" s="2249" t="s">
        <v>2714</v>
      </c>
      <c r="G19" s="864">
        <f>'数据-取费表'!B2</f>
        <v>44561</v>
      </c>
      <c r="H19" s="2250"/>
      <c r="I19" s="865" t="str">
        <f>IF(H19="季度增幅（自定义）",SUMIF(N21:N24,E2,O21:O24),"")</f>
        <v/>
      </c>
      <c r="J19" s="2247"/>
      <c r="K19" s="1286"/>
      <c r="L19" s="2251" t="s">
        <v>2715</v>
      </c>
      <c r="M19" s="1494">
        <f>ROUND(SUMIF(地价!B2:F2,E2,地价!B36:F36),0)</f>
        <v>0</v>
      </c>
      <c r="N19" s="2252" t="s">
        <v>2716</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9.4"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6"/>
      <c r="L20" s="2257" t="s">
        <v>2720</v>
      </c>
      <c r="M20" s="1495">
        <f>ROUND(SUMPRODUCT((地价!A4:A36=YEAR(G19)&amp;"-"&amp;ROUNDUP(MONTH(G19)/3,0))*(地价!B2:F2=E2)*(地价!B4:F36)),0)</f>
        <v>0</v>
      </c>
      <c r="N20" s="2258" t="s">
        <v>2721</v>
      </c>
      <c r="O20" s="2259" t="s">
        <v>2722</v>
      </c>
      <c r="P20" s="2260" t="s">
        <v>2723</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4.4">
      <c r="A21" s="2261" t="s">
        <v>811</v>
      </c>
      <c r="B21" s="2262" t="s">
        <v>2724</v>
      </c>
      <c r="C21" s="875">
        <f>IF(B21="容积率修正",IF(G3&lt;=10,D22,J22),C23)</f>
        <v>0</v>
      </c>
      <c r="D21" s="2263"/>
      <c r="E21" s="2263"/>
      <c r="F21" s="2263"/>
      <c r="G21" s="2263"/>
      <c r="H21" s="2263"/>
      <c r="I21" s="2263"/>
      <c r="J21" s="2264"/>
      <c r="K21" s="1286"/>
      <c r="L21" s="3017"/>
      <c r="M21" s="3017"/>
      <c r="N21" s="2265" t="s">
        <v>2725</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4">
      <c r="A22" s="2139" t="s">
        <v>2726</v>
      </c>
      <c r="B22" s="2266" t="s">
        <v>2727</v>
      </c>
      <c r="C22" s="1534" t="s">
        <v>2728</v>
      </c>
      <c r="D22" s="1534">
        <f>IF(E22=G22,F22,IF(G3&lt;=10,ROUND(F22+(H22-F22)*(G3-E22)/(G22-E22),4),"——"))</f>
        <v>0</v>
      </c>
      <c r="E22" s="854">
        <f>ROUNDDOWN(G3,1)</f>
        <v>1.6</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1.7000000000000002</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6"/>
      <c r="L22" s="3017"/>
      <c r="M22" s="3017"/>
      <c r="N22" s="2265" t="s">
        <v>2729</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9.4" thickBot="1">
      <c r="A23" s="2139" t="s">
        <v>2730</v>
      </c>
      <c r="B23" s="2267" t="s">
        <v>2731</v>
      </c>
      <c r="C23" s="949">
        <f>ROUND(IF(G3&gt;1,IF(I3&lt;7,SUMPRODUCT((B93:B98=I3)*(C92:N92=G2)*(C93:N98)),SUMIF(C92:N92,G2,C100:N100)),IF(I3&lt;7,SUMPRODUCT((B102:B107=I3)*(C92:N92=G2)*(C102:N107)),SUMIF(C92:N92,G2,C109:N109))),4)</f>
        <v>0</v>
      </c>
      <c r="D23" s="2235"/>
      <c r="E23" s="2235"/>
      <c r="F23" s="2268"/>
      <c r="G23" s="2269"/>
      <c r="H23" s="2270"/>
      <c r="I23" s="2271"/>
      <c r="J23" s="2272"/>
      <c r="K23" s="1279"/>
      <c r="L23" s="2181"/>
      <c r="M23" s="2181"/>
      <c r="N23" s="2265" t="s">
        <v>2732</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 thickBot="1">
      <c r="A24" s="2254" t="s">
        <v>812</v>
      </c>
      <c r="B24" s="2245" t="s">
        <v>2733</v>
      </c>
      <c r="C24" s="862">
        <f>SUMIF(A45:A88,E2,B45:B88)</f>
        <v>0</v>
      </c>
      <c r="D24" s="2246"/>
      <c r="E24" s="2273"/>
      <c r="F24" s="2273"/>
      <c r="G24" s="2273"/>
      <c r="H24" s="2273"/>
      <c r="I24" s="2273"/>
      <c r="J24" s="2274"/>
      <c r="K24" s="1286"/>
      <c r="L24" s="3017"/>
      <c r="M24" s="3017"/>
      <c r="N24" s="2275" t="s">
        <v>2734</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 thickBot="1">
      <c r="A25" s="2254" t="s">
        <v>813</v>
      </c>
      <c r="B25" s="2276" t="s">
        <v>2735</v>
      </c>
      <c r="C25" s="868"/>
      <c r="D25" s="2210"/>
      <c r="E25" s="2210"/>
      <c r="F25" s="2277"/>
      <c r="G25" s="2210"/>
      <c r="H25" s="2210"/>
      <c r="I25" s="2210"/>
      <c r="J25" s="2211"/>
      <c r="K25" s="1279"/>
      <c r="L25" s="2181"/>
      <c r="M25" s="2181"/>
      <c r="N25" s="3012" t="s">
        <v>2736</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4.4">
      <c r="A26" s="2278"/>
      <c r="B26" s="2266" t="s">
        <v>2737</v>
      </c>
      <c r="C26" s="2540" t="e">
        <f>IF(B21="容积率修正",E29+SUM(E33:E39),SUM(V2:V16)+SUM(E33:E39))</f>
        <v>#DIV/0!</v>
      </c>
      <c r="D26" s="2279"/>
      <c r="E26" s="2235"/>
      <c r="F26" s="2280"/>
      <c r="G26" s="2235"/>
      <c r="H26" s="2235"/>
      <c r="I26" s="2235"/>
      <c r="J26" s="2281"/>
      <c r="K26" s="1279"/>
      <c r="L26" s="3015" t="s">
        <v>2635</v>
      </c>
      <c r="M26" s="2208" t="s">
        <v>2700</v>
      </c>
      <c r="N26" s="2208" t="s">
        <v>2701</v>
      </c>
      <c r="O26" s="2208" t="s">
        <v>2702</v>
      </c>
      <c r="P26" s="3016" t="s">
        <v>2703</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 thickBot="1">
      <c r="A27" s="2278"/>
      <c r="B27" s="2282" t="s">
        <v>2738</v>
      </c>
      <c r="C27" s="869" t="e">
        <f>E30+SUM(I33:I39)</f>
        <v>#DIV/0!</v>
      </c>
      <c r="D27" s="2283"/>
      <c r="E27" s="2284"/>
      <c r="F27" s="2285"/>
      <c r="G27" s="2284"/>
      <c r="H27" s="2284"/>
      <c r="I27" s="2284"/>
      <c r="J27" s="2286"/>
      <c r="K27" s="1279"/>
      <c r="L27" s="2241"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 thickBot="1">
      <c r="A28" s="2287"/>
      <c r="B28" s="2288" t="s">
        <v>2739</v>
      </c>
      <c r="C28" s="2289" t="s">
        <v>2740</v>
      </c>
      <c r="D28" s="2289" t="s">
        <v>2741</v>
      </c>
      <c r="E28" s="2290" t="s">
        <v>2742</v>
      </c>
      <c r="F28" s="2291"/>
      <c r="G28" s="2223"/>
      <c r="H28" s="2223"/>
      <c r="I28" s="2223"/>
      <c r="J28" s="2224"/>
      <c r="K28" s="1279"/>
      <c r="L28" s="2242"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2743</v>
      </c>
      <c r="C29" s="180" t="e">
        <f>ROUND(C5*C18*C19*C20*C21*C24,0)</f>
        <v>#DIV/0!</v>
      </c>
      <c r="D29" s="2294"/>
      <c r="E29" s="878" t="e">
        <f>ROUND(C29*D29/10000,0)</f>
        <v>#DIV/0!</v>
      </c>
      <c r="F29" s="2295" t="s">
        <v>2744</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8" thickBot="1">
      <c r="A30" s="2298"/>
      <c r="B30" s="2299" t="s">
        <v>2745</v>
      </c>
      <c r="C30" s="193" t="e">
        <f>ROUND(IF(E2="工业",C29*M39,C29*M38),0)</f>
        <v>#DIV/0!</v>
      </c>
      <c r="D30" s="2300"/>
      <c r="E30" s="878" t="e">
        <f>ROUND(C30*D30/10000,0)</f>
        <v>#DIV/0!</v>
      </c>
      <c r="F30" s="2301" t="s">
        <v>2746</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3.8">
      <c r="A31" s="2304"/>
      <c r="B31" s="2305" t="s">
        <v>2747</v>
      </c>
      <c r="C31" s="2306" t="s">
        <v>2748</v>
      </c>
      <c r="D31" s="2223"/>
      <c r="E31" s="2306"/>
      <c r="F31" s="2306"/>
      <c r="G31" s="2221" t="s">
        <v>2749</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36">
      <c r="A32" s="2292"/>
      <c r="B32" s="2308"/>
      <c r="C32" s="458" t="s">
        <v>2740</v>
      </c>
      <c r="D32" s="455" t="s">
        <v>2741</v>
      </c>
      <c r="E32" s="455" t="s">
        <v>2742</v>
      </c>
      <c r="F32" s="348" t="s">
        <v>2750</v>
      </c>
      <c r="G32" s="2309" t="s">
        <v>2740</v>
      </c>
      <c r="H32" s="2309" t="s">
        <v>2741</v>
      </c>
      <c r="I32" s="2309"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401"/>
      <c r="B33" s="2310" t="s">
        <v>2751</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406"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3.8">
      <c r="A34" s="3402"/>
      <c r="B34" s="2227" t="s">
        <v>2752</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402"/>
      <c r="B35" s="2227" t="s">
        <v>2753</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40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8" thickBot="1">
      <c r="A36" s="3403"/>
      <c r="B36" s="2227" t="s">
        <v>2754</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403"/>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2755</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2756</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2757</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3" t="s">
        <v>2758</v>
      </c>
      <c r="M38" s="2315">
        <v>0.25</v>
      </c>
      <c r="N38" s="1279"/>
      <c r="O38" s="1279"/>
      <c r="P38" s="1279"/>
      <c r="Q38" s="1279"/>
      <c r="R38" s="1279"/>
      <c r="S38" s="1279"/>
      <c r="T38" s="1279"/>
      <c r="U38" s="1279"/>
      <c r="V38" s="1279"/>
      <c r="W38" s="1279"/>
      <c r="X38" s="1279"/>
      <c r="Y38" s="1279"/>
      <c r="Z38" s="1280"/>
      <c r="AA38" s="1280"/>
      <c r="AB38" s="1280"/>
      <c r="AC38" s="1280"/>
      <c r="AD38" s="1280"/>
    </row>
    <row r="39" spans="1:37" ht="13.8" thickBot="1">
      <c r="A39" s="2298"/>
      <c r="B39" s="2316" t="s">
        <v>2759</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2703</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ht="24">
      <c r="A41" s="1280"/>
      <c r="B41" s="2368" t="s">
        <v>2862</v>
      </c>
      <c r="C41" s="348" t="e">
        <f>ROUND(POWER(1+E41,H41-G41)*(POWER(1+E41,G41)-1)/(POWER(1+E41,H41)-1),4)</f>
        <v>#DIV/0!</v>
      </c>
      <c r="D41" s="176" t="s">
        <v>2710</v>
      </c>
      <c r="E41" s="2367">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 thickBot="1">
      <c r="A45" s="2321" t="s">
        <v>2760</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4.4">
      <c r="A46" s="2323" t="s">
        <v>2761</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5.2">
      <c r="A47" s="2327" t="s">
        <v>2762</v>
      </c>
      <c r="B47" s="1533" t="s">
        <v>2763</v>
      </c>
      <c r="C47" s="1533" t="s">
        <v>2764</v>
      </c>
      <c r="D47" s="1533" t="s">
        <v>2765</v>
      </c>
      <c r="E47" s="757" t="s">
        <v>2766</v>
      </c>
      <c r="F47" s="2328" t="s">
        <v>2767</v>
      </c>
      <c r="G47" s="1533" t="s">
        <v>754</v>
      </c>
      <c r="H47" s="2329" t="s">
        <v>2768</v>
      </c>
      <c r="I47" s="1533"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52.8">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66">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50.4">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36">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6.4">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6.4">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40.200000000000003"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4.4">
      <c r="A57" s="2323" t="s">
        <v>2781</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5.2">
      <c r="A58" s="2327" t="s">
        <v>2762</v>
      </c>
      <c r="B58" s="1533"/>
      <c r="C58" s="1533" t="s">
        <v>2764</v>
      </c>
      <c r="D58" s="1533" t="s">
        <v>2765</v>
      </c>
      <c r="E58" s="757" t="s">
        <v>2766</v>
      </c>
      <c r="F58" s="2328" t="s">
        <v>2782</v>
      </c>
      <c r="G58" s="1533" t="s">
        <v>754</v>
      </c>
      <c r="H58" s="2329" t="s">
        <v>2768</v>
      </c>
      <c r="I58" s="1533"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52.8">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66">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50.4">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36">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6.4">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6.4">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40.200000000000003"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4.4">
      <c r="A68" s="2323" t="s">
        <v>2784</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5.2">
      <c r="A69" s="2327" t="s">
        <v>2762</v>
      </c>
      <c r="B69" s="1533"/>
      <c r="C69" s="1533" t="s">
        <v>2764</v>
      </c>
      <c r="D69" s="1533" t="s">
        <v>2765</v>
      </c>
      <c r="E69" s="757" t="s">
        <v>2766</v>
      </c>
      <c r="F69" s="2328" t="s">
        <v>2782</v>
      </c>
      <c r="G69" s="1533" t="s">
        <v>754</v>
      </c>
      <c r="H69" s="2329" t="s">
        <v>2768</v>
      </c>
      <c r="I69" s="1533"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66">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66">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3.8">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6.4">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6.4">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36">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9.6">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36.6"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4.4">
      <c r="A79" s="2323" t="s">
        <v>2788</v>
      </c>
      <c r="B79" s="2324">
        <f>1+E81</f>
        <v>1</v>
      </c>
      <c r="C79" s="752"/>
      <c r="D79" s="752"/>
      <c r="E79" s="753"/>
      <c r="F79" s="2326"/>
      <c r="G79" s="6"/>
      <c r="H79" s="6"/>
      <c r="I79" s="6"/>
      <c r="J79" s="7"/>
      <c r="K79" s="7"/>
      <c r="L79" s="7"/>
      <c r="M79" s="7"/>
      <c r="N79" s="7"/>
      <c r="Z79" s="2182"/>
      <c r="AA79" s="2248"/>
      <c r="AG79" s="1281"/>
      <c r="AK79" s="2248"/>
    </row>
    <row r="80" spans="1:37" ht="25.2">
      <c r="A80" s="2327" t="s">
        <v>2762</v>
      </c>
      <c r="B80" s="1533"/>
      <c r="C80" s="1533" t="s">
        <v>2764</v>
      </c>
      <c r="D80" s="1533" t="s">
        <v>2765</v>
      </c>
      <c r="E80" s="757" t="s">
        <v>2766</v>
      </c>
      <c r="F80" s="2328" t="s">
        <v>2782</v>
      </c>
      <c r="G80" s="1533" t="s">
        <v>754</v>
      </c>
      <c r="H80" s="2329" t="s">
        <v>2768</v>
      </c>
      <c r="I80" s="1533" t="s">
        <v>2769</v>
      </c>
      <c r="J80" s="560" t="s">
        <v>2418</v>
      </c>
      <c r="K80" s="560" t="s">
        <v>2419</v>
      </c>
      <c r="L80" s="560" t="s">
        <v>2420</v>
      </c>
      <c r="M80" s="560" t="s">
        <v>2421</v>
      </c>
      <c r="N80" s="560" t="s">
        <v>2422</v>
      </c>
      <c r="Z80" s="2182"/>
      <c r="AA80" s="2248"/>
      <c r="AG80" s="1281"/>
      <c r="AK80" s="2248"/>
    </row>
    <row r="81" spans="1:37" ht="39.6">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66">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3.8">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6.4">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6.4">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36">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53.4"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93" t="s">
        <v>2792</v>
      </c>
      <c r="B90" s="3393"/>
      <c r="C90" s="3393"/>
      <c r="D90" s="3393"/>
      <c r="E90" s="3393"/>
      <c r="F90" s="3393"/>
      <c r="G90" s="3393"/>
      <c r="H90" s="3393"/>
      <c r="I90" s="3393"/>
      <c r="J90" s="3393"/>
      <c r="K90" s="2341"/>
      <c r="L90" s="2341"/>
      <c r="M90" s="2341"/>
      <c r="N90" s="2341"/>
    </row>
    <row r="91" spans="1:37">
      <c r="A91" s="3395" t="s">
        <v>2793</v>
      </c>
      <c r="B91" s="3395" t="s">
        <v>2794</v>
      </c>
      <c r="C91" s="2295" t="s">
        <v>2795</v>
      </c>
      <c r="D91" s="2296"/>
      <c r="E91" s="2296"/>
      <c r="F91" s="2296"/>
      <c r="G91" s="2296"/>
      <c r="H91" s="2296"/>
      <c r="I91" s="2296"/>
      <c r="J91" s="2342"/>
      <c r="K91" s="2343"/>
      <c r="L91" s="2343"/>
      <c r="M91" s="2343"/>
      <c r="N91" s="2343"/>
    </row>
    <row r="92" spans="1:37">
      <c r="A92" s="3395"/>
      <c r="B92" s="3395"/>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96"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7"/>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6" t="s">
        <v>2797</v>
      </c>
      <c r="B101" s="2348" t="s">
        <v>2798</v>
      </c>
      <c r="C101" s="2349">
        <f>$G$3</f>
        <v>1.61</v>
      </c>
      <c r="D101" s="2349">
        <f t="shared" ref="D101:N101" si="31">$G$3</f>
        <v>1.61</v>
      </c>
      <c r="E101" s="2349">
        <f t="shared" si="31"/>
        <v>1.61</v>
      </c>
      <c r="F101" s="2349">
        <f t="shared" si="31"/>
        <v>1.61</v>
      </c>
      <c r="G101" s="2349">
        <f t="shared" si="31"/>
        <v>1.61</v>
      </c>
      <c r="H101" s="2349">
        <f t="shared" si="31"/>
        <v>1.61</v>
      </c>
      <c r="I101" s="2349">
        <f t="shared" si="31"/>
        <v>1.61</v>
      </c>
      <c r="J101" s="2349">
        <f t="shared" si="31"/>
        <v>1.61</v>
      </c>
      <c r="K101" s="2349">
        <f t="shared" si="31"/>
        <v>1.61</v>
      </c>
      <c r="L101" s="2349">
        <f t="shared" si="31"/>
        <v>1.61</v>
      </c>
      <c r="M101" s="2349">
        <f t="shared" si="31"/>
        <v>1.61</v>
      </c>
      <c r="N101" s="2349">
        <f t="shared" si="31"/>
        <v>1.61</v>
      </c>
    </row>
    <row r="102" spans="1:14">
      <c r="A102" s="3397"/>
      <c r="B102" s="2344">
        <v>1</v>
      </c>
      <c r="C102" s="2345">
        <f>1.9362/C101</f>
        <v>1.2026086956521738</v>
      </c>
      <c r="D102" s="2345">
        <f>1.9362/D101</f>
        <v>1.2026086956521738</v>
      </c>
      <c r="E102" s="2345">
        <f>1.8629/E101</f>
        <v>1.1570807453416148</v>
      </c>
      <c r="F102" s="2345">
        <f>1.8629/F101</f>
        <v>1.1570807453416148</v>
      </c>
      <c r="G102" s="2345">
        <f>1.8629/G101</f>
        <v>1.1570807453416148</v>
      </c>
      <c r="H102" s="2345">
        <f>1.8629/H101</f>
        <v>1.1570807453416148</v>
      </c>
      <c r="I102" s="2345">
        <f>1.8629/I101</f>
        <v>1.1570807453416148</v>
      </c>
      <c r="J102" s="2345">
        <f>1.942/J101</f>
        <v>1.2062111801242235</v>
      </c>
      <c r="K102" s="2345">
        <f>1.942/K101</f>
        <v>1.2062111801242235</v>
      </c>
      <c r="L102" s="2345">
        <f>1.942/L101</f>
        <v>1.2062111801242235</v>
      </c>
      <c r="M102" s="2345">
        <f>1.942/M101</f>
        <v>1.2062111801242235</v>
      </c>
      <c r="N102" s="2345">
        <f>1.942/N101</f>
        <v>1.2062111801242235</v>
      </c>
    </row>
    <row r="103" spans="1:14">
      <c r="A103" s="3397"/>
      <c r="B103" s="2344">
        <v>2</v>
      </c>
      <c r="C103" s="2345">
        <f>1.4198/C101</f>
        <v>0.88186335403726701</v>
      </c>
      <c r="D103" s="2345">
        <f>1.4198/D101</f>
        <v>0.88186335403726701</v>
      </c>
      <c r="E103" s="2345">
        <f>1.3372/E101</f>
        <v>0.83055900621118006</v>
      </c>
      <c r="F103" s="2345">
        <f>1.3372/F101</f>
        <v>0.83055900621118006</v>
      </c>
      <c r="G103" s="2345">
        <f>1.3372/G101</f>
        <v>0.83055900621118006</v>
      </c>
      <c r="H103" s="2345">
        <f>1.3372/H101</f>
        <v>0.83055900621118006</v>
      </c>
      <c r="I103" s="2345">
        <f>1.3372/I101</f>
        <v>0.83055900621118006</v>
      </c>
      <c r="J103" s="2345">
        <f>1.2799/J101</f>
        <v>0.7949689440993789</v>
      </c>
      <c r="K103" s="2345">
        <f>1.2799/K101</f>
        <v>0.7949689440993789</v>
      </c>
      <c r="L103" s="2345">
        <f>1.2799/L101</f>
        <v>0.7949689440993789</v>
      </c>
      <c r="M103" s="2345">
        <f>1.2799/M101</f>
        <v>0.7949689440993789</v>
      </c>
      <c r="N103" s="2345">
        <f>1.2799/N101</f>
        <v>0.7949689440993789</v>
      </c>
    </row>
    <row r="104" spans="1:14">
      <c r="A104" s="3397"/>
      <c r="B104" s="2344">
        <v>3</v>
      </c>
      <c r="C104" s="2345">
        <f>1.1594/C101</f>
        <v>0.7201242236024844</v>
      </c>
      <c r="D104" s="2345">
        <f>1.1594/D101</f>
        <v>0.7201242236024844</v>
      </c>
      <c r="E104" s="2345">
        <f>1.0788/E101</f>
        <v>0.6700621118012422</v>
      </c>
      <c r="F104" s="2345">
        <f>1.0788/F101</f>
        <v>0.6700621118012422</v>
      </c>
      <c r="G104" s="2345">
        <f>1.0788/G101</f>
        <v>0.6700621118012422</v>
      </c>
      <c r="H104" s="2345">
        <f>1.0788/H101</f>
        <v>0.6700621118012422</v>
      </c>
      <c r="I104" s="2345">
        <f>1.0788/I101</f>
        <v>0.6700621118012422</v>
      </c>
      <c r="J104" s="2345">
        <f>1.0072/J101</f>
        <v>0.62559006211180124</v>
      </c>
      <c r="K104" s="2345">
        <f>1.0072/K101</f>
        <v>0.62559006211180124</v>
      </c>
      <c r="L104" s="2345">
        <f>1.0072/L101</f>
        <v>0.62559006211180124</v>
      </c>
      <c r="M104" s="2345">
        <f>1.0072/M101</f>
        <v>0.62559006211180124</v>
      </c>
      <c r="N104" s="2345">
        <f>1.0072/N101</f>
        <v>0.62559006211180124</v>
      </c>
    </row>
    <row r="105" spans="1:14">
      <c r="A105" s="3397"/>
      <c r="B105" s="2344">
        <v>4</v>
      </c>
      <c r="C105" s="2345">
        <f>0.9622/C101</f>
        <v>0.59763975155279503</v>
      </c>
      <c r="D105" s="2345">
        <f>0.9622/D101</f>
        <v>0.59763975155279503</v>
      </c>
      <c r="E105" s="2345">
        <f>0.8656/E101</f>
        <v>0.53763975155279498</v>
      </c>
      <c r="F105" s="2345">
        <f>0.8656/F101</f>
        <v>0.53763975155279498</v>
      </c>
      <c r="G105" s="2345">
        <f>0.8656/G101</f>
        <v>0.53763975155279498</v>
      </c>
      <c r="H105" s="2345">
        <f>0.8656/H101</f>
        <v>0.53763975155279498</v>
      </c>
      <c r="I105" s="2345">
        <f>0.8656/I101</f>
        <v>0.53763975155279498</v>
      </c>
      <c r="J105" s="2345">
        <f>0.7525/J101</f>
        <v>0.46739130434782605</v>
      </c>
      <c r="K105" s="2345">
        <f>0.7525/K101</f>
        <v>0.46739130434782605</v>
      </c>
      <c r="L105" s="2345">
        <f>0.7525/L101</f>
        <v>0.46739130434782605</v>
      </c>
      <c r="M105" s="2345">
        <f>0.7525/M101</f>
        <v>0.46739130434782605</v>
      </c>
      <c r="N105" s="2345">
        <f>0.7525/N101</f>
        <v>0.46739130434782605</v>
      </c>
    </row>
    <row r="106" spans="1:14">
      <c r="A106" s="3397"/>
      <c r="B106" s="2344">
        <v>5</v>
      </c>
      <c r="C106" s="2345">
        <f>0.8417/C101</f>
        <v>0.52279503105590064</v>
      </c>
      <c r="D106" s="2345">
        <f>0.8417/D101</f>
        <v>0.52279503105590064</v>
      </c>
      <c r="E106" s="2345">
        <f>0.7371/E101</f>
        <v>0.45782608695652172</v>
      </c>
      <c r="F106" s="2345">
        <f>0.7371/F101</f>
        <v>0.45782608695652172</v>
      </c>
      <c r="G106" s="2345">
        <f>0.7371/G101</f>
        <v>0.45782608695652172</v>
      </c>
      <c r="H106" s="2345">
        <f>0.7371/H101</f>
        <v>0.45782608695652172</v>
      </c>
      <c r="I106" s="2345">
        <f>0.7371/I101</f>
        <v>0.45782608695652172</v>
      </c>
      <c r="J106" s="2345">
        <f>0.5659/J101</f>
        <v>0.35149068322981364</v>
      </c>
      <c r="K106" s="2345">
        <f>0.5659/K101</f>
        <v>0.35149068322981364</v>
      </c>
      <c r="L106" s="2345">
        <f>0.5659/L101</f>
        <v>0.35149068322981364</v>
      </c>
      <c r="M106" s="2345">
        <f>0.5659/M101</f>
        <v>0.35149068322981364</v>
      </c>
      <c r="N106" s="2345">
        <f>0.5659/N101</f>
        <v>0.35149068322981364</v>
      </c>
    </row>
    <row r="107" spans="1:14">
      <c r="A107" s="3397"/>
      <c r="B107" s="2344">
        <v>6</v>
      </c>
      <c r="C107" s="2345">
        <f>0.7608/C101</f>
        <v>0.47254658385093168</v>
      </c>
      <c r="D107" s="2345">
        <f>0.7608/D101</f>
        <v>0.47254658385093168</v>
      </c>
      <c r="E107" s="2345">
        <f>0.6482/E101</f>
        <v>0.40260869565217389</v>
      </c>
      <c r="F107" s="2345">
        <f>0.6482/F101</f>
        <v>0.40260869565217389</v>
      </c>
      <c r="G107" s="2345">
        <f>0.6482/G101</f>
        <v>0.40260869565217389</v>
      </c>
      <c r="H107" s="2345">
        <f>0.6482/H101</f>
        <v>0.40260869565217389</v>
      </c>
      <c r="I107" s="2345">
        <f>0.6482/I101</f>
        <v>0.40260869565217389</v>
      </c>
      <c r="J107" s="2345">
        <f>0.4525/J101</f>
        <v>0.28105590062111802</v>
      </c>
      <c r="K107" s="2345">
        <f>0.4525/K101</f>
        <v>0.28105590062111802</v>
      </c>
      <c r="L107" s="2345">
        <f>0.4525/L101</f>
        <v>0.28105590062111802</v>
      </c>
      <c r="M107" s="2345">
        <f>0.4525/M101</f>
        <v>0.28105590062111802</v>
      </c>
      <c r="N107" s="2345">
        <f>0.4525/N101</f>
        <v>0.28105590062111802</v>
      </c>
    </row>
    <row r="108" spans="1:14">
      <c r="A108" s="3397"/>
      <c r="B108" s="3399"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8"/>
      <c r="B109" s="3400"/>
      <c r="C109" s="2347">
        <f>(-0.163*(C108^2)-0.59*C108+7617)*(10^(-4))/C101</f>
        <v>0.47310559006211178</v>
      </c>
      <c r="D109" s="2347">
        <f>(-0.163*(D108^2)-0.59*D108+7617)*(10^(-4))/D101</f>
        <v>0.47310559006211178</v>
      </c>
      <c r="E109" s="2347">
        <f>(-0.161*(E108^2)-7.509*E108+6533)*(10^(-4))/E101</f>
        <v>0.40577639751552791</v>
      </c>
      <c r="F109" s="2347">
        <f>(-0.161*(F108^2)-7.509*F108+6533)*(10^(-4))/F101</f>
        <v>0.40577639751552791</v>
      </c>
      <c r="G109" s="2347">
        <f>(-0.161*(G108^2)-7.509*G108+6533)*(10^(-4))/G101</f>
        <v>0.40577639751552791</v>
      </c>
      <c r="H109" s="2347">
        <f>(-0.161*(H108^2)-7.509*H108+6533)*(10^(-4))/H101</f>
        <v>0.40577639751552791</v>
      </c>
      <c r="I109" s="2347">
        <f>(-0.161*(I108^2)-7.509*I108+6533)*(10^(-4))/I101</f>
        <v>0.40577639751552791</v>
      </c>
      <c r="J109" s="2347">
        <f>(-0.214*(J108^2)-21.991*J108+4665)*(10^(-4))/J101</f>
        <v>0.28975155279503106</v>
      </c>
      <c r="K109" s="2347">
        <f>(-0.214*(K108^2)-21.991*K108+4665)*(10^(-4))/K101</f>
        <v>0.28975155279503106</v>
      </c>
      <c r="L109" s="2347">
        <f>(-0.214*(L108^2)-21.991*L108+4665)*(10^(-4))/L101</f>
        <v>0.28975155279503106</v>
      </c>
      <c r="M109" s="2347">
        <f>(-0.214*(M108^2)-21.991*M108+4665)*(10^(-4))/M101</f>
        <v>0.28975155279503106</v>
      </c>
      <c r="N109" s="2347">
        <f>(-0.214*(N108^2)-21.991*N108+4665)*(10^(-4))/N101</f>
        <v>0.28975155279503106</v>
      </c>
    </row>
    <row r="110" spans="1:14">
      <c r="A110" s="3394" t="s">
        <v>2800</v>
      </c>
      <c r="B110" s="3394"/>
      <c r="C110" s="3394"/>
      <c r="D110" s="3394"/>
      <c r="E110" s="3394"/>
      <c r="F110" s="3394"/>
      <c r="G110" s="3394"/>
      <c r="H110" s="3394"/>
      <c r="I110" s="3394"/>
      <c r="J110" s="3394"/>
      <c r="K110" s="2350"/>
      <c r="L110" s="2350"/>
      <c r="M110" s="2350"/>
      <c r="N110" s="2350"/>
    </row>
    <row r="112" spans="1:14" ht="13.8" thickBot="1"/>
    <row r="113" spans="1:13" ht="25.8" thickBot="1">
      <c r="A113" s="841" t="s">
        <v>2801</v>
      </c>
      <c r="B113" s="1196">
        <f>G3</f>
        <v>1.61</v>
      </c>
      <c r="C113" s="842" t="s">
        <v>2802</v>
      </c>
      <c r="D113" s="843">
        <f>SUMPRODUCT((A115:A118=F113)*(B114:M114=H113)*B115:M118)</f>
        <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f>ROUND(0.9335-0.0094*B113,4)</f>
        <v>0.91839999999999999</v>
      </c>
      <c r="C115" s="848">
        <f>B115</f>
        <v>0.91839999999999999</v>
      </c>
      <c r="D115" s="848">
        <f>ROUND(0.8331-0.0109*B113,4)</f>
        <v>0.81559999999999999</v>
      </c>
      <c r="E115" s="848">
        <f>D115</f>
        <v>0.81559999999999999</v>
      </c>
      <c r="F115" s="848">
        <f>E115</f>
        <v>0.81559999999999999</v>
      </c>
      <c r="G115" s="848">
        <f>F115</f>
        <v>0.81559999999999999</v>
      </c>
      <c r="H115" s="848">
        <f>G115</f>
        <v>0.81559999999999999</v>
      </c>
      <c r="I115" s="848">
        <f>ROUND(0.689-0.0155*B113,4)</f>
        <v>0.66400000000000003</v>
      </c>
      <c r="J115" s="848">
        <f t="shared" ref="J115:M118" si="33">I115</f>
        <v>0.66400000000000003</v>
      </c>
      <c r="K115" s="848">
        <f t="shared" si="33"/>
        <v>0.66400000000000003</v>
      </c>
      <c r="L115" s="848">
        <f t="shared" si="33"/>
        <v>0.66400000000000003</v>
      </c>
      <c r="M115" s="849">
        <f t="shared" si="33"/>
        <v>0.66400000000000003</v>
      </c>
    </row>
    <row r="116" spans="1:13">
      <c r="A116" s="847" t="s">
        <v>2701</v>
      </c>
      <c r="B116" s="848">
        <f>ROUND(0.949-0.012*B113,4)</f>
        <v>0.92969999999999997</v>
      </c>
      <c r="C116" s="848">
        <f>B116</f>
        <v>0.92969999999999997</v>
      </c>
      <c r="D116" s="848">
        <f>ROUND(0.8567-0.013*B113,4)</f>
        <v>0.83579999999999999</v>
      </c>
      <c r="E116" s="848">
        <f t="shared" ref="E116:H117" si="34">D116</f>
        <v>0.83579999999999999</v>
      </c>
      <c r="F116" s="848">
        <f t="shared" si="34"/>
        <v>0.83579999999999999</v>
      </c>
      <c r="G116" s="848">
        <f t="shared" si="34"/>
        <v>0.83579999999999999</v>
      </c>
      <c r="H116" s="848">
        <f t="shared" si="34"/>
        <v>0.83579999999999999</v>
      </c>
      <c r="I116" s="848">
        <f>ROUND(0.7694-0.014*B113,4)</f>
        <v>0.74690000000000001</v>
      </c>
      <c r="J116" s="848">
        <f t="shared" si="33"/>
        <v>0.74690000000000001</v>
      </c>
      <c r="K116" s="848">
        <f t="shared" si="33"/>
        <v>0.74690000000000001</v>
      </c>
      <c r="L116" s="848">
        <f t="shared" si="33"/>
        <v>0.74690000000000001</v>
      </c>
      <c r="M116" s="849">
        <f t="shared" si="33"/>
        <v>0.74690000000000001</v>
      </c>
    </row>
    <row r="117" spans="1:13">
      <c r="A117" s="847" t="s">
        <v>2702</v>
      </c>
      <c r="B117" s="848">
        <f>ROUND(0.8808-0.006*B113,4)</f>
        <v>0.87109999999999999</v>
      </c>
      <c r="C117" s="848">
        <f>B117</f>
        <v>0.87109999999999999</v>
      </c>
      <c r="D117" s="848">
        <f>ROUND(0.8748-0.008*B113,4)</f>
        <v>0.8619</v>
      </c>
      <c r="E117" s="848">
        <f t="shared" si="34"/>
        <v>0.8619</v>
      </c>
      <c r="F117" s="848">
        <f t="shared" si="34"/>
        <v>0.8619</v>
      </c>
      <c r="G117" s="848">
        <f t="shared" si="34"/>
        <v>0.8619</v>
      </c>
      <c r="H117" s="848">
        <f t="shared" si="34"/>
        <v>0.8619</v>
      </c>
      <c r="I117" s="848">
        <f>ROUND(0.7412-0.0095*B113,4)</f>
        <v>0.72589999999999999</v>
      </c>
      <c r="J117" s="848">
        <f t="shared" si="33"/>
        <v>0.72589999999999999</v>
      </c>
      <c r="K117" s="848">
        <f t="shared" si="33"/>
        <v>0.72589999999999999</v>
      </c>
      <c r="L117" s="848">
        <f t="shared" si="33"/>
        <v>0.72589999999999999</v>
      </c>
      <c r="M117" s="849">
        <f t="shared" si="33"/>
        <v>0.72589999999999999</v>
      </c>
    </row>
    <row r="118" spans="1:13" ht="13.8" thickBot="1">
      <c r="A118" s="669" t="s">
        <v>2703</v>
      </c>
      <c r="B118" s="850">
        <f>ROUND(0.7275-0.01*B113,4)</f>
        <v>0.71140000000000003</v>
      </c>
      <c r="C118" s="850">
        <f>B118</f>
        <v>0.71140000000000003</v>
      </c>
      <c r="D118" s="850">
        <f>ROUND(0.7043-0.012*B113,4)</f>
        <v>0.68500000000000005</v>
      </c>
      <c r="E118" s="850">
        <f>D118</f>
        <v>0.68500000000000005</v>
      </c>
      <c r="F118" s="850">
        <f>E118</f>
        <v>0.68500000000000005</v>
      </c>
      <c r="G118" s="850">
        <f>ROUND(0.6299-0.0122*B113,4)</f>
        <v>0.61029999999999995</v>
      </c>
      <c r="H118" s="850">
        <f>G118</f>
        <v>0.61029999999999995</v>
      </c>
      <c r="I118" s="850">
        <f>ROUND(0.5667-0.0136*B113,4)</f>
        <v>0.54479999999999995</v>
      </c>
      <c r="J118" s="850">
        <f t="shared" si="33"/>
        <v>0.54479999999999995</v>
      </c>
      <c r="K118" s="850">
        <f t="shared" si="33"/>
        <v>0.54479999999999995</v>
      </c>
      <c r="L118" s="850">
        <f t="shared" si="33"/>
        <v>0.54479999999999995</v>
      </c>
      <c r="M118" s="851">
        <f t="shared" si="33"/>
        <v>0.54479999999999995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5" customWidth="1"/>
    <col min="2" max="2" width="37.21875" style="1675" customWidth="1"/>
    <col min="3" max="3" width="11.33203125" style="1675" customWidth="1"/>
    <col min="4" max="4" width="31.77734375" style="1675" customWidth="1"/>
    <col min="5" max="5" width="0.44140625" style="1675" customWidth="1"/>
    <col min="6" max="7" width="13" style="1675" customWidth="1"/>
    <col min="8" max="16384" width="9" style="1675"/>
  </cols>
  <sheetData>
    <row r="1" spans="1:5" ht="17.399999999999999">
      <c r="A1" s="1673" t="s">
        <v>1586</v>
      </c>
      <c r="B1" s="1674"/>
      <c r="C1" s="1674"/>
      <c r="D1" s="1674"/>
      <c r="E1" s="1674"/>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7"/>
      <c r="C2" s="3097"/>
      <c r="D2" s="3097"/>
      <c r="E2" s="3097"/>
    </row>
    <row r="3" spans="1:5" ht="17.399999999999999">
      <c r="A3" s="3098" t="str">
        <f>IF(项目基本情况!B9="房地产市场价值","估价结果一览表（市场价值不需“结果表-1”）","估价结果一览表")</f>
        <v>估价结果一览表（市场价值不需“结果表-1”）</v>
      </c>
      <c r="B3" s="3098"/>
      <c r="C3" s="3098"/>
      <c r="D3" s="3098"/>
      <c r="E3" s="3098"/>
    </row>
    <row r="4" spans="1:5" ht="18" thickBot="1">
      <c r="A4" s="1676"/>
      <c r="B4" s="3096" t="s">
        <v>1595</v>
      </c>
      <c r="C4" s="3096"/>
      <c r="D4" s="3096"/>
      <c r="E4" s="1676"/>
    </row>
    <row r="5" spans="1:5" ht="16.2" thickTop="1">
      <c r="A5" s="1674"/>
      <c r="B5" s="3094" t="s">
        <v>1587</v>
      </c>
      <c r="C5" s="1677" t="s">
        <v>1588</v>
      </c>
      <c r="D5" s="958">
        <f ca="1">结果表!H101</f>
        <v>24828</v>
      </c>
      <c r="E5" s="1674"/>
    </row>
    <row r="6" spans="1:5" ht="15.6">
      <c r="A6" s="1674"/>
      <c r="B6" s="3094"/>
      <c r="C6" s="1677" t="s">
        <v>1589</v>
      </c>
      <c r="D6" s="958" t="str">
        <f ca="1">NUMBERSTRING(INT(D5*10000),2)&amp;"元整"</f>
        <v>贰亿肆仟捌佰贰拾捌万元整</v>
      </c>
      <c r="E6" s="1674"/>
    </row>
    <row r="7" spans="1:5" ht="15.6">
      <c r="A7" s="1674"/>
      <c r="B7" s="3099"/>
      <c r="C7" s="1678" t="s">
        <v>1590</v>
      </c>
      <c r="D7" s="959">
        <f ca="1">结果表!H102</f>
        <v>5716</v>
      </c>
      <c r="E7" s="1674"/>
    </row>
    <row r="8" spans="1:5" ht="15.6">
      <c r="A8" s="1674"/>
      <c r="B8" s="3100" t="str">
        <f>结果表!E103</f>
        <v>2.估价师知悉的法定优先受偿款</v>
      </c>
      <c r="C8" s="1679" t="s">
        <v>1591</v>
      </c>
      <c r="D8" s="959">
        <f>结果表!H103</f>
        <v>0</v>
      </c>
      <c r="E8" s="1674"/>
    </row>
    <row r="9" spans="1:5" ht="15.6">
      <c r="A9" s="1674"/>
      <c r="B9" s="3102"/>
      <c r="C9" s="1677" t="s">
        <v>1589</v>
      </c>
      <c r="D9" s="958" t="str">
        <f>NUMBERSTRING(INT(D8*10000),2)&amp;"元整"</f>
        <v>零元整</v>
      </c>
      <c r="E9" s="1674"/>
    </row>
    <row r="10" spans="1:5" ht="15.6">
      <c r="A10" s="1674"/>
      <c r="B10" s="1680" t="s">
        <v>1594</v>
      </c>
      <c r="C10" s="1681" t="s">
        <v>1592</v>
      </c>
      <c r="D10" s="960">
        <f>结果表!H104</f>
        <v>0</v>
      </c>
      <c r="E10" s="1674"/>
    </row>
    <row r="11" spans="1:5" ht="15.6">
      <c r="A11" s="1674"/>
      <c r="B11" s="1680" t="s">
        <v>1596</v>
      </c>
      <c r="C11" s="1681" t="s">
        <v>1597</v>
      </c>
      <c r="D11" s="960">
        <f>结果表!H105</f>
        <v>0</v>
      </c>
      <c r="E11" s="1674"/>
    </row>
    <row r="12" spans="1:5" ht="15.6">
      <c r="A12" s="1674"/>
      <c r="B12" s="1680" t="s">
        <v>1598</v>
      </c>
      <c r="C12" s="1681" t="s">
        <v>1597</v>
      </c>
      <c r="D12" s="960">
        <f>结果表!H106</f>
        <v>0</v>
      </c>
      <c r="E12" s="1674"/>
    </row>
    <row r="13" spans="1:5" ht="15.6">
      <c r="A13" s="1674"/>
      <c r="B13" s="3093" t="str">
        <f>结果表!E107</f>
        <v>3.房地产抵押价值</v>
      </c>
      <c r="C13" s="1682" t="s">
        <v>1588</v>
      </c>
      <c r="D13" s="961">
        <f ca="1">结果表!H107</f>
        <v>24828</v>
      </c>
      <c r="E13" s="1674"/>
    </row>
    <row r="14" spans="1:5" ht="15.6">
      <c r="A14" s="1674"/>
      <c r="B14" s="3094"/>
      <c r="C14" s="1677" t="s">
        <v>1589</v>
      </c>
      <c r="D14" s="958" t="str">
        <f ca="1">NUMBERSTRING(INT(D13*10000),2)&amp;"元整"</f>
        <v>贰亿肆仟捌佰贰拾捌万元整</v>
      </c>
      <c r="E14" s="1674"/>
    </row>
    <row r="15" spans="1:5" ht="15.6">
      <c r="A15" s="1674"/>
      <c r="B15" s="3099"/>
      <c r="C15" s="1678" t="s">
        <v>1599</v>
      </c>
      <c r="D15" s="967">
        <f ca="1">结果表!H108</f>
        <v>5716</v>
      </c>
      <c r="E15" s="1674"/>
    </row>
    <row r="16" spans="1:5" ht="15.6">
      <c r="A16" s="1674"/>
      <c r="B16" s="3100" t="str">
        <f>结果表!E109</f>
        <v>——</v>
      </c>
      <c r="C16" s="1682" t="s">
        <v>1600</v>
      </c>
      <c r="D16" s="1683" t="str">
        <f>结果表!H109</f>
        <v>——</v>
      </c>
      <c r="E16" s="1674"/>
    </row>
    <row r="17" spans="1:5" ht="15.6">
      <c r="A17" s="1674"/>
      <c r="B17" s="3101"/>
      <c r="C17" s="1677" t="s">
        <v>1601</v>
      </c>
      <c r="D17" s="958" t="e">
        <f>NUMBERSTRING(INT(D16*10000),2)&amp;"元整"</f>
        <v>#VALUE!</v>
      </c>
      <c r="E17" s="1674"/>
    </row>
    <row r="18" spans="1:5" ht="15.6">
      <c r="A18" s="1674"/>
      <c r="B18" s="3102"/>
      <c r="C18" s="1678" t="s">
        <v>1590</v>
      </c>
      <c r="D18" s="967" t="str">
        <f>结果表!H110</f>
        <v>——</v>
      </c>
      <c r="E18" s="1674"/>
    </row>
    <row r="19" spans="1:5" ht="15.6">
      <c r="A19" s="1674"/>
      <c r="B19" s="3093" t="str">
        <f>结果表!E111</f>
        <v>——</v>
      </c>
      <c r="C19" s="1682" t="s">
        <v>1588</v>
      </c>
      <c r="D19" s="959" t="str">
        <f>结果表!H111</f>
        <v>——</v>
      </c>
      <c r="E19" s="1674"/>
    </row>
    <row r="20" spans="1:5" ht="15.6">
      <c r="A20" s="1674"/>
      <c r="B20" s="3094"/>
      <c r="C20" s="1677" t="s">
        <v>1601</v>
      </c>
      <c r="D20" s="958" t="e">
        <f>NUMBERSTRING(INT(D19*10000),2)&amp;"元整"</f>
        <v>#VALUE!</v>
      </c>
      <c r="E20" s="1674"/>
    </row>
    <row r="21" spans="1:5" ht="16.2" thickBot="1">
      <c r="A21" s="1674"/>
      <c r="B21" s="3095"/>
      <c r="C21" s="1684" t="s">
        <v>1599</v>
      </c>
      <c r="D21" s="968" t="str">
        <f>结果表!H112</f>
        <v>——</v>
      </c>
      <c r="E21" s="1674"/>
    </row>
    <row r="22" spans="1:5" ht="14.4" thickTop="1">
      <c r="A22" s="1674"/>
      <c r="B22" s="1685" t="s">
        <v>1602</v>
      </c>
      <c r="C22" s="1674"/>
      <c r="D22" s="1674"/>
      <c r="E22" s="1674"/>
    </row>
    <row r="23" spans="1:5">
      <c r="A23" s="1674"/>
      <c r="B23" s="1674"/>
      <c r="C23" s="1674"/>
      <c r="D23" s="1674"/>
      <c r="E23" s="1674"/>
    </row>
    <row r="24" spans="1:5" ht="17.399999999999999">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4" customWidth="1"/>
    <col min="2" max="9" width="8.21875" style="816" customWidth="1"/>
    <col min="10" max="13" width="8.21875" style="754"/>
    <col min="14" max="14" width="10" style="754" customWidth="1"/>
    <col min="15" max="16" width="8.21875" style="754"/>
    <col min="17" max="17" width="34.109375" style="754" customWidth="1"/>
    <col min="18" max="18" width="8.21875" style="754" customWidth="1"/>
    <col min="19" max="19" width="8.21875" style="754"/>
    <col min="20" max="20" width="11.6640625" style="754" customWidth="1"/>
    <col min="21" max="16384" width="8.2187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7" t="s">
        <v>183</v>
      </c>
      <c r="B18" s="820" t="s">
        <v>560</v>
      </c>
      <c r="C18" s="821" t="s">
        <v>561</v>
      </c>
      <c r="D18" s="822"/>
      <c r="E18" s="820">
        <v>1</v>
      </c>
      <c r="F18" s="823" t="s">
        <v>562</v>
      </c>
      <c r="G18" s="824"/>
      <c r="H18" s="816"/>
      <c r="I18" s="816"/>
    </row>
    <row r="19" spans="1:9" s="825" customFormat="1" ht="19.5" customHeight="1">
      <c r="A19" s="3417"/>
      <c r="B19" s="3417" t="s">
        <v>563</v>
      </c>
      <c r="C19" s="821" t="s">
        <v>564</v>
      </c>
      <c r="D19" s="822"/>
      <c r="E19" s="820">
        <v>0.9</v>
      </c>
      <c r="F19" s="823" t="s">
        <v>565</v>
      </c>
      <c r="G19" s="824"/>
      <c r="H19" s="816"/>
      <c r="I19" s="816"/>
    </row>
    <row r="20" spans="1:9" s="825" customFormat="1" ht="19.5" customHeight="1">
      <c r="A20" s="3417"/>
      <c r="B20" s="3417"/>
      <c r="C20" s="821" t="s">
        <v>566</v>
      </c>
      <c r="D20" s="822"/>
      <c r="E20" s="820">
        <v>1.1000000000000001</v>
      </c>
      <c r="F20" s="823" t="s">
        <v>567</v>
      </c>
      <c r="G20" s="824"/>
      <c r="H20" s="816"/>
      <c r="I20" s="816"/>
    </row>
    <row r="21" spans="1:9" s="825" customFormat="1" ht="19.5" customHeight="1">
      <c r="A21" s="3417"/>
      <c r="B21" s="3417"/>
      <c r="C21" s="821" t="s">
        <v>568</v>
      </c>
      <c r="D21" s="822"/>
      <c r="E21" s="820">
        <v>0.8</v>
      </c>
      <c r="F21" s="823" t="s">
        <v>569</v>
      </c>
      <c r="G21" s="824"/>
      <c r="H21" s="816"/>
      <c r="I21" s="816"/>
    </row>
    <row r="22" spans="1:9" s="825" customFormat="1" ht="19.5" customHeight="1">
      <c r="A22" s="3417"/>
      <c r="B22" s="3417"/>
      <c r="C22" s="821" t="s">
        <v>570</v>
      </c>
      <c r="D22" s="822"/>
      <c r="E22" s="820">
        <v>0.5</v>
      </c>
      <c r="F22" s="823"/>
      <c r="G22" s="824"/>
      <c r="H22" s="816"/>
      <c r="I22" s="816"/>
    </row>
    <row r="23" spans="1:9" s="825" customFormat="1" ht="19.5" customHeight="1">
      <c r="A23" s="3417" t="s">
        <v>184</v>
      </c>
      <c r="B23" s="820" t="s">
        <v>560</v>
      </c>
      <c r="C23" s="821" t="s">
        <v>571</v>
      </c>
      <c r="D23" s="822"/>
      <c r="E23" s="820">
        <v>1</v>
      </c>
      <c r="F23" s="823" t="s">
        <v>572</v>
      </c>
      <c r="G23" s="824"/>
      <c r="H23" s="816"/>
      <c r="I23" s="816"/>
    </row>
    <row r="24" spans="1:9" s="825" customFormat="1" ht="19.5" customHeight="1">
      <c r="A24" s="3417"/>
      <c r="B24" s="3417" t="s">
        <v>563</v>
      </c>
      <c r="C24" s="821" t="s">
        <v>573</v>
      </c>
      <c r="D24" s="822"/>
      <c r="E24" s="820">
        <v>0.5</v>
      </c>
      <c r="F24" s="823"/>
      <c r="G24" s="824"/>
      <c r="H24" s="816"/>
      <c r="I24" s="816"/>
    </row>
    <row r="25" spans="1:9" s="825" customFormat="1" ht="19.5" customHeight="1">
      <c r="A25" s="3417"/>
      <c r="B25" s="3417"/>
      <c r="C25" s="821" t="s">
        <v>574</v>
      </c>
      <c r="D25" s="822"/>
      <c r="E25" s="820">
        <v>1.1000000000000001</v>
      </c>
      <c r="F25" s="823"/>
      <c r="G25" s="824"/>
      <c r="H25" s="816"/>
      <c r="I25" s="816"/>
    </row>
    <row r="26" spans="1:9" s="825" customFormat="1" ht="19.5" customHeight="1">
      <c r="A26" s="3417"/>
      <c r="B26" s="3417"/>
      <c r="C26" s="821" t="s">
        <v>575</v>
      </c>
      <c r="D26" s="822"/>
      <c r="E26" s="820">
        <v>1.1000000000000001</v>
      </c>
      <c r="F26" s="823"/>
      <c r="G26" s="824"/>
      <c r="H26" s="816"/>
      <c r="I26" s="816"/>
    </row>
    <row r="27" spans="1:9" s="825" customFormat="1" ht="19.5" customHeight="1">
      <c r="A27" s="3417"/>
      <c r="B27" s="3417"/>
      <c r="C27" s="821" t="s">
        <v>576</v>
      </c>
      <c r="D27" s="822"/>
      <c r="E27" s="820">
        <v>0.9</v>
      </c>
      <c r="F27" s="823" t="s">
        <v>577</v>
      </c>
      <c r="G27" s="824"/>
      <c r="H27" s="816"/>
      <c r="I27" s="816"/>
    </row>
    <row r="28" spans="1:9" s="825" customFormat="1" ht="19.5" customHeight="1">
      <c r="A28" s="3417"/>
      <c r="B28" s="3417"/>
      <c r="C28" s="821" t="s">
        <v>578</v>
      </c>
      <c r="D28" s="822"/>
      <c r="E28" s="820">
        <v>0.9</v>
      </c>
      <c r="F28" s="823" t="s">
        <v>579</v>
      </c>
      <c r="G28" s="824"/>
      <c r="H28" s="816"/>
      <c r="I28" s="816"/>
    </row>
    <row r="29" spans="1:9" s="825" customFormat="1" ht="19.5" customHeight="1">
      <c r="A29" s="3417"/>
      <c r="B29" s="3417"/>
      <c r="C29" s="821" t="s">
        <v>580</v>
      </c>
      <c r="D29" s="822"/>
      <c r="E29" s="820">
        <v>0.9</v>
      </c>
      <c r="F29" s="823" t="s">
        <v>581</v>
      </c>
      <c r="G29" s="824"/>
      <c r="H29" s="816"/>
      <c r="I29" s="816"/>
    </row>
    <row r="30" spans="1:9" s="825" customFormat="1" ht="19.5" customHeight="1">
      <c r="A30" s="3417"/>
      <c r="B30" s="3417"/>
      <c r="C30" s="821" t="s">
        <v>582</v>
      </c>
      <c r="D30" s="822"/>
      <c r="E30" s="820">
        <v>0.9</v>
      </c>
      <c r="F30" s="823" t="s">
        <v>583</v>
      </c>
      <c r="G30" s="824"/>
      <c r="H30" s="816"/>
      <c r="I30" s="816"/>
    </row>
    <row r="31" spans="1:9" s="825" customFormat="1" ht="19.5" customHeight="1">
      <c r="A31" s="3417"/>
      <c r="B31" s="3417"/>
      <c r="C31" s="821" t="s">
        <v>584</v>
      </c>
      <c r="D31" s="822"/>
      <c r="E31" s="820">
        <v>0.8</v>
      </c>
      <c r="F31" s="823" t="s">
        <v>585</v>
      </c>
      <c r="G31" s="824"/>
      <c r="H31" s="816"/>
      <c r="I31" s="816"/>
    </row>
    <row r="32" spans="1:9" s="825" customFormat="1" ht="19.5" customHeight="1">
      <c r="A32" s="3417"/>
      <c r="B32" s="3417"/>
      <c r="C32" s="821" t="s">
        <v>586</v>
      </c>
      <c r="D32" s="822"/>
      <c r="E32" s="820">
        <v>0.8</v>
      </c>
      <c r="F32" s="823" t="s">
        <v>587</v>
      </c>
      <c r="G32" s="824"/>
      <c r="H32" s="816"/>
      <c r="I32" s="816"/>
    </row>
    <row r="33" spans="1:9" s="825" customFormat="1" ht="19.5" customHeight="1">
      <c r="A33" s="3417" t="s">
        <v>185</v>
      </c>
      <c r="B33" s="820" t="s">
        <v>560</v>
      </c>
      <c r="C33" s="821" t="s">
        <v>588</v>
      </c>
      <c r="D33" s="822"/>
      <c r="E33" s="820">
        <v>1</v>
      </c>
      <c r="F33" s="823" t="s">
        <v>589</v>
      </c>
      <c r="G33" s="824"/>
      <c r="H33" s="816"/>
      <c r="I33" s="816"/>
    </row>
    <row r="34" spans="1:9" s="825" customFormat="1" ht="19.5" customHeight="1">
      <c r="A34" s="3417"/>
      <c r="B34" s="820" t="s">
        <v>563</v>
      </c>
      <c r="C34" s="821" t="s">
        <v>590</v>
      </c>
      <c r="D34" s="822"/>
      <c r="E34" s="820">
        <v>1.5</v>
      </c>
      <c r="F34" s="823" t="s">
        <v>591</v>
      </c>
      <c r="G34" s="824"/>
      <c r="H34" s="816"/>
      <c r="I34" s="816"/>
    </row>
    <row r="35" spans="1:9" s="825" customFormat="1" ht="19.5" customHeight="1">
      <c r="A35" s="3417" t="s">
        <v>186</v>
      </c>
      <c r="B35" s="820" t="s">
        <v>560</v>
      </c>
      <c r="C35" s="821" t="s">
        <v>592</v>
      </c>
      <c r="D35" s="822"/>
      <c r="E35" s="820">
        <v>1</v>
      </c>
      <c r="F35" s="823" t="s">
        <v>593</v>
      </c>
      <c r="G35" s="824"/>
      <c r="H35" s="816"/>
      <c r="I35" s="816"/>
    </row>
    <row r="36" spans="1:9" s="825" customFormat="1" ht="19.5" customHeight="1">
      <c r="A36" s="3417"/>
      <c r="B36" s="3417" t="s">
        <v>563</v>
      </c>
      <c r="C36" s="821" t="s">
        <v>594</v>
      </c>
      <c r="D36" s="822"/>
      <c r="E36" s="820">
        <v>1</v>
      </c>
      <c r="F36" s="823" t="s">
        <v>595</v>
      </c>
      <c r="G36" s="824"/>
      <c r="H36" s="816"/>
      <c r="I36" s="816"/>
    </row>
    <row r="37" spans="1:9" s="825" customFormat="1" ht="19.5" customHeight="1">
      <c r="A37" s="3417"/>
      <c r="B37" s="3417"/>
      <c r="C37" s="821" t="s">
        <v>596</v>
      </c>
      <c r="D37" s="822"/>
      <c r="E37" s="820">
        <v>1.5</v>
      </c>
      <c r="F37" s="823" t="s">
        <v>597</v>
      </c>
      <c r="G37" s="824"/>
      <c r="H37" s="816"/>
      <c r="I37" s="816"/>
    </row>
    <row r="38" spans="1:9" s="825" customFormat="1" ht="19.5" customHeight="1">
      <c r="A38" s="3417"/>
      <c r="B38" s="3417"/>
      <c r="C38" s="821" t="s">
        <v>598</v>
      </c>
      <c r="D38" s="822"/>
      <c r="E38" s="820">
        <v>1</v>
      </c>
      <c r="F38" s="823" t="s">
        <v>599</v>
      </c>
      <c r="G38" s="824"/>
      <c r="H38" s="816"/>
      <c r="I38" s="816"/>
    </row>
    <row r="39" spans="1:9" s="825" customFormat="1" ht="19.5" customHeight="1">
      <c r="A39" s="3417"/>
      <c r="B39" s="341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4.4">
      <c r="A60" s="877"/>
      <c r="B60" s="877"/>
      <c r="C60" s="877" t="s">
        <v>745</v>
      </c>
      <c r="D60" s="877"/>
      <c r="E60" s="833" t="s">
        <v>1</v>
      </c>
      <c r="F60" s="877" t="s">
        <v>1</v>
      </c>
    </row>
    <row r="61" spans="1:8" s="816" customFormat="1" ht="36">
      <c r="A61" s="820">
        <v>1</v>
      </c>
      <c r="B61" s="3417" t="s">
        <v>614</v>
      </c>
      <c r="C61" s="756" t="s">
        <v>615</v>
      </c>
      <c r="D61" s="756" t="s">
        <v>616</v>
      </c>
      <c r="E61" s="833">
        <v>0.5</v>
      </c>
      <c r="F61" s="820">
        <v>80</v>
      </c>
    </row>
    <row r="62" spans="1:8" s="816" customFormat="1" ht="36">
      <c r="A62" s="820">
        <v>2</v>
      </c>
      <c r="B62" s="3417"/>
      <c r="C62" s="756" t="s">
        <v>617</v>
      </c>
      <c r="D62" s="756" t="s">
        <v>618</v>
      </c>
      <c r="E62" s="833">
        <v>0.5</v>
      </c>
      <c r="F62" s="820">
        <v>80</v>
      </c>
    </row>
    <row r="63" spans="1:8" s="816" customFormat="1" ht="48">
      <c r="A63" s="820">
        <v>3</v>
      </c>
      <c r="B63" s="3417"/>
      <c r="C63" s="756" t="s">
        <v>619</v>
      </c>
      <c r="D63" s="756" t="s">
        <v>620</v>
      </c>
      <c r="E63" s="833">
        <v>0.5</v>
      </c>
      <c r="F63" s="820">
        <v>80</v>
      </c>
    </row>
    <row r="64" spans="1:8" s="816" customFormat="1" ht="48">
      <c r="A64" s="820">
        <v>4</v>
      </c>
      <c r="B64" s="3417"/>
      <c r="C64" s="756" t="s">
        <v>621</v>
      </c>
      <c r="D64" s="756" t="s">
        <v>622</v>
      </c>
      <c r="E64" s="833">
        <v>0.4</v>
      </c>
      <c r="F64" s="820">
        <v>60</v>
      </c>
    </row>
    <row r="65" spans="1:6" s="816" customFormat="1" ht="48">
      <c r="A65" s="820">
        <v>5</v>
      </c>
      <c r="B65" s="3417"/>
      <c r="C65" s="756" t="s">
        <v>623</v>
      </c>
      <c r="D65" s="756" t="s">
        <v>624</v>
      </c>
      <c r="E65" s="833">
        <v>0.2</v>
      </c>
      <c r="F65" s="820">
        <v>30</v>
      </c>
    </row>
    <row r="66" spans="1:6" s="816" customFormat="1" ht="48">
      <c r="A66" s="820">
        <v>6</v>
      </c>
      <c r="B66" s="3417"/>
      <c r="C66" s="756" t="s">
        <v>625</v>
      </c>
      <c r="D66" s="756" t="s">
        <v>626</v>
      </c>
      <c r="E66" s="833">
        <v>0.3</v>
      </c>
      <c r="F66" s="820">
        <v>50</v>
      </c>
    </row>
    <row r="67" spans="1:6" s="816" customFormat="1" ht="48">
      <c r="A67" s="820">
        <v>7</v>
      </c>
      <c r="B67" s="3417"/>
      <c r="C67" s="756" t="s">
        <v>627</v>
      </c>
      <c r="D67" s="756" t="s">
        <v>628</v>
      </c>
      <c r="E67" s="833">
        <v>0.2</v>
      </c>
      <c r="F67" s="820">
        <v>30</v>
      </c>
    </row>
    <row r="68" spans="1:6" s="816" customFormat="1" ht="48">
      <c r="A68" s="820">
        <v>8</v>
      </c>
      <c r="B68" s="3417"/>
      <c r="C68" s="756" t="s">
        <v>629</v>
      </c>
      <c r="D68" s="756" t="s">
        <v>630</v>
      </c>
      <c r="E68" s="833">
        <v>0.2</v>
      </c>
      <c r="F68" s="820">
        <v>30</v>
      </c>
    </row>
    <row r="69" spans="1:6" s="816" customFormat="1" ht="48">
      <c r="A69" s="820">
        <v>9</v>
      </c>
      <c r="B69" s="3417"/>
      <c r="C69" s="756" t="s">
        <v>631</v>
      </c>
      <c r="D69" s="756" t="s">
        <v>632</v>
      </c>
      <c r="E69" s="833">
        <v>0.2</v>
      </c>
      <c r="F69" s="820">
        <v>30</v>
      </c>
    </row>
    <row r="70" spans="1:6" s="816" customFormat="1" ht="60">
      <c r="A70" s="820">
        <v>10</v>
      </c>
      <c r="B70" s="3417"/>
      <c r="C70" s="756" t="s">
        <v>633</v>
      </c>
      <c r="D70" s="756" t="s">
        <v>634</v>
      </c>
      <c r="E70" s="833">
        <v>0.2</v>
      </c>
      <c r="F70" s="820">
        <v>30</v>
      </c>
    </row>
    <row r="71" spans="1:6" s="816" customFormat="1" ht="60">
      <c r="A71" s="820">
        <v>11</v>
      </c>
      <c r="B71" s="3417"/>
      <c r="C71" s="756" t="s">
        <v>635</v>
      </c>
      <c r="D71" s="756" t="s">
        <v>636</v>
      </c>
      <c r="E71" s="833">
        <v>0.2</v>
      </c>
      <c r="F71" s="820">
        <v>30</v>
      </c>
    </row>
    <row r="72" spans="1:6" s="816" customFormat="1" ht="36">
      <c r="A72" s="820">
        <v>12</v>
      </c>
      <c r="B72" s="3417"/>
      <c r="C72" s="756" t="s">
        <v>637</v>
      </c>
      <c r="D72" s="756" t="s">
        <v>638</v>
      </c>
      <c r="E72" s="833">
        <v>0.5</v>
      </c>
      <c r="F72" s="820">
        <v>80</v>
      </c>
    </row>
    <row r="73" spans="1:6" s="816" customFormat="1" ht="36">
      <c r="A73" s="820">
        <v>13</v>
      </c>
      <c r="B73" s="3417"/>
      <c r="C73" s="756" t="s">
        <v>639</v>
      </c>
      <c r="D73" s="756" t="s">
        <v>640</v>
      </c>
      <c r="E73" s="833">
        <v>0.4</v>
      </c>
      <c r="F73" s="820">
        <v>60</v>
      </c>
    </row>
    <row r="74" spans="1:6" s="816" customFormat="1" ht="36">
      <c r="A74" s="820">
        <v>14</v>
      </c>
      <c r="B74" s="3417"/>
      <c r="C74" s="756" t="s">
        <v>641</v>
      </c>
      <c r="D74" s="756" t="s">
        <v>642</v>
      </c>
      <c r="E74" s="833">
        <v>0.2</v>
      </c>
      <c r="F74" s="820">
        <v>30</v>
      </c>
    </row>
    <row r="75" spans="1:6" s="816" customFormat="1" ht="36">
      <c r="A75" s="820">
        <v>15</v>
      </c>
      <c r="B75" s="3417"/>
      <c r="C75" s="756" t="s">
        <v>643</v>
      </c>
      <c r="D75" s="756" t="s">
        <v>644</v>
      </c>
      <c r="E75" s="833">
        <v>0.2</v>
      </c>
      <c r="F75" s="820">
        <v>30</v>
      </c>
    </row>
    <row r="76" spans="1:6" s="816" customFormat="1" ht="36">
      <c r="A76" s="820">
        <v>16</v>
      </c>
      <c r="B76" s="3417" t="s">
        <v>645</v>
      </c>
      <c r="C76" s="756" t="s">
        <v>646</v>
      </c>
      <c r="D76" s="756" t="s">
        <v>647</v>
      </c>
      <c r="E76" s="833">
        <v>0.5</v>
      </c>
      <c r="F76" s="820">
        <v>80</v>
      </c>
    </row>
    <row r="77" spans="1:6" s="816" customFormat="1" ht="36">
      <c r="A77" s="820">
        <v>17</v>
      </c>
      <c r="B77" s="3417"/>
      <c r="C77" s="756" t="s">
        <v>648</v>
      </c>
      <c r="D77" s="756" t="s">
        <v>649</v>
      </c>
      <c r="E77" s="833">
        <v>0.5</v>
      </c>
      <c r="F77" s="820">
        <v>80</v>
      </c>
    </row>
    <row r="78" spans="1:6" s="816" customFormat="1" ht="36">
      <c r="A78" s="820">
        <v>18</v>
      </c>
      <c r="B78" s="3417"/>
      <c r="C78" s="756" t="s">
        <v>650</v>
      </c>
      <c r="D78" s="756" t="s">
        <v>651</v>
      </c>
      <c r="E78" s="833">
        <v>0.2</v>
      </c>
      <c r="F78" s="820">
        <v>30</v>
      </c>
    </row>
    <row r="79" spans="1:6" s="816" customFormat="1" ht="36">
      <c r="A79" s="820">
        <v>19</v>
      </c>
      <c r="B79" s="3417"/>
      <c r="C79" s="756" t="s">
        <v>652</v>
      </c>
      <c r="D79" s="756" t="s">
        <v>653</v>
      </c>
      <c r="E79" s="833">
        <v>0.5</v>
      </c>
      <c r="F79" s="820">
        <v>80</v>
      </c>
    </row>
    <row r="80" spans="1:6" s="816" customFormat="1" ht="36">
      <c r="A80" s="820">
        <v>20</v>
      </c>
      <c r="B80" s="3417"/>
      <c r="C80" s="756" t="s">
        <v>654</v>
      </c>
      <c r="D80" s="756" t="s">
        <v>655</v>
      </c>
      <c r="E80" s="833">
        <v>0.2</v>
      </c>
      <c r="F80" s="820">
        <v>30</v>
      </c>
    </row>
    <row r="81" spans="1:6" s="816" customFormat="1" ht="36">
      <c r="A81" s="820">
        <v>21</v>
      </c>
      <c r="B81" s="3417"/>
      <c r="C81" s="756" t="s">
        <v>656</v>
      </c>
      <c r="D81" s="756" t="s">
        <v>657</v>
      </c>
      <c r="E81" s="833">
        <v>0.2</v>
      </c>
      <c r="F81" s="820">
        <v>30</v>
      </c>
    </row>
    <row r="82" spans="1:6" s="816" customFormat="1" ht="60">
      <c r="A82" s="820">
        <v>22</v>
      </c>
      <c r="B82" s="3417"/>
      <c r="C82" s="756" t="s">
        <v>658</v>
      </c>
      <c r="D82" s="756" t="s">
        <v>659</v>
      </c>
      <c r="E82" s="833">
        <v>0.2</v>
      </c>
      <c r="F82" s="820">
        <v>30</v>
      </c>
    </row>
    <row r="83" spans="1:6" s="816" customFormat="1" ht="60">
      <c r="A83" s="820">
        <v>23</v>
      </c>
      <c r="B83" s="3417"/>
      <c r="C83" s="756" t="s">
        <v>660</v>
      </c>
      <c r="D83" s="756" t="s">
        <v>661</v>
      </c>
      <c r="E83" s="833">
        <v>0.2</v>
      </c>
      <c r="F83" s="820">
        <v>30</v>
      </c>
    </row>
    <row r="84" spans="1:6" s="816" customFormat="1" ht="48">
      <c r="A84" s="820">
        <v>24</v>
      </c>
      <c r="B84" s="3417"/>
      <c r="C84" s="756" t="s">
        <v>662</v>
      </c>
      <c r="D84" s="756" t="s">
        <v>663</v>
      </c>
      <c r="E84" s="833">
        <v>0.2</v>
      </c>
      <c r="F84" s="820">
        <v>30</v>
      </c>
    </row>
    <row r="85" spans="1:6" s="816" customFormat="1" ht="36">
      <c r="A85" s="820">
        <v>25</v>
      </c>
      <c r="B85" s="3417"/>
      <c r="C85" s="756" t="s">
        <v>664</v>
      </c>
      <c r="D85" s="756" t="s">
        <v>665</v>
      </c>
      <c r="E85" s="833">
        <v>0.5</v>
      </c>
      <c r="F85" s="820">
        <v>80</v>
      </c>
    </row>
    <row r="86" spans="1:6" s="816" customFormat="1" ht="36">
      <c r="A86" s="820">
        <v>26</v>
      </c>
      <c r="B86" s="3417"/>
      <c r="C86" s="756" t="s">
        <v>666</v>
      </c>
      <c r="D86" s="756" t="s">
        <v>667</v>
      </c>
      <c r="E86" s="833">
        <v>0.2</v>
      </c>
      <c r="F86" s="820">
        <v>30</v>
      </c>
    </row>
    <row r="87" spans="1:6" s="816" customFormat="1" ht="36">
      <c r="A87" s="820">
        <v>27</v>
      </c>
      <c r="B87" s="3417"/>
      <c r="C87" s="756" t="s">
        <v>668</v>
      </c>
      <c r="D87" s="756" t="s">
        <v>669</v>
      </c>
      <c r="E87" s="833">
        <v>0.2</v>
      </c>
      <c r="F87" s="820">
        <v>30</v>
      </c>
    </row>
    <row r="88" spans="1:6" s="816" customFormat="1" ht="36">
      <c r="A88" s="820">
        <v>28</v>
      </c>
      <c r="B88" s="3417"/>
      <c r="C88" s="756" t="s">
        <v>670</v>
      </c>
      <c r="D88" s="756" t="s">
        <v>671</v>
      </c>
      <c r="E88" s="833">
        <v>0.2</v>
      </c>
      <c r="F88" s="820">
        <v>30</v>
      </c>
    </row>
    <row r="89" spans="1:6" s="816" customFormat="1" ht="36">
      <c r="A89" s="820">
        <v>29</v>
      </c>
      <c r="B89" s="3417"/>
      <c r="C89" s="756" t="s">
        <v>672</v>
      </c>
      <c r="D89" s="756" t="s">
        <v>673</v>
      </c>
      <c r="E89" s="833">
        <v>0.2</v>
      </c>
      <c r="F89" s="820">
        <v>30</v>
      </c>
    </row>
    <row r="90" spans="1:6" s="816" customFormat="1" ht="36">
      <c r="A90" s="820">
        <v>30</v>
      </c>
      <c r="B90" s="3417"/>
      <c r="C90" s="756" t="s">
        <v>674</v>
      </c>
      <c r="D90" s="756" t="s">
        <v>675</v>
      </c>
      <c r="E90" s="833">
        <v>0.2</v>
      </c>
      <c r="F90" s="820">
        <v>30</v>
      </c>
    </row>
    <row r="91" spans="1:6" s="816" customFormat="1" ht="48">
      <c r="A91" s="820">
        <v>31</v>
      </c>
      <c r="B91" s="3417"/>
      <c r="C91" s="756" t="s">
        <v>676</v>
      </c>
      <c r="D91" s="756" t="s">
        <v>677</v>
      </c>
      <c r="E91" s="833">
        <v>0.2</v>
      </c>
      <c r="F91" s="820">
        <v>30</v>
      </c>
    </row>
    <row r="92" spans="1:6" s="816" customFormat="1" ht="36">
      <c r="A92" s="820">
        <v>32</v>
      </c>
      <c r="B92" s="3417" t="s">
        <v>678</v>
      </c>
      <c r="C92" s="820" t="s">
        <v>679</v>
      </c>
      <c r="D92" s="756" t="s">
        <v>680</v>
      </c>
      <c r="E92" s="833">
        <v>0.2</v>
      </c>
      <c r="F92" s="820">
        <v>30</v>
      </c>
    </row>
    <row r="93" spans="1:6" s="816" customFormat="1" ht="36">
      <c r="A93" s="820">
        <v>33</v>
      </c>
      <c r="B93" s="3417"/>
      <c r="C93" s="820" t="s">
        <v>681</v>
      </c>
      <c r="D93" s="756" t="s">
        <v>682</v>
      </c>
      <c r="E93" s="833">
        <v>0.2</v>
      </c>
      <c r="F93" s="820">
        <v>30</v>
      </c>
    </row>
    <row r="94" spans="1:6" s="816" customFormat="1" ht="60">
      <c r="A94" s="820">
        <v>34</v>
      </c>
      <c r="B94" s="3417"/>
      <c r="C94" s="820" t="s">
        <v>683</v>
      </c>
      <c r="D94" s="756" t="s">
        <v>684</v>
      </c>
      <c r="E94" s="833">
        <v>0.2</v>
      </c>
      <c r="F94" s="820">
        <v>30</v>
      </c>
    </row>
    <row r="95" spans="1:6" s="816" customFormat="1" ht="48">
      <c r="A95" s="820">
        <v>35</v>
      </c>
      <c r="B95" s="3417"/>
      <c r="C95" s="820" t="s">
        <v>685</v>
      </c>
      <c r="D95" s="756" t="s">
        <v>686</v>
      </c>
      <c r="E95" s="833">
        <v>0.2</v>
      </c>
      <c r="F95" s="820">
        <v>30</v>
      </c>
    </row>
    <row r="96" spans="1:6" s="816" customFormat="1" ht="72">
      <c r="A96" s="820">
        <v>36</v>
      </c>
      <c r="B96" s="3417"/>
      <c r="C96" s="756" t="s">
        <v>687</v>
      </c>
      <c r="D96" s="756" t="s">
        <v>688</v>
      </c>
      <c r="E96" s="833">
        <v>0.2</v>
      </c>
      <c r="F96" s="820">
        <v>30</v>
      </c>
    </row>
    <row r="97" spans="1:6" s="816" customFormat="1" ht="36">
      <c r="A97" s="820">
        <v>37</v>
      </c>
      <c r="B97" s="3417"/>
      <c r="C97" s="820" t="s">
        <v>689</v>
      </c>
      <c r="D97" s="756" t="s">
        <v>690</v>
      </c>
      <c r="E97" s="833">
        <v>0.2</v>
      </c>
      <c r="F97" s="820">
        <v>30</v>
      </c>
    </row>
    <row r="98" spans="1:6" s="816" customFormat="1" ht="36">
      <c r="A98" s="820">
        <v>38</v>
      </c>
      <c r="B98" s="3417"/>
      <c r="C98" s="820" t="s">
        <v>691</v>
      </c>
      <c r="D98" s="756" t="s">
        <v>692</v>
      </c>
      <c r="E98" s="833">
        <v>0.2</v>
      </c>
      <c r="F98" s="820">
        <v>30</v>
      </c>
    </row>
    <row r="99" spans="1:6" s="816" customFormat="1" ht="36">
      <c r="A99" s="820">
        <v>39</v>
      </c>
      <c r="B99" s="3417" t="s">
        <v>693</v>
      </c>
      <c r="C99" s="820" t="s">
        <v>694</v>
      </c>
      <c r="D99" s="756" t="s">
        <v>695</v>
      </c>
      <c r="E99" s="833">
        <v>0.3</v>
      </c>
      <c r="F99" s="820">
        <v>50</v>
      </c>
    </row>
    <row r="100" spans="1:6" s="816" customFormat="1" ht="36">
      <c r="A100" s="820">
        <v>40</v>
      </c>
      <c r="B100" s="3417"/>
      <c r="C100" s="820" t="s">
        <v>696</v>
      </c>
      <c r="D100" s="756" t="s">
        <v>697</v>
      </c>
      <c r="E100" s="833">
        <v>0.2</v>
      </c>
      <c r="F100" s="820">
        <v>30</v>
      </c>
    </row>
    <row r="101" spans="1:6" s="816" customFormat="1" ht="36">
      <c r="A101" s="820">
        <v>41</v>
      </c>
      <c r="B101" s="3417"/>
      <c r="C101" s="820" t="s">
        <v>698</v>
      </c>
      <c r="D101" s="756" t="s">
        <v>695</v>
      </c>
      <c r="E101" s="833">
        <v>0.2</v>
      </c>
      <c r="F101" s="820">
        <v>30</v>
      </c>
    </row>
    <row r="102" spans="1:6" s="816" customFormat="1" ht="72">
      <c r="A102" s="820">
        <v>42</v>
      </c>
      <c r="B102" s="820" t="s">
        <v>699</v>
      </c>
      <c r="C102" s="756" t="s">
        <v>700</v>
      </c>
      <c r="D102" s="756" t="s">
        <v>701</v>
      </c>
      <c r="E102" s="833">
        <v>0.2</v>
      </c>
      <c r="F102" s="820">
        <v>30</v>
      </c>
    </row>
    <row r="103" spans="1:6" s="816" customFormat="1" ht="36">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48">
      <c r="A105" s="820">
        <v>45</v>
      </c>
      <c r="B105" s="3417" t="s">
        <v>708</v>
      </c>
      <c r="C105" s="820" t="s">
        <v>709</v>
      </c>
      <c r="D105" s="756" t="s">
        <v>710</v>
      </c>
      <c r="E105" s="833">
        <v>0.2</v>
      </c>
      <c r="F105" s="820">
        <v>30</v>
      </c>
    </row>
    <row r="106" spans="1:6" s="816" customFormat="1" ht="48">
      <c r="A106" s="820">
        <v>46</v>
      </c>
      <c r="B106" s="3417"/>
      <c r="C106" s="820" t="s">
        <v>711</v>
      </c>
      <c r="D106" s="756" t="s">
        <v>712</v>
      </c>
      <c r="E106" s="833">
        <v>0.2</v>
      </c>
      <c r="F106" s="820">
        <v>30</v>
      </c>
    </row>
    <row r="107" spans="1:6" s="816" customFormat="1" ht="36">
      <c r="A107" s="820">
        <v>47</v>
      </c>
      <c r="B107" s="3417" t="s">
        <v>713</v>
      </c>
      <c r="C107" s="820" t="s">
        <v>714</v>
      </c>
      <c r="D107" s="756" t="s">
        <v>715</v>
      </c>
      <c r="E107" s="833">
        <v>0.3</v>
      </c>
      <c r="F107" s="820">
        <v>50</v>
      </c>
    </row>
    <row r="108" spans="1:6" s="816" customFormat="1" ht="48">
      <c r="A108" s="820">
        <v>48</v>
      </c>
      <c r="B108" s="341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48">
      <c r="A110" s="820">
        <v>50</v>
      </c>
      <c r="B110" s="820" t="s">
        <v>721</v>
      </c>
      <c r="C110" s="820" t="s">
        <v>722</v>
      </c>
      <c r="D110" s="756" t="s">
        <v>723</v>
      </c>
      <c r="E110" s="833">
        <v>0.2</v>
      </c>
      <c r="F110" s="820">
        <v>30</v>
      </c>
    </row>
    <row r="111" spans="1:6" s="816" customFormat="1" ht="48">
      <c r="A111" s="820">
        <v>51</v>
      </c>
      <c r="B111" s="3417" t="s">
        <v>724</v>
      </c>
      <c r="C111" s="820" t="s">
        <v>725</v>
      </c>
      <c r="D111" s="756" t="s">
        <v>726</v>
      </c>
      <c r="E111" s="833">
        <v>0.2</v>
      </c>
      <c r="F111" s="820">
        <v>30</v>
      </c>
    </row>
    <row r="112" spans="1:6" s="816" customFormat="1" ht="36">
      <c r="A112" s="820">
        <v>52</v>
      </c>
      <c r="B112" s="3417"/>
      <c r="C112" s="820" t="s">
        <v>727</v>
      </c>
      <c r="D112" s="756" t="s">
        <v>728</v>
      </c>
      <c r="E112" s="833">
        <v>0.2</v>
      </c>
      <c r="F112" s="820">
        <v>30</v>
      </c>
    </row>
    <row r="113" spans="1:6" s="816" customFormat="1" ht="36">
      <c r="A113" s="820">
        <v>53</v>
      </c>
      <c r="B113" s="3417"/>
      <c r="C113" s="820" t="s">
        <v>729</v>
      </c>
      <c r="D113" s="756" t="s">
        <v>730</v>
      </c>
      <c r="E113" s="833">
        <v>0.2</v>
      </c>
      <c r="F113" s="820">
        <v>30</v>
      </c>
    </row>
    <row r="114" spans="1:6" ht="48">
      <c r="A114" s="820">
        <v>54</v>
      </c>
      <c r="B114" s="820" t="s">
        <v>731</v>
      </c>
      <c r="C114" s="820" t="s">
        <v>732</v>
      </c>
      <c r="D114" s="756" t="s">
        <v>733</v>
      </c>
      <c r="E114" s="833">
        <v>0.2</v>
      </c>
      <c r="F114" s="820">
        <v>30</v>
      </c>
    </row>
    <row r="115" spans="1:6" ht="36">
      <c r="A115" s="820">
        <v>55</v>
      </c>
      <c r="B115" s="820" t="s">
        <v>734</v>
      </c>
      <c r="C115" s="820" t="s">
        <v>735</v>
      </c>
      <c r="D115" s="756" t="s">
        <v>736</v>
      </c>
      <c r="E115" s="833">
        <v>0.2</v>
      </c>
      <c r="F115" s="820">
        <v>30</v>
      </c>
    </row>
    <row r="116" spans="1:6" ht="36">
      <c r="A116" s="820">
        <v>56</v>
      </c>
      <c r="B116" s="3417" t="s">
        <v>737</v>
      </c>
      <c r="C116" s="820" t="s">
        <v>738</v>
      </c>
      <c r="D116" s="756" t="s">
        <v>739</v>
      </c>
      <c r="E116" s="833">
        <v>0.2</v>
      </c>
      <c r="F116" s="820">
        <v>30</v>
      </c>
    </row>
    <row r="117" spans="1:6" ht="36">
      <c r="A117" s="820">
        <v>57</v>
      </c>
      <c r="B117" s="3417"/>
      <c r="C117" s="820" t="s">
        <v>740</v>
      </c>
      <c r="D117" s="756" t="s">
        <v>741</v>
      </c>
      <c r="E117" s="833">
        <v>0.2</v>
      </c>
      <c r="F117" s="820">
        <v>30</v>
      </c>
    </row>
    <row r="118" spans="1:6" ht="36">
      <c r="A118" s="820">
        <v>58</v>
      </c>
      <c r="B118" s="820" t="s">
        <v>742</v>
      </c>
      <c r="C118" s="820" t="s">
        <v>743</v>
      </c>
      <c r="D118" s="756" t="s">
        <v>744</v>
      </c>
      <c r="E118" s="833">
        <v>0.2</v>
      </c>
      <c r="F118" s="820">
        <v>30</v>
      </c>
    </row>
    <row r="119" spans="1:6" ht="14.4">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3"/>
    <col min="2" max="16384" width="9" style="836"/>
  </cols>
  <sheetData>
    <row r="1" spans="1:14" ht="15.6">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5.6">
      <c r="A103" s="834" t="s">
        <v>748</v>
      </c>
      <c r="B103" s="835"/>
      <c r="C103" s="835"/>
      <c r="D103" s="835"/>
      <c r="E103" s="835"/>
      <c r="F103" s="835"/>
      <c r="G103" s="835"/>
      <c r="H103" s="835"/>
      <c r="I103" s="835"/>
      <c r="J103" s="835"/>
      <c r="K103" s="835"/>
      <c r="L103" s="835"/>
      <c r="M103" s="835"/>
      <c r="N103" s="835"/>
    </row>
    <row r="104" spans="1:14" ht="15.6">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5.6">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5.6">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0" customWidth="1"/>
    <col min="2" max="2" width="12.44140625" style="1660" customWidth="1"/>
    <col min="3" max="3" width="12.109375" style="1660" customWidth="1"/>
    <col min="4" max="4" width="14.109375" style="1660" customWidth="1"/>
    <col min="5" max="5" width="12.44140625" style="1660" customWidth="1"/>
    <col min="6" max="16384" width="9" style="1660"/>
  </cols>
  <sheetData>
    <row r="1" spans="1:16" ht="21.6">
      <c r="A1" s="2051" t="s">
        <v>2823</v>
      </c>
      <c r="B1" s="2361"/>
      <c r="C1" s="2361"/>
      <c r="D1" s="2361"/>
      <c r="E1" s="2361"/>
      <c r="F1" s="3022"/>
      <c r="G1" s="3022"/>
      <c r="H1" s="3022"/>
      <c r="I1" s="3022"/>
      <c r="J1" s="3022"/>
      <c r="K1" s="3022"/>
      <c r="L1" s="3022"/>
      <c r="M1" s="3022"/>
      <c r="N1" s="3022"/>
      <c r="O1" s="3022"/>
      <c r="P1" s="3022"/>
    </row>
    <row r="2" spans="1:16" ht="15.6">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6">
      <c r="A3" s="2359" t="s">
        <v>2818</v>
      </c>
      <c r="B3" s="2826" t="e">
        <f ca="1">ROUND(B2*10000/E2,0)</f>
        <v>#DIV/0!</v>
      </c>
      <c r="C3" s="2359" t="s">
        <v>2824</v>
      </c>
      <c r="D3" s="3022"/>
      <c r="E3" s="3022"/>
      <c r="F3" s="3022"/>
      <c r="G3" s="3022"/>
      <c r="H3" s="3022"/>
      <c r="I3" s="3022"/>
      <c r="J3" s="3022"/>
      <c r="K3" s="3022"/>
      <c r="L3" s="3022"/>
      <c r="M3" s="3022"/>
      <c r="N3" s="3022"/>
      <c r="O3" s="3022"/>
      <c r="P3" s="3022"/>
    </row>
    <row r="4" spans="1:16" ht="15.6">
      <c r="A4" s="3023"/>
      <c r="B4" s="3022"/>
      <c r="C4" s="3022"/>
      <c r="D4" s="3022"/>
      <c r="E4" s="3022"/>
      <c r="F4" s="3022"/>
      <c r="G4" s="3022"/>
      <c r="H4" s="3022"/>
      <c r="I4" s="3022"/>
      <c r="J4" s="3022"/>
      <c r="K4" s="3022"/>
      <c r="L4" s="3022"/>
      <c r="M4" s="3022"/>
      <c r="N4" s="3022"/>
      <c r="O4" s="3022"/>
      <c r="P4" s="3022"/>
    </row>
    <row r="5" spans="1:16" ht="31.2">
      <c r="A5" s="2832" t="s">
        <v>2819</v>
      </c>
      <c r="B5" s="2834" t="s">
        <v>2820</v>
      </c>
      <c r="C5" s="2360"/>
      <c r="D5" s="3022"/>
      <c r="E5" s="2835" t="s">
        <v>2821</v>
      </c>
      <c r="F5" s="3022"/>
      <c r="G5" s="3022"/>
      <c r="H5" s="3022"/>
      <c r="I5" s="3022"/>
      <c r="J5" s="3022"/>
      <c r="K5" s="3022"/>
      <c r="L5" s="3022"/>
      <c r="M5" s="3022"/>
      <c r="N5" s="3022"/>
      <c r="O5" s="3022"/>
      <c r="P5" s="3022"/>
    </row>
    <row r="6" spans="1:16" ht="15.6">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6">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6">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6">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6">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6">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6">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6">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2408"/>
    <col min="2" max="6" width="9" style="2408" customWidth="1"/>
    <col min="7" max="7" width="9" style="2446"/>
    <col min="8" max="8" width="9" style="2408"/>
    <col min="9" max="12" width="9" style="2408" customWidth="1"/>
    <col min="13" max="13" width="2.21875" style="2408" customWidth="1"/>
    <col min="14" max="14" width="9" style="2446" customWidth="1"/>
    <col min="15" max="17" width="9" style="2408" customWidth="1"/>
    <col min="18" max="18" width="2.33203125" style="2408" customWidth="1"/>
    <col min="19" max="19" width="7.109375" style="2446" customWidth="1"/>
    <col min="20" max="22" width="7.109375" style="2408" customWidth="1"/>
    <col min="23" max="23" width="24.21875" style="2408" customWidth="1"/>
    <col min="24" max="25" width="9" style="2408"/>
    <col min="26" max="27" width="11.6640625" style="2408" customWidth="1"/>
    <col min="28" max="28" width="9" style="2408"/>
    <col min="29" max="29" width="2" style="2408" customWidth="1"/>
    <col min="30" max="16384" width="9" style="2408"/>
  </cols>
  <sheetData>
    <row r="1" spans="1:34" s="2387" customFormat="1">
      <c r="B1" s="3423" t="s">
        <v>1117</v>
      </c>
      <c r="C1" s="3423"/>
      <c r="D1" s="3423"/>
      <c r="E1" s="3423"/>
      <c r="F1" s="3423"/>
      <c r="G1" s="3419" t="s">
        <v>1118</v>
      </c>
      <c r="H1" s="3419"/>
      <c r="I1" s="3419"/>
      <c r="J1" s="3419"/>
      <c r="K1" s="3419"/>
      <c r="L1" s="3419"/>
      <c r="N1" s="3419" t="s">
        <v>1119</v>
      </c>
      <c r="O1" s="3419"/>
      <c r="P1" s="3419"/>
      <c r="Q1" s="3419"/>
      <c r="S1" s="3419" t="s">
        <v>1120</v>
      </c>
      <c r="T1" s="3419"/>
      <c r="U1" s="3419"/>
      <c r="V1" s="3419"/>
      <c r="X1" s="3418" t="s">
        <v>1121</v>
      </c>
      <c r="Y1" s="3419"/>
      <c r="Z1" s="3419"/>
      <c r="AA1" s="3419"/>
      <c r="AB1" s="3419"/>
      <c r="AD1" s="3418" t="s">
        <v>1122</v>
      </c>
      <c r="AE1" s="3419"/>
      <c r="AF1" s="3419"/>
      <c r="AG1" s="3419"/>
      <c r="AH1" s="3419"/>
    </row>
    <row r="2" spans="1:34" s="2388" customFormat="1" ht="1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4">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4">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3062</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3061</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3060</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3058</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3057</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8"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8"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421">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421"/>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421"/>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28"/>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424">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421"/>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421"/>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28"/>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24">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421"/>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421"/>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8"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422"/>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8" thickBot="1">
      <c r="A29" s="2421" t="s">
        <v>151</v>
      </c>
      <c r="B29" s="2436">
        <v>333</v>
      </c>
      <c r="C29" s="2436">
        <v>277</v>
      </c>
      <c r="D29" s="2436">
        <f t="shared" si="202"/>
        <v>277</v>
      </c>
      <c r="E29" s="2436">
        <v>459</v>
      </c>
      <c r="F29" s="2437">
        <v>249</v>
      </c>
      <c r="G29" s="3420">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421"/>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421"/>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422"/>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8" thickBot="1">
      <c r="A33" s="2421" t="s">
        <v>147</v>
      </c>
      <c r="B33" s="2450">
        <v>318</v>
      </c>
      <c r="C33" s="2450">
        <v>268</v>
      </c>
      <c r="D33" s="2450">
        <f t="shared" si="202"/>
        <v>268</v>
      </c>
      <c r="E33" s="2450">
        <v>437</v>
      </c>
      <c r="F33" s="2451">
        <v>237</v>
      </c>
      <c r="G33" s="3420">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421"/>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8"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421"/>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8"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422"/>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8" thickBot="1">
      <c r="A37" s="2421" t="s">
        <v>1130</v>
      </c>
      <c r="B37" s="2436">
        <v>299</v>
      </c>
      <c r="C37" s="2436">
        <v>252</v>
      </c>
      <c r="D37" s="2436">
        <f t="shared" si="202"/>
        <v>252</v>
      </c>
      <c r="E37" s="2436">
        <v>409</v>
      </c>
      <c r="F37" s="2437">
        <v>227</v>
      </c>
      <c r="G37" s="3425">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26"/>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26"/>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27"/>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8" thickBot="1">
      <c r="A41" s="2421" t="s">
        <v>1134</v>
      </c>
      <c r="B41" s="2471">
        <v>278</v>
      </c>
      <c r="C41" s="2471">
        <v>234</v>
      </c>
      <c r="D41" s="2471">
        <f t="shared" si="202"/>
        <v>234</v>
      </c>
      <c r="E41" s="2471">
        <v>379</v>
      </c>
      <c r="F41" s="2472">
        <v>220</v>
      </c>
      <c r="G41" s="3420">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421"/>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421"/>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8" thickBot="1">
      <c r="A44" s="2421" t="s">
        <v>1137</v>
      </c>
      <c r="B44" s="2422">
        <f>B43/(1+N43)</f>
        <v>275.19025476197027</v>
      </c>
      <c r="C44" s="2473">
        <v>232</v>
      </c>
      <c r="D44" s="2473">
        <f t="shared" si="202"/>
        <v>232</v>
      </c>
      <c r="E44" s="2422">
        <f t="shared" si="213"/>
        <v>375.65990977608692</v>
      </c>
      <c r="F44" s="2422">
        <f t="shared" si="213"/>
        <v>214.12518283971252</v>
      </c>
      <c r="G44" s="3422"/>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8" thickBot="1">
      <c r="A45" s="2421" t="s">
        <v>1138</v>
      </c>
      <c r="B45" s="2436">
        <v>275</v>
      </c>
      <c r="C45" s="2436">
        <v>232</v>
      </c>
      <c r="D45" s="2436">
        <f t="shared" si="202"/>
        <v>232</v>
      </c>
      <c r="E45" s="2436">
        <v>376</v>
      </c>
      <c r="F45" s="2437">
        <v>213</v>
      </c>
      <c r="G45" s="3420">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421">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421">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8"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422">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8" thickBot="1">
      <c r="A49" s="2421" t="s">
        <v>1142</v>
      </c>
      <c r="B49" s="2436">
        <v>269</v>
      </c>
      <c r="C49" s="2436">
        <v>221</v>
      </c>
      <c r="D49" s="2436">
        <f t="shared" si="202"/>
        <v>221</v>
      </c>
      <c r="E49" s="2436">
        <v>373</v>
      </c>
      <c r="F49" s="2437">
        <v>196</v>
      </c>
      <c r="G49" s="3420">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421">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421">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8"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422">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8" thickBot="1">
      <c r="A53" s="2421" t="s">
        <v>1146</v>
      </c>
      <c r="B53" s="2436">
        <v>220</v>
      </c>
      <c r="C53" s="2436">
        <v>187</v>
      </c>
      <c r="D53" s="2436">
        <f t="shared" si="202"/>
        <v>187</v>
      </c>
      <c r="E53" s="2436">
        <v>301</v>
      </c>
      <c r="F53" s="2437">
        <v>168</v>
      </c>
      <c r="G53" s="3420">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421">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421">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422">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8" thickBot="1">
      <c r="A57" s="2421" t="s">
        <v>1150</v>
      </c>
      <c r="B57" s="2471">
        <v>214</v>
      </c>
      <c r="C57" s="2471">
        <v>188</v>
      </c>
      <c r="D57" s="2471">
        <f t="shared" si="202"/>
        <v>188</v>
      </c>
      <c r="E57" s="2471">
        <v>289</v>
      </c>
      <c r="F57" s="2472">
        <v>166</v>
      </c>
      <c r="G57" s="3420">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421">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421">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8"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422">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8" thickBot="1">
      <c r="A61" s="2421" t="s">
        <v>1154</v>
      </c>
      <c r="B61" s="2436">
        <v>188</v>
      </c>
      <c r="C61" s="2436">
        <v>165</v>
      </c>
      <c r="D61" s="2436">
        <f t="shared" si="202"/>
        <v>165</v>
      </c>
      <c r="E61" s="2436">
        <v>254</v>
      </c>
      <c r="F61" s="2437">
        <v>148</v>
      </c>
      <c r="G61" s="3420">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421">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421">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422">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8" thickBot="1">
      <c r="A65" s="2421" t="s">
        <v>1158</v>
      </c>
      <c r="B65" s="2450">
        <v>159</v>
      </c>
      <c r="C65" s="2450">
        <v>141</v>
      </c>
      <c r="D65" s="2450">
        <f t="shared" si="202"/>
        <v>141</v>
      </c>
      <c r="E65" s="2450">
        <v>195</v>
      </c>
      <c r="F65" s="2451">
        <v>122</v>
      </c>
      <c r="G65" s="3420">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421">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421">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422">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8" thickBot="1">
      <c r="A69" s="2421" t="s">
        <v>1162</v>
      </c>
      <c r="B69" s="2450">
        <v>138</v>
      </c>
      <c r="C69" s="2450">
        <v>131</v>
      </c>
      <c r="D69" s="2450">
        <f t="shared" si="202"/>
        <v>131</v>
      </c>
      <c r="E69" s="2450">
        <v>155</v>
      </c>
      <c r="F69" s="2451">
        <v>114</v>
      </c>
      <c r="G69" s="3420">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421">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421">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422">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8" thickBot="1">
      <c r="A73" s="2421" t="s">
        <v>1166</v>
      </c>
      <c r="B73" s="2471">
        <v>121</v>
      </c>
      <c r="C73" s="2471">
        <v>122</v>
      </c>
      <c r="D73" s="2471">
        <f t="shared" si="202"/>
        <v>122</v>
      </c>
      <c r="E73" s="2471">
        <v>124</v>
      </c>
      <c r="F73" s="2472">
        <v>107</v>
      </c>
      <c r="G73" s="3420">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421">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421">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8"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422">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8" thickBot="1">
      <c r="A77" s="2421" t="s">
        <v>1170</v>
      </c>
      <c r="B77" s="2491">
        <v>111</v>
      </c>
      <c r="C77" s="2491">
        <v>114</v>
      </c>
      <c r="D77" s="2491">
        <f t="shared" si="202"/>
        <v>114</v>
      </c>
      <c r="E77" s="2491">
        <v>108</v>
      </c>
      <c r="F77" s="2492">
        <v>104</v>
      </c>
      <c r="G77" s="3420">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421">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421">
        <v>2003</v>
      </c>
      <c r="H79" s="2434">
        <v>2</v>
      </c>
      <c r="I79" s="2493"/>
      <c r="J79" s="2493"/>
      <c r="K79" s="2493"/>
      <c r="L79" s="2493"/>
      <c r="X79" s="2485"/>
      <c r="Y79" s="2485"/>
      <c r="Z79" s="2485"/>
    </row>
    <row r="80" spans="1:26" ht="13.8" thickBot="1">
      <c r="A80" s="2421" t="s">
        <v>1173</v>
      </c>
      <c r="B80" s="2495">
        <f t="shared" si="238"/>
        <v>107.25</v>
      </c>
      <c r="C80" s="2495">
        <f t="shared" si="238"/>
        <v>108.75</v>
      </c>
      <c r="D80" s="2495">
        <f t="shared" si="202"/>
        <v>108.75</v>
      </c>
      <c r="E80" s="2495">
        <f t="shared" si="239"/>
        <v>105.75</v>
      </c>
      <c r="F80" s="2495">
        <f t="shared" si="239"/>
        <v>102.5</v>
      </c>
      <c r="G80" s="3422">
        <v>2003</v>
      </c>
      <c r="H80" s="2496">
        <v>1</v>
      </c>
      <c r="I80" s="2493"/>
      <c r="J80" s="2493"/>
      <c r="K80" s="2493"/>
      <c r="L80" s="2493"/>
      <c r="S80" s="2424"/>
      <c r="T80" s="2409"/>
      <c r="U80" s="2409"/>
      <c r="X80" s="2485"/>
      <c r="Y80" s="2485"/>
      <c r="Z80" s="2485"/>
    </row>
    <row r="81" spans="1:26" ht="13.8" thickBot="1">
      <c r="A81" s="2421" t="s">
        <v>1174</v>
      </c>
      <c r="B81" s="2497">
        <v>106</v>
      </c>
      <c r="C81" s="2497">
        <v>107</v>
      </c>
      <c r="D81" s="2497">
        <f t="shared" si="202"/>
        <v>107</v>
      </c>
      <c r="E81" s="2497">
        <v>105</v>
      </c>
      <c r="F81" s="2498">
        <v>102</v>
      </c>
      <c r="G81" s="3420">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421">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421">
        <v>2002</v>
      </c>
      <c r="H83" s="2434">
        <v>2</v>
      </c>
      <c r="I83" s="2493"/>
      <c r="J83" s="2493"/>
      <c r="K83" s="2493"/>
      <c r="L83" s="2493"/>
      <c r="X83" s="2485"/>
      <c r="Y83" s="2485"/>
      <c r="Z83" s="2485"/>
    </row>
    <row r="84" spans="1:26" s="2458" customFormat="1" ht="13.8" thickBot="1">
      <c r="A84" s="2454" t="s">
        <v>1177</v>
      </c>
      <c r="B84" s="2461">
        <f t="shared" si="240"/>
        <v>103</v>
      </c>
      <c r="C84" s="2461">
        <f t="shared" si="240"/>
        <v>104</v>
      </c>
      <c r="D84" s="2461">
        <f t="shared" si="202"/>
        <v>104</v>
      </c>
      <c r="E84" s="2461">
        <f t="shared" si="241"/>
        <v>103.5</v>
      </c>
      <c r="F84" s="2461">
        <f t="shared" si="241"/>
        <v>100.5</v>
      </c>
      <c r="G84" s="3422">
        <v>2002</v>
      </c>
      <c r="H84" s="2499">
        <v>1</v>
      </c>
      <c r="I84" s="2500"/>
      <c r="J84" s="2500"/>
      <c r="K84" s="2500"/>
      <c r="L84" s="2500"/>
      <c r="N84" s="2501"/>
      <c r="S84" s="2501"/>
      <c r="X84" s="2502"/>
      <c r="Y84" s="2502"/>
      <c r="Z84" s="2502"/>
    </row>
    <row r="85" spans="1:26" ht="13.8"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8"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8"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49575</v>
      </c>
      <c r="C2" s="2" t="s">
        <v>133</v>
      </c>
      <c r="D2" s="205"/>
      <c r="E2" s="205"/>
      <c r="F2" s="205"/>
      <c r="G2" s="205"/>
    </row>
    <row r="3" spans="1:7" s="206" customFormat="1" ht="18" customHeight="1" thickBot="1">
      <c r="A3" s="209" t="s">
        <v>85</v>
      </c>
      <c r="B3" s="210">
        <f ca="1">ROUND(B2*10000/'数据-汇总表'!E3,0)</f>
        <v>11413</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810</v>
      </c>
      <c r="D7" s="226"/>
      <c r="E7" s="224"/>
      <c r="F7" s="227">
        <f>'数据-取费表'!B48+'数据-取费表'!B49</f>
        <v>4.0500000000000001E-2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521</v>
      </c>
      <c r="D10" s="953">
        <f>'数据-汇总表'!E6</f>
        <v>43436.4</v>
      </c>
      <c r="E10" s="231">
        <f>'数据-取费表'!B28</f>
        <v>120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869</v>
      </c>
      <c r="D19" s="957">
        <f>'数据-汇总表'!E3</f>
        <v>43436.4</v>
      </c>
      <c r="E19" s="217">
        <f>'数据-取费表'!B31</f>
        <v>200</v>
      </c>
      <c r="F19" s="237"/>
      <c r="G19" s="1" t="s">
        <v>1042</v>
      </c>
    </row>
    <row r="20" spans="1:7" s="220" customFormat="1" ht="13.5" customHeight="1">
      <c r="A20" s="884" t="s">
        <v>1025</v>
      </c>
      <c r="B20" s="216" t="s">
        <v>104</v>
      </c>
      <c r="C20" s="238">
        <f>ROUND((C5+C19)*F20,0)</f>
        <v>434</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1946</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1850</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77</v>
      </c>
      <c r="D24" s="244"/>
      <c r="E24" s="244"/>
      <c r="F24" s="245"/>
      <c r="G24" s="246" t="s">
        <v>109</v>
      </c>
    </row>
    <row r="25" spans="1:7" s="220" customFormat="1" ht="24">
      <c r="A25" s="887" t="s">
        <v>793</v>
      </c>
      <c r="B25" s="221" t="s">
        <v>1026</v>
      </c>
      <c r="C25" s="1264">
        <f ca="1">ROUND(IF('数据-取费表'!B22&lt;=1,C20*F22*'数据-取费表'!B23/2,C20*(POWER((1+F22),'数据-取费表'!B23/2)-1)),0)</f>
        <v>19</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6.4">
      <c r="A27" s="884" t="s">
        <v>787</v>
      </c>
      <c r="B27" s="250" t="s">
        <v>112</v>
      </c>
      <c r="C27" s="251">
        <f>C28</f>
        <v>4423</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4423</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30899</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16756</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15203</v>
      </c>
      <c r="D34" s="223"/>
      <c r="E34" s="226"/>
      <c r="F34" s="263">
        <f>IF('数据-取费表'!B24=0,1,'数据-取费表'!N16)</f>
        <v>1</v>
      </c>
      <c r="G34" s="225" t="s">
        <v>116</v>
      </c>
    </row>
    <row r="35" spans="1:7" ht="13.5" customHeight="1">
      <c r="A35" s="887" t="s">
        <v>796</v>
      </c>
      <c r="B35" s="221" t="s">
        <v>60</v>
      </c>
      <c r="C35" s="226">
        <f>ROUND(C34*F35,0)</f>
        <v>456</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869</v>
      </c>
      <c r="D37" s="223">
        <f>'数据-汇总表'!E3</f>
        <v>43436.4</v>
      </c>
      <c r="E37" s="255">
        <f>'数据-取费表'!B35</f>
        <v>200</v>
      </c>
      <c r="F37" s="265"/>
      <c r="G37" s="267" t="s">
        <v>119</v>
      </c>
    </row>
    <row r="38" spans="1:7" ht="13.5" customHeight="1">
      <c r="A38" s="887" t="s">
        <v>799</v>
      </c>
      <c r="B38" s="221" t="s">
        <v>63</v>
      </c>
      <c r="C38" s="226">
        <f>ROUND(C34*F38,0)</f>
        <v>228</v>
      </c>
      <c r="D38" s="226"/>
      <c r="E38" s="226"/>
      <c r="F38" s="265">
        <f>'数据-取费表'!B36</f>
        <v>1.4999999999999999E-2</v>
      </c>
      <c r="G38" s="225" t="s">
        <v>117</v>
      </c>
    </row>
    <row r="39" spans="1:7" s="220" customFormat="1" ht="13.5" customHeight="1">
      <c r="A39" s="884" t="s">
        <v>783</v>
      </c>
      <c r="B39" s="216" t="s">
        <v>104</v>
      </c>
      <c r="C39" s="238">
        <f>ROUND(C33*F20,0)</f>
        <v>335</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744</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729</v>
      </c>
      <c r="D42" s="244"/>
      <c r="E42" s="244"/>
      <c r="F42" s="245"/>
      <c r="G42" s="3350" t="s">
        <v>121</v>
      </c>
    </row>
    <row r="43" spans="1:7" ht="13.5" customHeight="1">
      <c r="A43" s="887" t="s">
        <v>792</v>
      </c>
      <c r="B43" s="221" t="s">
        <v>1032</v>
      </c>
      <c r="C43" s="244">
        <f ca="1">ROUND(IF('数据-取费表'!B22&lt;=1,C39*F22*'数据-取费表'!B21/2,C39*(POWER((1+F22),'数据-取费表'!B21/2)-1)),0)</f>
        <v>15</v>
      </c>
      <c r="D43" s="244"/>
      <c r="E43" s="244"/>
      <c r="F43" s="245"/>
      <c r="G43" s="3351"/>
    </row>
    <row r="44" spans="1:7" ht="13.5" customHeight="1">
      <c r="A44" s="887" t="s">
        <v>793</v>
      </c>
      <c r="B44" s="221" t="s">
        <v>1034</v>
      </c>
      <c r="C44" s="244">
        <f ca="1">ROUND(IF('数据-取费表'!B22&lt;=1,C40*F22*'数据-取费表'!B21/2,C40*(POWER((1+F22),'数据-取费表'!B21/2)-1)),4)</f>
        <v>8.9999999999999998E-4</v>
      </c>
      <c r="D44" s="244"/>
      <c r="E44" s="244"/>
      <c r="F44" s="245"/>
      <c r="G44" s="3352"/>
    </row>
    <row r="45" spans="1:7" s="220" customFormat="1" ht="13.5" customHeight="1">
      <c r="A45" s="884" t="s">
        <v>786</v>
      </c>
      <c r="B45" s="250" t="s">
        <v>112</v>
      </c>
      <c r="C45" s="251">
        <f>C46</f>
        <v>3418</v>
      </c>
      <c r="D45" s="241">
        <f>C47</f>
        <v>4.0000000000000001E-3</v>
      </c>
      <c r="E45" s="242" t="s">
        <v>129</v>
      </c>
      <c r="F45" s="252"/>
      <c r="G45" s="253" t="s">
        <v>1040</v>
      </c>
    </row>
    <row r="46" spans="1:7" s="220" customFormat="1" ht="13.5" customHeight="1">
      <c r="A46" s="887" t="s">
        <v>794</v>
      </c>
      <c r="B46" s="254" t="s">
        <v>1033</v>
      </c>
      <c r="C46" s="255">
        <f>ROUND((C33+C39)*F27,0)</f>
        <v>3418</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23057</v>
      </c>
      <c r="D49" s="238"/>
      <c r="E49" s="238"/>
      <c r="F49" s="270"/>
      <c r="G49" s="240" t="s">
        <v>1041</v>
      </c>
    </row>
    <row r="50" spans="1:7" s="264" customFormat="1" ht="24">
      <c r="A50" s="884" t="s">
        <v>789</v>
      </c>
      <c r="B50" s="216" t="s">
        <v>124</v>
      </c>
      <c r="C50" s="238"/>
      <c r="D50" s="238"/>
      <c r="E50" s="238"/>
      <c r="F50" s="270">
        <f>IF('数据-取费表'!B24=0,'数据-取费表'!N16,1)</f>
        <v>0.81</v>
      </c>
      <c r="G50" s="253" t="s">
        <v>125</v>
      </c>
    </row>
    <row r="51" spans="1:7" ht="16.5" customHeight="1">
      <c r="A51" s="884" t="s">
        <v>790</v>
      </c>
      <c r="B51" s="216" t="s">
        <v>132</v>
      </c>
      <c r="C51" s="238">
        <f ca="1">ROUND(C49*F50,0)</f>
        <v>18676</v>
      </c>
      <c r="D51" s="238"/>
      <c r="E51" s="238"/>
      <c r="F51" s="270"/>
      <c r="G51" s="240" t="s">
        <v>64</v>
      </c>
    </row>
    <row r="52" spans="1:7" s="214" customFormat="1" ht="16.8" thickBot="1">
      <c r="A52" s="271" t="s">
        <v>65</v>
      </c>
      <c r="B52" s="272"/>
      <c r="C52" s="273">
        <f ca="1">C31+C51</f>
        <v>49575</v>
      </c>
      <c r="D52" s="272"/>
      <c r="E52" s="272"/>
      <c r="F52" s="272"/>
      <c r="G52" s="274"/>
    </row>
    <row r="55" spans="1:7" ht="15">
      <c r="B55" s="276" t="s">
        <v>66</v>
      </c>
      <c r="C55" s="277"/>
    </row>
    <row r="56" spans="1:7">
      <c r="B56" s="279" t="s">
        <v>67</v>
      </c>
      <c r="C56" s="280">
        <f ca="1">ROUND(C51/C52,3)</f>
        <v>0.377</v>
      </c>
    </row>
    <row r="57" spans="1:7">
      <c r="B57" s="279" t="s">
        <v>68</v>
      </c>
      <c r="C57" s="281">
        <f ca="1">1-C56</f>
        <v>0.623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429" t="s">
        <v>156</v>
      </c>
      <c r="B1" s="3429"/>
      <c r="C1" s="3429"/>
      <c r="D1" s="3429"/>
      <c r="E1" s="3429"/>
      <c r="F1" s="342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430" t="s">
        <v>169</v>
      </c>
      <c r="B2" s="3430"/>
      <c r="C2" s="3430"/>
      <c r="D2" s="3430"/>
      <c r="E2" s="3430"/>
      <c r="F2" s="343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429" t="s">
        <v>839</v>
      </c>
      <c r="B1" s="3429"/>
    </row>
    <row r="2" spans="1:6" ht="15" thickBot="1">
      <c r="A2" s="971"/>
      <c r="B2" s="971"/>
    </row>
    <row r="3" spans="1:6" ht="15" thickBot="1">
      <c r="A3" s="971"/>
      <c r="B3" s="971"/>
      <c r="C3" s="974" t="s">
        <v>842</v>
      </c>
      <c r="D3" s="974" t="s">
        <v>843</v>
      </c>
      <c r="E3" s="974" t="s">
        <v>844</v>
      </c>
      <c r="F3" s="974" t="s">
        <v>845</v>
      </c>
    </row>
    <row r="4" spans="1:6" ht="15" thickBot="1">
      <c r="A4" s="972" t="s">
        <v>840</v>
      </c>
      <c r="B4" s="973" t="s">
        <v>841</v>
      </c>
      <c r="C4" s="974"/>
      <c r="D4" s="974"/>
      <c r="E4" s="974"/>
      <c r="F4" s="974"/>
    </row>
    <row r="5" spans="1:6" ht="15" thickBot="1">
      <c r="A5" s="778" t="s">
        <v>846</v>
      </c>
      <c r="B5" s="779" t="s">
        <v>847</v>
      </c>
      <c r="C5" s="975">
        <v>8.8999999999999996E-2</v>
      </c>
      <c r="D5" s="975">
        <v>7.3999999999999996E-2</v>
      </c>
      <c r="E5" s="975">
        <v>7.4999999999999997E-2</v>
      </c>
      <c r="F5" s="976">
        <v>0.1</v>
      </c>
    </row>
    <row r="6" spans="1:6" ht="15" thickBot="1">
      <c r="A6" s="778" t="s">
        <v>212</v>
      </c>
      <c r="B6" s="772" t="s">
        <v>848</v>
      </c>
      <c r="C6" s="977">
        <v>0.1</v>
      </c>
      <c r="D6" s="977">
        <v>9.0999999999999998E-2</v>
      </c>
      <c r="E6" s="977">
        <v>9.0999999999999998E-2</v>
      </c>
      <c r="F6" s="978">
        <v>0.1</v>
      </c>
    </row>
    <row r="7" spans="1:6" ht="15" thickBot="1">
      <c r="A7" s="778" t="s">
        <v>212</v>
      </c>
      <c r="B7" s="782" t="s">
        <v>201</v>
      </c>
      <c r="C7" s="977">
        <v>8.5999999999999993E-2</v>
      </c>
      <c r="D7" s="977">
        <v>9.6000000000000002E-2</v>
      </c>
      <c r="E7" s="977">
        <v>7.5999999999999998E-2</v>
      </c>
      <c r="F7" s="978">
        <v>0.1</v>
      </c>
    </row>
    <row r="8" spans="1:6" ht="15" thickBot="1">
      <c r="A8" s="778" t="s">
        <v>212</v>
      </c>
      <c r="B8" s="772" t="s">
        <v>213</v>
      </c>
      <c r="C8" s="977">
        <v>9.9000000000000005E-2</v>
      </c>
      <c r="D8" s="977">
        <v>9.8000000000000004E-2</v>
      </c>
      <c r="E8" s="977">
        <v>9.8000000000000004E-2</v>
      </c>
      <c r="F8" s="978">
        <v>0.1</v>
      </c>
    </row>
    <row r="9" spans="1:6" ht="15" thickBot="1">
      <c r="A9" s="788" t="s">
        <v>212</v>
      </c>
      <c r="B9" s="783" t="s">
        <v>225</v>
      </c>
      <c r="C9" s="979">
        <v>0.05</v>
      </c>
      <c r="D9" s="987"/>
      <c r="E9" s="987"/>
      <c r="F9" s="988"/>
    </row>
    <row r="10" spans="1:6" ht="15" thickBot="1">
      <c r="A10" s="778" t="s">
        <v>269</v>
      </c>
      <c r="B10" s="779" t="s">
        <v>849</v>
      </c>
      <c r="C10" s="975">
        <v>8.8999999999999996E-2</v>
      </c>
      <c r="D10" s="975">
        <v>7.2999999999999995E-2</v>
      </c>
      <c r="E10" s="975">
        <v>8.2000000000000003E-2</v>
      </c>
      <c r="F10" s="976">
        <v>0.1</v>
      </c>
    </row>
    <row r="11" spans="1:6" ht="15" thickBot="1">
      <c r="A11" s="778" t="s">
        <v>269</v>
      </c>
      <c r="B11" s="782" t="s">
        <v>188</v>
      </c>
      <c r="C11" s="977">
        <v>8.8999999999999996E-2</v>
      </c>
      <c r="D11" s="977">
        <v>7.2999999999999995E-2</v>
      </c>
      <c r="E11" s="977">
        <v>8.2000000000000003E-2</v>
      </c>
      <c r="F11" s="978">
        <v>0.1</v>
      </c>
    </row>
    <row r="12" spans="1:6" ht="15" thickBot="1">
      <c r="A12" s="778" t="s">
        <v>269</v>
      </c>
      <c r="B12" s="782" t="s">
        <v>138</v>
      </c>
      <c r="C12" s="977">
        <v>6.0999999999999999E-2</v>
      </c>
      <c r="D12" s="977">
        <v>7.0999999999999994E-2</v>
      </c>
      <c r="E12" s="977">
        <v>9.6000000000000002E-2</v>
      </c>
      <c r="F12" s="978">
        <v>0.1</v>
      </c>
    </row>
    <row r="13" spans="1:6" ht="15" thickBot="1">
      <c r="A13" s="778" t="s">
        <v>269</v>
      </c>
      <c r="B13" s="782" t="s">
        <v>214</v>
      </c>
      <c r="C13" s="977">
        <v>6.9000000000000006E-2</v>
      </c>
      <c r="D13" s="977">
        <v>6.5000000000000002E-2</v>
      </c>
      <c r="E13" s="977">
        <v>6.6000000000000003E-2</v>
      </c>
      <c r="F13" s="978">
        <v>0.1</v>
      </c>
    </row>
    <row r="14" spans="1:6" ht="15" thickBot="1">
      <c r="A14" s="778" t="s">
        <v>269</v>
      </c>
      <c r="B14" s="782" t="s">
        <v>226</v>
      </c>
      <c r="C14" s="977">
        <v>0.1</v>
      </c>
      <c r="D14" s="977">
        <v>6.5000000000000002E-2</v>
      </c>
      <c r="E14" s="977">
        <v>7.0000000000000007E-2</v>
      </c>
      <c r="F14" s="978">
        <v>0.1</v>
      </c>
    </row>
    <row r="15" spans="1:6" ht="15" thickBot="1">
      <c r="A15" s="778" t="s">
        <v>269</v>
      </c>
      <c r="B15" s="782" t="s">
        <v>237</v>
      </c>
      <c r="C15" s="977">
        <v>9.8000000000000004E-2</v>
      </c>
      <c r="D15" s="977">
        <v>8.8999999999999996E-2</v>
      </c>
      <c r="E15" s="977">
        <v>8.8999999999999996E-2</v>
      </c>
      <c r="F15" s="978">
        <v>0.1</v>
      </c>
    </row>
    <row r="16" spans="1:6" ht="15" thickBot="1">
      <c r="A16" s="778" t="s">
        <v>269</v>
      </c>
      <c r="B16" s="782" t="s">
        <v>248</v>
      </c>
      <c r="C16" s="977">
        <v>7.0000000000000007E-2</v>
      </c>
      <c r="D16" s="977">
        <v>9.2999999999999999E-2</v>
      </c>
      <c r="E16" s="977">
        <v>9.6000000000000002E-2</v>
      </c>
      <c r="F16" s="978">
        <v>0.1</v>
      </c>
    </row>
    <row r="17" spans="1:6" ht="15" thickBot="1">
      <c r="A17" s="778" t="s">
        <v>269</v>
      </c>
      <c r="B17" s="782" t="s">
        <v>259</v>
      </c>
      <c r="C17" s="977">
        <v>9.5000000000000001E-2</v>
      </c>
      <c r="D17" s="977">
        <v>0.1</v>
      </c>
      <c r="E17" s="977">
        <v>0.1</v>
      </c>
      <c r="F17" s="989"/>
    </row>
    <row r="18" spans="1:6" ht="15" thickBot="1">
      <c r="A18" s="778" t="s">
        <v>269</v>
      </c>
      <c r="B18" s="782" t="s">
        <v>271</v>
      </c>
      <c r="C18" s="977">
        <v>7.3999999999999996E-2</v>
      </c>
      <c r="D18" s="977">
        <v>9.9000000000000005E-2</v>
      </c>
      <c r="E18" s="977">
        <v>0.1</v>
      </c>
      <c r="F18" s="989"/>
    </row>
    <row r="19" spans="1:6" ht="15" thickBot="1">
      <c r="A19" s="778" t="s">
        <v>269</v>
      </c>
      <c r="B19" s="782" t="s">
        <v>281</v>
      </c>
      <c r="C19" s="977">
        <v>9.9000000000000005E-2</v>
      </c>
      <c r="D19" s="977">
        <v>7.5999999999999998E-2</v>
      </c>
      <c r="E19" s="977">
        <v>8.6999999999999994E-2</v>
      </c>
      <c r="F19" s="989"/>
    </row>
    <row r="20" spans="1:6" ht="15" thickBot="1">
      <c r="A20" s="778" t="s">
        <v>269</v>
      </c>
      <c r="B20" s="782" t="s">
        <v>291</v>
      </c>
      <c r="C20" s="977">
        <v>9.8000000000000004E-2</v>
      </c>
      <c r="D20" s="977">
        <v>8.5000000000000006E-2</v>
      </c>
      <c r="E20" s="977">
        <v>8.2000000000000003E-2</v>
      </c>
      <c r="F20" s="989"/>
    </row>
    <row r="21" spans="1:6" ht="15" thickBot="1">
      <c r="A21" s="778" t="s">
        <v>269</v>
      </c>
      <c r="B21" s="782" t="s">
        <v>301</v>
      </c>
      <c r="C21" s="977">
        <v>6.6000000000000003E-2</v>
      </c>
      <c r="D21" s="977">
        <v>6.4000000000000001E-2</v>
      </c>
      <c r="E21" s="977">
        <v>6.5000000000000002E-2</v>
      </c>
      <c r="F21" s="989"/>
    </row>
    <row r="22" spans="1:6" ht="15" thickBot="1">
      <c r="A22" s="778" t="s">
        <v>269</v>
      </c>
      <c r="B22" s="782" t="s">
        <v>850</v>
      </c>
      <c r="C22" s="977">
        <v>0.08</v>
      </c>
      <c r="D22" s="977">
        <v>9.8000000000000004E-2</v>
      </c>
      <c r="E22" s="977">
        <v>9.8000000000000004E-2</v>
      </c>
      <c r="F22" s="989"/>
    </row>
    <row r="23" spans="1:6" ht="15" thickBot="1">
      <c r="A23" s="778" t="s">
        <v>269</v>
      </c>
      <c r="B23" s="782" t="s">
        <v>322</v>
      </c>
      <c r="C23" s="977">
        <v>9.9000000000000005E-2</v>
      </c>
      <c r="D23" s="977">
        <v>9.8000000000000004E-2</v>
      </c>
      <c r="E23" s="977">
        <v>9.0999999999999998E-2</v>
      </c>
      <c r="F23" s="989"/>
    </row>
    <row r="24" spans="1:6" ht="15" thickBot="1">
      <c r="A24" s="778" t="s">
        <v>269</v>
      </c>
      <c r="B24" s="782" t="s">
        <v>333</v>
      </c>
      <c r="C24" s="977">
        <v>8.8999999999999996E-2</v>
      </c>
      <c r="D24" s="977">
        <v>9.7000000000000003E-2</v>
      </c>
      <c r="E24" s="977">
        <v>7.0000000000000007E-2</v>
      </c>
      <c r="F24" s="989"/>
    </row>
    <row r="25" spans="1:6" ht="15" thickBot="1">
      <c r="A25" s="778" t="s">
        <v>269</v>
      </c>
      <c r="B25" s="782" t="s">
        <v>343</v>
      </c>
      <c r="C25" s="977">
        <v>8.8999999999999996E-2</v>
      </c>
      <c r="D25" s="977">
        <v>0.1</v>
      </c>
      <c r="E25" s="977">
        <v>8.1000000000000003E-2</v>
      </c>
      <c r="F25" s="989"/>
    </row>
    <row r="26" spans="1:6" ht="15" thickBot="1">
      <c r="A26" s="778" t="s">
        <v>269</v>
      </c>
      <c r="B26" s="782" t="s">
        <v>353</v>
      </c>
      <c r="C26" s="990"/>
      <c r="D26" s="977">
        <v>9.6000000000000002E-2</v>
      </c>
      <c r="E26" s="977">
        <v>9.2999999999999999E-2</v>
      </c>
      <c r="F26" s="989"/>
    </row>
    <row r="27" spans="1:6" ht="15" thickBot="1">
      <c r="A27" s="778" t="s">
        <v>269</v>
      </c>
      <c r="B27" s="782" t="s">
        <v>363</v>
      </c>
      <c r="C27" s="990"/>
      <c r="D27" s="977">
        <v>7.5999999999999998E-2</v>
      </c>
      <c r="E27" s="977">
        <v>9.1999999999999998E-2</v>
      </c>
      <c r="F27" s="989"/>
    </row>
    <row r="28" spans="1:6" ht="15" thickBot="1">
      <c r="A28" s="788" t="s">
        <v>269</v>
      </c>
      <c r="B28" s="783" t="s">
        <v>373</v>
      </c>
      <c r="C28" s="987"/>
      <c r="D28" s="979">
        <v>7.5999999999999998E-2</v>
      </c>
      <c r="E28" s="979">
        <v>9.1999999999999998E-2</v>
      </c>
      <c r="F28" s="988"/>
    </row>
    <row r="29" spans="1:6" ht="15" thickBot="1">
      <c r="A29" s="778" t="s">
        <v>442</v>
      </c>
      <c r="B29" s="779" t="s">
        <v>851</v>
      </c>
      <c r="C29" s="975">
        <v>6.4000000000000001E-2</v>
      </c>
      <c r="D29" s="975">
        <v>6.5000000000000002E-2</v>
      </c>
      <c r="E29" s="975">
        <v>6.9000000000000006E-2</v>
      </c>
      <c r="F29" s="976">
        <v>0.1</v>
      </c>
    </row>
    <row r="30" spans="1:6" ht="15" thickBot="1">
      <c r="A30" s="778" t="s">
        <v>442</v>
      </c>
      <c r="B30" s="782" t="s">
        <v>189</v>
      </c>
      <c r="C30" s="977">
        <v>6.4000000000000001E-2</v>
      </c>
      <c r="D30" s="977">
        <v>9.9000000000000005E-2</v>
      </c>
      <c r="E30" s="977">
        <v>0.1</v>
      </c>
      <c r="F30" s="978">
        <v>0.1</v>
      </c>
    </row>
    <row r="31" spans="1:6" ht="15" thickBot="1">
      <c r="A31" s="778" t="s">
        <v>442</v>
      </c>
      <c r="B31" s="782" t="s">
        <v>202</v>
      </c>
      <c r="C31" s="977">
        <v>0.1</v>
      </c>
      <c r="D31" s="977">
        <v>9.5000000000000001E-2</v>
      </c>
      <c r="E31" s="977">
        <v>8.8999999999999996E-2</v>
      </c>
      <c r="F31" s="978">
        <v>0.1</v>
      </c>
    </row>
    <row r="32" spans="1:6" ht="15" thickBot="1">
      <c r="A32" s="778" t="s">
        <v>442</v>
      </c>
      <c r="B32" s="782" t="s">
        <v>215</v>
      </c>
      <c r="C32" s="977">
        <v>0.05</v>
      </c>
      <c r="D32" s="977">
        <v>0.05</v>
      </c>
      <c r="E32" s="977">
        <v>8.7999999999999995E-2</v>
      </c>
      <c r="F32" s="978">
        <v>0.1</v>
      </c>
    </row>
    <row r="33" spans="1:6" ht="15" thickBot="1">
      <c r="A33" s="778" t="s">
        <v>442</v>
      </c>
      <c r="B33" s="782" t="s">
        <v>227</v>
      </c>
      <c r="C33" s="977">
        <v>7.4999999999999997E-2</v>
      </c>
      <c r="D33" s="977">
        <v>9.4E-2</v>
      </c>
      <c r="E33" s="977">
        <v>9.7000000000000003E-2</v>
      </c>
      <c r="F33" s="978">
        <v>0.1</v>
      </c>
    </row>
    <row r="34" spans="1:6" ht="15" thickBot="1">
      <c r="A34" s="778" t="s">
        <v>442</v>
      </c>
      <c r="B34" s="782" t="s">
        <v>238</v>
      </c>
      <c r="C34" s="977">
        <v>9.8000000000000004E-2</v>
      </c>
      <c r="D34" s="977">
        <v>8.5999999999999993E-2</v>
      </c>
      <c r="E34" s="977">
        <v>9.7000000000000003E-2</v>
      </c>
      <c r="F34" s="978">
        <v>0.1</v>
      </c>
    </row>
    <row r="35" spans="1:6" ht="15" thickBot="1">
      <c r="A35" s="778" t="s">
        <v>442</v>
      </c>
      <c r="B35" s="782" t="s">
        <v>249</v>
      </c>
      <c r="C35" s="977">
        <v>5.8999999999999997E-2</v>
      </c>
      <c r="D35" s="977">
        <v>6.5000000000000002E-2</v>
      </c>
      <c r="E35" s="977">
        <v>7.0000000000000007E-2</v>
      </c>
      <c r="F35" s="978">
        <v>0.1</v>
      </c>
    </row>
    <row r="36" spans="1:6" ht="15" thickBot="1">
      <c r="A36" s="778" t="s">
        <v>442</v>
      </c>
      <c r="B36" s="782" t="s">
        <v>260</v>
      </c>
      <c r="C36" s="977">
        <v>6.3E-2</v>
      </c>
      <c r="D36" s="977">
        <v>0.1</v>
      </c>
      <c r="E36" s="977">
        <v>0.1</v>
      </c>
      <c r="F36" s="978">
        <v>0.1</v>
      </c>
    </row>
    <row r="37" spans="1:6" ht="15" thickBot="1">
      <c r="A37" s="778" t="s">
        <v>442</v>
      </c>
      <c r="B37" s="782" t="s">
        <v>272</v>
      </c>
      <c r="C37" s="977">
        <v>7.3999999999999996E-2</v>
      </c>
      <c r="D37" s="977">
        <v>0.1</v>
      </c>
      <c r="E37" s="977">
        <v>0.1</v>
      </c>
      <c r="F37" s="978">
        <v>0.1</v>
      </c>
    </row>
    <row r="38" spans="1:6" ht="15" thickBot="1">
      <c r="A38" s="778" t="s">
        <v>442</v>
      </c>
      <c r="B38" s="782" t="s">
        <v>282</v>
      </c>
      <c r="C38" s="977">
        <v>0.1</v>
      </c>
      <c r="D38" s="977">
        <v>9.6000000000000002E-2</v>
      </c>
      <c r="E38" s="977">
        <v>9.6000000000000002E-2</v>
      </c>
      <c r="F38" s="989"/>
    </row>
    <row r="39" spans="1:6" ht="15" thickBot="1">
      <c r="A39" s="778" t="s">
        <v>442</v>
      </c>
      <c r="B39" s="782" t="s">
        <v>292</v>
      </c>
      <c r="C39" s="977">
        <v>0.1</v>
      </c>
      <c r="D39" s="977">
        <v>9.6000000000000002E-2</v>
      </c>
      <c r="E39" s="977">
        <v>9.6000000000000002E-2</v>
      </c>
      <c r="F39" s="989"/>
    </row>
    <row r="40" spans="1:6" ht="15" thickBot="1">
      <c r="A40" s="778" t="s">
        <v>442</v>
      </c>
      <c r="B40" s="782" t="s">
        <v>302</v>
      </c>
      <c r="C40" s="977">
        <v>9.6000000000000002E-2</v>
      </c>
      <c r="D40" s="977">
        <v>0.1</v>
      </c>
      <c r="E40" s="977">
        <v>9.9000000000000005E-2</v>
      </c>
      <c r="F40" s="989"/>
    </row>
    <row r="41" spans="1:6" ht="15" thickBot="1">
      <c r="A41" s="778" t="s">
        <v>442</v>
      </c>
      <c r="B41" s="782" t="s">
        <v>312</v>
      </c>
      <c r="C41" s="977">
        <v>9.6000000000000002E-2</v>
      </c>
      <c r="D41" s="977">
        <v>9.8000000000000004E-2</v>
      </c>
      <c r="E41" s="977">
        <v>9.8000000000000004E-2</v>
      </c>
      <c r="F41" s="989"/>
    </row>
    <row r="42" spans="1:6" ht="15" thickBot="1">
      <c r="A42" s="778" t="s">
        <v>442</v>
      </c>
      <c r="B42" s="782" t="s">
        <v>323</v>
      </c>
      <c r="C42" s="977">
        <v>0.1</v>
      </c>
      <c r="D42" s="977">
        <v>8.7999999999999995E-2</v>
      </c>
      <c r="E42" s="977">
        <v>0.1</v>
      </c>
      <c r="F42" s="989"/>
    </row>
    <row r="43" spans="1:6" ht="15" thickBot="1">
      <c r="A43" s="778" t="s">
        <v>442</v>
      </c>
      <c r="B43" s="782" t="s">
        <v>334</v>
      </c>
      <c r="C43" s="977">
        <v>9.8000000000000004E-2</v>
      </c>
      <c r="D43" s="977">
        <v>9.7000000000000003E-2</v>
      </c>
      <c r="E43" s="977">
        <v>9.6000000000000002E-2</v>
      </c>
      <c r="F43" s="989"/>
    </row>
    <row r="44" spans="1:6" ht="15" thickBot="1">
      <c r="A44" s="778" t="s">
        <v>442</v>
      </c>
      <c r="B44" s="782" t="s">
        <v>344</v>
      </c>
      <c r="C44" s="977">
        <v>8.5999999999999993E-2</v>
      </c>
      <c r="D44" s="977">
        <v>7.9000000000000001E-2</v>
      </c>
      <c r="E44" s="977">
        <v>7.0999999999999994E-2</v>
      </c>
      <c r="F44" s="989"/>
    </row>
    <row r="45" spans="1:6" ht="15" thickBot="1">
      <c r="A45" s="778" t="s">
        <v>442</v>
      </c>
      <c r="B45" s="782" t="s">
        <v>354</v>
      </c>
      <c r="C45" s="977">
        <v>9.8000000000000004E-2</v>
      </c>
      <c r="D45" s="977">
        <v>9.6000000000000002E-2</v>
      </c>
      <c r="E45" s="977">
        <v>9.6000000000000002E-2</v>
      </c>
      <c r="F45" s="989"/>
    </row>
    <row r="46" spans="1:6" ht="15" thickBot="1">
      <c r="A46" s="778" t="s">
        <v>442</v>
      </c>
      <c r="B46" s="782" t="s">
        <v>364</v>
      </c>
      <c r="C46" s="977">
        <v>8.5999999999999993E-2</v>
      </c>
      <c r="D46" s="977">
        <v>9.8000000000000004E-2</v>
      </c>
      <c r="E46" s="977">
        <v>8.7999999999999995E-2</v>
      </c>
      <c r="F46" s="989"/>
    </row>
    <row r="47" spans="1:6" ht="15" thickBot="1">
      <c r="A47" s="778" t="s">
        <v>442</v>
      </c>
      <c r="B47" s="782" t="s">
        <v>374</v>
      </c>
      <c r="C47" s="977">
        <v>9.6000000000000002E-2</v>
      </c>
      <c r="D47" s="990"/>
      <c r="E47" s="977">
        <v>6.9000000000000006E-2</v>
      </c>
      <c r="F47" s="989"/>
    </row>
    <row r="48" spans="1:6" ht="15" thickBot="1">
      <c r="A48" s="788" t="s">
        <v>442</v>
      </c>
      <c r="B48" s="783" t="s">
        <v>383</v>
      </c>
      <c r="C48" s="979">
        <v>9.8000000000000004E-2</v>
      </c>
      <c r="D48" s="987"/>
      <c r="E48" s="979">
        <v>9.5000000000000001E-2</v>
      </c>
      <c r="F48" s="988"/>
    </row>
    <row r="49" spans="1:6" ht="15" thickBot="1">
      <c r="A49" s="778" t="s">
        <v>137</v>
      </c>
      <c r="B49" s="779" t="s">
        <v>852</v>
      </c>
      <c r="C49" s="975">
        <v>9.7000000000000003E-2</v>
      </c>
      <c r="D49" s="975">
        <v>9.5000000000000001E-2</v>
      </c>
      <c r="E49" s="975">
        <v>9.7000000000000003E-2</v>
      </c>
      <c r="F49" s="976">
        <v>0.1</v>
      </c>
    </row>
    <row r="50" spans="1:6" ht="15" thickBot="1">
      <c r="A50" s="778" t="s">
        <v>137</v>
      </c>
      <c r="B50" s="772" t="s">
        <v>190</v>
      </c>
      <c r="C50" s="977">
        <v>7.4999999999999997E-2</v>
      </c>
      <c r="D50" s="977">
        <v>9.5000000000000001E-2</v>
      </c>
      <c r="E50" s="977">
        <v>0.1</v>
      </c>
      <c r="F50" s="978">
        <v>0.1</v>
      </c>
    </row>
    <row r="51" spans="1:6" ht="15" thickBot="1">
      <c r="A51" s="778" t="s">
        <v>137</v>
      </c>
      <c r="B51" s="772" t="s">
        <v>203</v>
      </c>
      <c r="C51" s="977">
        <v>9.8000000000000004E-2</v>
      </c>
      <c r="D51" s="977">
        <v>8.8999999999999996E-2</v>
      </c>
      <c r="E51" s="977">
        <v>0.1</v>
      </c>
      <c r="F51" s="978">
        <v>0.1</v>
      </c>
    </row>
    <row r="52" spans="1:6" ht="15" thickBot="1">
      <c r="A52" s="778" t="s">
        <v>137</v>
      </c>
      <c r="B52" s="772" t="s">
        <v>216</v>
      </c>
      <c r="C52" s="977">
        <v>9.8000000000000004E-2</v>
      </c>
      <c r="D52" s="977">
        <v>9.7000000000000003E-2</v>
      </c>
      <c r="E52" s="977">
        <v>8.1000000000000003E-2</v>
      </c>
      <c r="F52" s="978">
        <v>0.1</v>
      </c>
    </row>
    <row r="53" spans="1:6" ht="15" thickBot="1">
      <c r="A53" s="778" t="s">
        <v>137</v>
      </c>
      <c r="B53" s="772" t="s">
        <v>228</v>
      </c>
      <c r="C53" s="977">
        <v>9.7000000000000003E-2</v>
      </c>
      <c r="D53" s="977">
        <v>7.5999999999999998E-2</v>
      </c>
      <c r="E53" s="977">
        <v>7.0999999999999994E-2</v>
      </c>
      <c r="F53" s="978">
        <v>0.1</v>
      </c>
    </row>
    <row r="54" spans="1:6" ht="15" thickBot="1">
      <c r="A54" s="778" t="s">
        <v>137</v>
      </c>
      <c r="B54" s="772" t="s">
        <v>239</v>
      </c>
      <c r="C54" s="977">
        <v>7.5999999999999998E-2</v>
      </c>
      <c r="D54" s="977">
        <v>0.1</v>
      </c>
      <c r="E54" s="977">
        <v>9.9000000000000005E-2</v>
      </c>
      <c r="F54" s="978">
        <v>0.1</v>
      </c>
    </row>
    <row r="55" spans="1:6" ht="15" thickBot="1">
      <c r="A55" s="778" t="s">
        <v>137</v>
      </c>
      <c r="B55" s="772" t="s">
        <v>250</v>
      </c>
      <c r="C55" s="977">
        <v>0.1</v>
      </c>
      <c r="D55" s="977">
        <v>0.1</v>
      </c>
      <c r="E55" s="977">
        <v>9.6000000000000002E-2</v>
      </c>
      <c r="F55" s="978">
        <v>0.1</v>
      </c>
    </row>
    <row r="56" spans="1:6" ht="15" thickBot="1">
      <c r="A56" s="778" t="s">
        <v>137</v>
      </c>
      <c r="B56" s="772" t="s">
        <v>261</v>
      </c>
      <c r="C56" s="977">
        <v>0.1</v>
      </c>
      <c r="D56" s="977">
        <v>9.6000000000000002E-2</v>
      </c>
      <c r="E56" s="977">
        <v>5.1999999999999998E-2</v>
      </c>
      <c r="F56" s="978">
        <v>0.1</v>
      </c>
    </row>
    <row r="57" spans="1:6" ht="15" thickBot="1">
      <c r="A57" s="778" t="s">
        <v>137</v>
      </c>
      <c r="B57" s="772" t="s">
        <v>273</v>
      </c>
      <c r="C57" s="977">
        <v>9.7000000000000003E-2</v>
      </c>
      <c r="D57" s="977">
        <v>9.6000000000000002E-2</v>
      </c>
      <c r="E57" s="977">
        <v>9.6000000000000002E-2</v>
      </c>
      <c r="F57" s="978">
        <v>0.1</v>
      </c>
    </row>
    <row r="58" spans="1:6" ht="15" thickBot="1">
      <c r="A58" s="778" t="s">
        <v>137</v>
      </c>
      <c r="B58" s="772" t="s">
        <v>283</v>
      </c>
      <c r="C58" s="977">
        <v>9.6000000000000002E-2</v>
      </c>
      <c r="D58" s="977">
        <v>9.9000000000000005E-2</v>
      </c>
      <c r="E58" s="977">
        <v>9.6000000000000002E-2</v>
      </c>
      <c r="F58" s="978">
        <v>0.1</v>
      </c>
    </row>
    <row r="59" spans="1:6" ht="15" thickBot="1">
      <c r="A59" s="778" t="s">
        <v>137</v>
      </c>
      <c r="B59" s="772" t="s">
        <v>293</v>
      </c>
      <c r="C59" s="977">
        <v>7.1999999999999995E-2</v>
      </c>
      <c r="D59" s="977">
        <v>9.6000000000000002E-2</v>
      </c>
      <c r="E59" s="977">
        <v>7.0999999999999994E-2</v>
      </c>
      <c r="F59" s="978">
        <v>0.1</v>
      </c>
    </row>
    <row r="60" spans="1:6" ht="15" thickBot="1">
      <c r="A60" s="778" t="s">
        <v>137</v>
      </c>
      <c r="B60" s="772" t="s">
        <v>303</v>
      </c>
      <c r="C60" s="977">
        <v>9.6000000000000002E-2</v>
      </c>
      <c r="D60" s="977">
        <v>8.8999999999999996E-2</v>
      </c>
      <c r="E60" s="977">
        <v>9.6000000000000002E-2</v>
      </c>
      <c r="F60" s="978">
        <v>0.1</v>
      </c>
    </row>
    <row r="61" spans="1:6" ht="15" thickBot="1">
      <c r="A61" s="778" t="s">
        <v>137</v>
      </c>
      <c r="B61" s="772" t="s">
        <v>313</v>
      </c>
      <c r="C61" s="977">
        <v>8.8999999999999996E-2</v>
      </c>
      <c r="D61" s="977">
        <v>9.8000000000000004E-2</v>
      </c>
      <c r="E61" s="977">
        <v>8.7999999999999995E-2</v>
      </c>
      <c r="F61" s="989"/>
    </row>
    <row r="62" spans="1:6" ht="15" thickBot="1">
      <c r="A62" s="778" t="s">
        <v>137</v>
      </c>
      <c r="B62" s="772" t="s">
        <v>324</v>
      </c>
      <c r="C62" s="977">
        <v>9.8000000000000004E-2</v>
      </c>
      <c r="D62" s="977">
        <v>9.2999999999999999E-2</v>
      </c>
      <c r="E62" s="977">
        <v>9.7000000000000003E-2</v>
      </c>
      <c r="F62" s="989"/>
    </row>
    <row r="63" spans="1:6" ht="15" thickBot="1">
      <c r="A63" s="778" t="s">
        <v>137</v>
      </c>
      <c r="B63" s="772" t="s">
        <v>335</v>
      </c>
      <c r="C63" s="977">
        <v>9.6000000000000002E-2</v>
      </c>
      <c r="D63" s="977">
        <v>9.8000000000000004E-2</v>
      </c>
      <c r="E63" s="977">
        <v>0.09</v>
      </c>
      <c r="F63" s="989"/>
    </row>
    <row r="64" spans="1:6" ht="15" thickBot="1">
      <c r="A64" s="778" t="s">
        <v>137</v>
      </c>
      <c r="B64" s="772" t="s">
        <v>345</v>
      </c>
      <c r="C64" s="977">
        <v>9.9000000000000005E-2</v>
      </c>
      <c r="D64" s="977">
        <v>9.7000000000000003E-2</v>
      </c>
      <c r="E64" s="977">
        <v>9.9000000000000005E-2</v>
      </c>
      <c r="F64" s="989"/>
    </row>
    <row r="65" spans="1:6" ht="15" thickBot="1">
      <c r="A65" s="778" t="s">
        <v>137</v>
      </c>
      <c r="B65" s="772" t="s">
        <v>355</v>
      </c>
      <c r="C65" s="977">
        <v>9.8000000000000004E-2</v>
      </c>
      <c r="D65" s="977">
        <v>9.6000000000000002E-2</v>
      </c>
      <c r="E65" s="977">
        <v>9.6000000000000002E-2</v>
      </c>
      <c r="F65" s="989"/>
    </row>
    <row r="66" spans="1:6" ht="15" thickBot="1">
      <c r="A66" s="778" t="s">
        <v>137</v>
      </c>
      <c r="B66" s="772" t="s">
        <v>365</v>
      </c>
      <c r="C66" s="977">
        <v>9.6000000000000002E-2</v>
      </c>
      <c r="D66" s="977">
        <v>9.1999999999999998E-2</v>
      </c>
      <c r="E66" s="977">
        <v>9.6000000000000002E-2</v>
      </c>
      <c r="F66" s="989"/>
    </row>
    <row r="67" spans="1:6" ht="15" thickBot="1">
      <c r="A67" s="778" t="s">
        <v>137</v>
      </c>
      <c r="B67" s="772" t="s">
        <v>375</v>
      </c>
      <c r="C67" s="977">
        <v>9.4E-2</v>
      </c>
      <c r="D67" s="977">
        <v>0.1</v>
      </c>
      <c r="E67" s="977">
        <v>8.7999999999999995E-2</v>
      </c>
      <c r="F67" s="989"/>
    </row>
    <row r="68" spans="1:6" ht="15" thickBot="1">
      <c r="A68" s="778" t="s">
        <v>137</v>
      </c>
      <c r="B68" s="772" t="s">
        <v>384</v>
      </c>
      <c r="C68" s="977">
        <v>0.1</v>
      </c>
      <c r="D68" s="977">
        <v>8.7999999999999995E-2</v>
      </c>
      <c r="E68" s="977">
        <v>9.7000000000000003E-2</v>
      </c>
      <c r="F68" s="989"/>
    </row>
    <row r="69" spans="1:6" ht="15" thickBot="1">
      <c r="A69" s="778" t="s">
        <v>137</v>
      </c>
      <c r="B69" s="772" t="s">
        <v>393</v>
      </c>
      <c r="C69" s="977">
        <v>6.4000000000000001E-2</v>
      </c>
      <c r="D69" s="977">
        <v>0.1</v>
      </c>
      <c r="E69" s="977">
        <v>0.1</v>
      </c>
      <c r="F69" s="989"/>
    </row>
    <row r="70" spans="1:6" ht="15" thickBot="1">
      <c r="A70" s="778" t="s">
        <v>137</v>
      </c>
      <c r="B70" s="772" t="s">
        <v>401</v>
      </c>
      <c r="C70" s="977">
        <v>9.0999999999999998E-2</v>
      </c>
      <c r="D70" s="990"/>
      <c r="E70" s="990"/>
      <c r="F70" s="989"/>
    </row>
    <row r="71" spans="1:6" ht="15" thickBot="1">
      <c r="A71" s="778" t="s">
        <v>137</v>
      </c>
      <c r="B71" s="772" t="s">
        <v>408</v>
      </c>
      <c r="C71" s="977">
        <v>0.1</v>
      </c>
      <c r="D71" s="990"/>
      <c r="E71" s="990"/>
      <c r="F71" s="989"/>
    </row>
    <row r="72" spans="1:6" ht="24.6" thickBot="1">
      <c r="A72" s="778" t="s">
        <v>137</v>
      </c>
      <c r="B72" s="772" t="s">
        <v>853</v>
      </c>
      <c r="C72" s="990"/>
      <c r="D72" s="990"/>
      <c r="E72" s="990"/>
      <c r="F72" s="978">
        <v>0.05</v>
      </c>
    </row>
    <row r="73" spans="1:6" ht="24.6" thickBot="1">
      <c r="A73" s="778" t="s">
        <v>137</v>
      </c>
      <c r="B73" s="772" t="s">
        <v>854</v>
      </c>
      <c r="C73" s="990"/>
      <c r="D73" s="990"/>
      <c r="E73" s="990"/>
      <c r="F73" s="978">
        <v>0.05</v>
      </c>
    </row>
    <row r="74" spans="1:6" ht="24.6" thickBot="1">
      <c r="A74" s="778" t="s">
        <v>137</v>
      </c>
      <c r="B74" s="772" t="s">
        <v>855</v>
      </c>
      <c r="C74" s="990"/>
      <c r="D74" s="990"/>
      <c r="E74" s="990"/>
      <c r="F74" s="978">
        <v>0.05</v>
      </c>
    </row>
    <row r="75" spans="1:6" ht="24.6" thickBot="1">
      <c r="A75" s="788" t="s">
        <v>137</v>
      </c>
      <c r="B75" s="784" t="s">
        <v>856</v>
      </c>
      <c r="C75" s="987"/>
      <c r="D75" s="987"/>
      <c r="E75" s="987"/>
      <c r="F75" s="980">
        <v>0.05</v>
      </c>
    </row>
    <row r="76" spans="1:6" ht="15" thickBot="1">
      <c r="A76" s="778" t="s">
        <v>523</v>
      </c>
      <c r="B76" s="779" t="s">
        <v>857</v>
      </c>
      <c r="C76" s="975">
        <v>0.1</v>
      </c>
      <c r="D76" s="975">
        <v>0.1</v>
      </c>
      <c r="E76" s="975">
        <v>0.1</v>
      </c>
      <c r="F76" s="976">
        <v>0.1</v>
      </c>
    </row>
    <row r="77" spans="1:6" ht="15" thickBot="1">
      <c r="A77" s="778" t="s">
        <v>523</v>
      </c>
      <c r="B77" s="772" t="s">
        <v>191</v>
      </c>
      <c r="C77" s="977">
        <v>8.7999999999999995E-2</v>
      </c>
      <c r="D77" s="977">
        <v>8.6999999999999994E-2</v>
      </c>
      <c r="E77" s="977">
        <v>7.9000000000000001E-2</v>
      </c>
      <c r="F77" s="978">
        <v>0.1</v>
      </c>
    </row>
    <row r="78" spans="1:6" ht="15" thickBot="1">
      <c r="A78" s="778" t="s">
        <v>523</v>
      </c>
      <c r="B78" s="772" t="s">
        <v>204</v>
      </c>
      <c r="C78" s="977">
        <v>8.6999999999999994E-2</v>
      </c>
      <c r="D78" s="977">
        <v>8.4000000000000005E-2</v>
      </c>
      <c r="E78" s="977">
        <v>9.6000000000000002E-2</v>
      </c>
      <c r="F78" s="978">
        <v>0.1</v>
      </c>
    </row>
    <row r="79" spans="1:6" ht="15" thickBot="1">
      <c r="A79" s="778" t="s">
        <v>523</v>
      </c>
      <c r="B79" s="772" t="s">
        <v>217</v>
      </c>
      <c r="C79" s="977">
        <v>9.8000000000000004E-2</v>
      </c>
      <c r="D79" s="977">
        <v>9.8000000000000004E-2</v>
      </c>
      <c r="E79" s="977">
        <v>9.0999999999999998E-2</v>
      </c>
      <c r="F79" s="978">
        <v>0.1</v>
      </c>
    </row>
    <row r="80" spans="1:6" ht="15" thickBot="1">
      <c r="A80" s="778" t="s">
        <v>523</v>
      </c>
      <c r="B80" s="772" t="s">
        <v>229</v>
      </c>
      <c r="C80" s="977">
        <v>9.6000000000000002E-2</v>
      </c>
      <c r="D80" s="977">
        <v>9.6000000000000002E-2</v>
      </c>
      <c r="E80" s="977">
        <v>0.1</v>
      </c>
      <c r="F80" s="978">
        <v>0.1</v>
      </c>
    </row>
    <row r="81" spans="1:6" ht="15" thickBot="1">
      <c r="A81" s="778" t="s">
        <v>523</v>
      </c>
      <c r="B81" s="772" t="s">
        <v>240</v>
      </c>
      <c r="C81" s="977">
        <v>9.9000000000000005E-2</v>
      </c>
      <c r="D81" s="977">
        <v>9.9000000000000005E-2</v>
      </c>
      <c r="E81" s="977">
        <v>9.8000000000000004E-2</v>
      </c>
      <c r="F81" s="978">
        <v>0.1</v>
      </c>
    </row>
    <row r="82" spans="1:6" ht="15" thickBot="1">
      <c r="A82" s="778" t="s">
        <v>523</v>
      </c>
      <c r="B82" s="772" t="s">
        <v>251</v>
      </c>
      <c r="C82" s="977">
        <v>9.9000000000000005E-2</v>
      </c>
      <c r="D82" s="977">
        <v>9.9000000000000005E-2</v>
      </c>
      <c r="E82" s="977">
        <v>9.7000000000000003E-2</v>
      </c>
      <c r="F82" s="978">
        <v>0.1</v>
      </c>
    </row>
    <row r="83" spans="1:6" ht="15" thickBot="1">
      <c r="A83" s="778" t="s">
        <v>523</v>
      </c>
      <c r="B83" s="772" t="s">
        <v>262</v>
      </c>
      <c r="C83" s="977">
        <v>9.8000000000000004E-2</v>
      </c>
      <c r="D83" s="977">
        <v>9.8000000000000004E-2</v>
      </c>
      <c r="E83" s="977">
        <v>9.8000000000000004E-2</v>
      </c>
      <c r="F83" s="978">
        <v>0.1</v>
      </c>
    </row>
    <row r="84" spans="1:6" ht="15" thickBot="1">
      <c r="A84" s="778" t="s">
        <v>523</v>
      </c>
      <c r="B84" s="772" t="s">
        <v>274</v>
      </c>
      <c r="C84" s="977">
        <v>9.9000000000000005E-2</v>
      </c>
      <c r="D84" s="977">
        <v>9.9000000000000005E-2</v>
      </c>
      <c r="E84" s="977">
        <v>9.9000000000000005E-2</v>
      </c>
      <c r="F84" s="978">
        <v>0.1</v>
      </c>
    </row>
    <row r="85" spans="1:6" ht="15" thickBot="1">
      <c r="A85" s="778" t="s">
        <v>523</v>
      </c>
      <c r="B85" s="772" t="s">
        <v>284</v>
      </c>
      <c r="C85" s="977">
        <v>9.9000000000000005E-2</v>
      </c>
      <c r="D85" s="977">
        <v>9.9000000000000005E-2</v>
      </c>
      <c r="E85" s="977">
        <v>9.9000000000000005E-2</v>
      </c>
      <c r="F85" s="978">
        <v>0.1</v>
      </c>
    </row>
    <row r="86" spans="1:6" ht="15" thickBot="1">
      <c r="A86" s="778" t="s">
        <v>523</v>
      </c>
      <c r="B86" s="772" t="s">
        <v>294</v>
      </c>
      <c r="C86" s="977">
        <v>0.1</v>
      </c>
      <c r="D86" s="977">
        <v>0.1</v>
      </c>
      <c r="E86" s="977">
        <v>7.6999999999999999E-2</v>
      </c>
      <c r="F86" s="978">
        <v>0.1</v>
      </c>
    </row>
    <row r="87" spans="1:6" ht="15" thickBot="1">
      <c r="A87" s="778" t="s">
        <v>523</v>
      </c>
      <c r="B87" s="772" t="s">
        <v>304</v>
      </c>
      <c r="C87" s="977">
        <v>0.1</v>
      </c>
      <c r="D87" s="977">
        <v>0.1</v>
      </c>
      <c r="E87" s="977">
        <v>9.8000000000000004E-2</v>
      </c>
      <c r="F87" s="989"/>
    </row>
    <row r="88" spans="1:6" ht="15" thickBot="1">
      <c r="A88" s="778" t="s">
        <v>523</v>
      </c>
      <c r="B88" s="772" t="s">
        <v>314</v>
      </c>
      <c r="C88" s="977">
        <v>9.1999999999999998E-2</v>
      </c>
      <c r="D88" s="977">
        <v>8.5000000000000006E-2</v>
      </c>
      <c r="E88" s="977">
        <v>9.6000000000000002E-2</v>
      </c>
      <c r="F88" s="989"/>
    </row>
    <row r="89" spans="1:6" ht="15" thickBot="1">
      <c r="A89" s="778" t="s">
        <v>523</v>
      </c>
      <c r="B89" s="772" t="s">
        <v>325</v>
      </c>
      <c r="C89" s="977">
        <v>0.1</v>
      </c>
      <c r="D89" s="977">
        <v>0.1</v>
      </c>
      <c r="E89" s="977">
        <v>9.7000000000000003E-2</v>
      </c>
      <c r="F89" s="989"/>
    </row>
    <row r="90" spans="1:6" ht="15" thickBot="1">
      <c r="A90" s="778" t="s">
        <v>523</v>
      </c>
      <c r="B90" s="772" t="s">
        <v>336</v>
      </c>
      <c r="C90" s="977">
        <v>9.8000000000000004E-2</v>
      </c>
      <c r="D90" s="977">
        <v>9.8000000000000004E-2</v>
      </c>
      <c r="E90" s="977">
        <v>8.7999999999999995E-2</v>
      </c>
      <c r="F90" s="989"/>
    </row>
    <row r="91" spans="1:6" ht="15" thickBot="1">
      <c r="A91" s="778" t="s">
        <v>523</v>
      </c>
      <c r="B91" s="772" t="s">
        <v>346</v>
      </c>
      <c r="C91" s="977">
        <v>9.9000000000000005E-2</v>
      </c>
      <c r="D91" s="977">
        <v>9.9000000000000005E-2</v>
      </c>
      <c r="E91" s="977">
        <v>9.0999999999999998E-2</v>
      </c>
      <c r="F91" s="989"/>
    </row>
    <row r="92" spans="1:6" ht="15" thickBot="1">
      <c r="A92" s="778" t="s">
        <v>523</v>
      </c>
      <c r="B92" s="772" t="s">
        <v>356</v>
      </c>
      <c r="C92" s="977">
        <v>9.6000000000000002E-2</v>
      </c>
      <c r="D92" s="977">
        <v>9.6000000000000002E-2</v>
      </c>
      <c r="E92" s="977">
        <v>7.2999999999999995E-2</v>
      </c>
      <c r="F92" s="989"/>
    </row>
    <row r="93" spans="1:6" ht="15" thickBot="1">
      <c r="A93" s="778" t="s">
        <v>523</v>
      </c>
      <c r="B93" s="772" t="s">
        <v>366</v>
      </c>
      <c r="C93" s="977">
        <v>9.6000000000000002E-2</v>
      </c>
      <c r="D93" s="977">
        <v>9.6000000000000002E-2</v>
      </c>
      <c r="E93" s="977">
        <v>9.9000000000000005E-2</v>
      </c>
      <c r="F93" s="989"/>
    </row>
    <row r="94" spans="1:6" ht="15" thickBot="1">
      <c r="A94" s="778" t="s">
        <v>523</v>
      </c>
      <c r="B94" s="772" t="s">
        <v>376</v>
      </c>
      <c r="C94" s="977">
        <v>7.5999999999999998E-2</v>
      </c>
      <c r="D94" s="977">
        <v>7.3999999999999996E-2</v>
      </c>
      <c r="E94" s="977">
        <v>9.7000000000000003E-2</v>
      </c>
      <c r="F94" s="989"/>
    </row>
    <row r="95" spans="1:6" ht="15" thickBot="1">
      <c r="A95" s="778" t="s">
        <v>523</v>
      </c>
      <c r="B95" s="772" t="s">
        <v>385</v>
      </c>
      <c r="C95" s="977">
        <v>9.9000000000000005E-2</v>
      </c>
      <c r="D95" s="977">
        <v>9.4E-2</v>
      </c>
      <c r="E95" s="977">
        <v>9.6000000000000002E-2</v>
      </c>
      <c r="F95" s="989"/>
    </row>
    <row r="96" spans="1:6" ht="15" thickBot="1">
      <c r="A96" s="778" t="s">
        <v>523</v>
      </c>
      <c r="B96" s="772" t="s">
        <v>394</v>
      </c>
      <c r="C96" s="977">
        <v>9.9000000000000005E-2</v>
      </c>
      <c r="D96" s="977">
        <v>9.9000000000000005E-2</v>
      </c>
      <c r="E96" s="977">
        <v>9.9000000000000005E-2</v>
      </c>
      <c r="F96" s="989"/>
    </row>
    <row r="97" spans="1:6" ht="15" thickBot="1">
      <c r="A97" s="778" t="s">
        <v>523</v>
      </c>
      <c r="B97" s="772" t="s">
        <v>402</v>
      </c>
      <c r="C97" s="977">
        <v>9.8000000000000004E-2</v>
      </c>
      <c r="D97" s="977">
        <v>9.8000000000000004E-2</v>
      </c>
      <c r="E97" s="977">
        <v>9.7000000000000003E-2</v>
      </c>
      <c r="F97" s="989"/>
    </row>
    <row r="98" spans="1:6" ht="15" thickBot="1">
      <c r="A98" s="778" t="s">
        <v>523</v>
      </c>
      <c r="B98" s="772" t="s">
        <v>409</v>
      </c>
      <c r="C98" s="977">
        <v>0.1</v>
      </c>
      <c r="D98" s="977">
        <v>0.1</v>
      </c>
      <c r="E98" s="977">
        <v>9.7000000000000003E-2</v>
      </c>
      <c r="F98" s="989"/>
    </row>
    <row r="99" spans="1:6" ht="15" thickBot="1">
      <c r="A99" s="778" t="s">
        <v>523</v>
      </c>
      <c r="B99" s="772" t="s">
        <v>416</v>
      </c>
      <c r="C99" s="977">
        <v>0.1</v>
      </c>
      <c r="D99" s="977">
        <v>0.1</v>
      </c>
      <c r="E99" s="990"/>
      <c r="F99" s="989"/>
    </row>
    <row r="100" spans="1:6" ht="15" thickBot="1">
      <c r="A100" s="778" t="s">
        <v>523</v>
      </c>
      <c r="B100" s="772" t="s">
        <v>423</v>
      </c>
      <c r="C100" s="977">
        <v>0.09</v>
      </c>
      <c r="D100" s="977">
        <v>8.8999999999999996E-2</v>
      </c>
      <c r="E100" s="990"/>
      <c r="F100" s="989"/>
    </row>
    <row r="101" spans="1:6" ht="15" thickBot="1">
      <c r="A101" s="778" t="s">
        <v>523</v>
      </c>
      <c r="B101" s="772" t="s">
        <v>430</v>
      </c>
      <c r="C101" s="977">
        <v>9.8000000000000004E-2</v>
      </c>
      <c r="D101" s="977">
        <v>9.7000000000000003E-2</v>
      </c>
      <c r="E101" s="990"/>
      <c r="F101" s="989"/>
    </row>
    <row r="102" spans="1:6" ht="24.6" thickBot="1">
      <c r="A102" s="778" t="s">
        <v>523</v>
      </c>
      <c r="B102" s="772" t="s">
        <v>858</v>
      </c>
      <c r="C102" s="990"/>
      <c r="D102" s="990"/>
      <c r="E102" s="990"/>
      <c r="F102" s="978">
        <v>0.05</v>
      </c>
    </row>
    <row r="103" spans="1:6" ht="24.6" thickBot="1">
      <c r="A103" s="778" t="s">
        <v>523</v>
      </c>
      <c r="B103" s="772" t="s">
        <v>859</v>
      </c>
      <c r="C103" s="990"/>
      <c r="D103" s="990"/>
      <c r="E103" s="990"/>
      <c r="F103" s="978">
        <v>0.05</v>
      </c>
    </row>
    <row r="104" spans="1:6" ht="15" thickBot="1">
      <c r="A104" s="778" t="s">
        <v>523</v>
      </c>
      <c r="B104" s="772" t="s">
        <v>860</v>
      </c>
      <c r="C104" s="990"/>
      <c r="D104" s="990"/>
      <c r="E104" s="990"/>
      <c r="F104" s="978">
        <v>0.05</v>
      </c>
    </row>
    <row r="105" spans="1:6" ht="24.6" thickBot="1">
      <c r="A105" s="778" t="s">
        <v>523</v>
      </c>
      <c r="B105" s="772" t="s">
        <v>861</v>
      </c>
      <c r="C105" s="990"/>
      <c r="D105" s="990"/>
      <c r="E105" s="990"/>
      <c r="F105" s="978">
        <v>0.05</v>
      </c>
    </row>
    <row r="106" spans="1:6" ht="24.6" thickBot="1">
      <c r="A106" s="778" t="s">
        <v>523</v>
      </c>
      <c r="B106" s="772" t="s">
        <v>862</v>
      </c>
      <c r="C106" s="990"/>
      <c r="D106" s="990"/>
      <c r="E106" s="990"/>
      <c r="F106" s="978">
        <v>0.05</v>
      </c>
    </row>
    <row r="107" spans="1:6" ht="24.6" thickBot="1">
      <c r="A107" s="778" t="s">
        <v>523</v>
      </c>
      <c r="B107" s="772" t="s">
        <v>863</v>
      </c>
      <c r="C107" s="990"/>
      <c r="D107" s="990"/>
      <c r="E107" s="990"/>
      <c r="F107" s="978">
        <v>0.05</v>
      </c>
    </row>
    <row r="108" spans="1:6" ht="24.6" thickBot="1">
      <c r="A108" s="778" t="s">
        <v>523</v>
      </c>
      <c r="B108" s="772" t="s">
        <v>864</v>
      </c>
      <c r="C108" s="990"/>
      <c r="D108" s="990"/>
      <c r="E108" s="990"/>
      <c r="F108" s="978">
        <v>0.05</v>
      </c>
    </row>
    <row r="109" spans="1:6" ht="24.6" thickBot="1">
      <c r="A109" s="788" t="s">
        <v>523</v>
      </c>
      <c r="B109" s="784" t="s">
        <v>865</v>
      </c>
      <c r="C109" s="987"/>
      <c r="D109" s="987"/>
      <c r="E109" s="987"/>
      <c r="F109" s="980">
        <v>0.05</v>
      </c>
    </row>
    <row r="110" spans="1:6" ht="15" thickBot="1">
      <c r="A110" s="778" t="s">
        <v>56</v>
      </c>
      <c r="B110" s="779" t="s">
        <v>866</v>
      </c>
      <c r="C110" s="975">
        <v>0.129</v>
      </c>
      <c r="D110" s="975">
        <v>0.129</v>
      </c>
      <c r="E110" s="975">
        <v>0.126</v>
      </c>
      <c r="F110" s="976">
        <v>0.13</v>
      </c>
    </row>
    <row r="111" spans="1:6" ht="15" thickBot="1">
      <c r="A111" s="778" t="s">
        <v>56</v>
      </c>
      <c r="B111" s="772" t="s">
        <v>192</v>
      </c>
      <c r="C111" s="977">
        <v>0.11</v>
      </c>
      <c r="D111" s="977">
        <v>0.11</v>
      </c>
      <c r="E111" s="977">
        <v>9.9000000000000005E-2</v>
      </c>
      <c r="F111" s="978">
        <v>0.128</v>
      </c>
    </row>
    <row r="112" spans="1:6" ht="15" thickBot="1">
      <c r="A112" s="778" t="s">
        <v>56</v>
      </c>
      <c r="B112" s="772" t="s">
        <v>205</v>
      </c>
      <c r="C112" s="977">
        <v>0.125</v>
      </c>
      <c r="D112" s="977">
        <v>0.125</v>
      </c>
      <c r="E112" s="977">
        <v>0.12</v>
      </c>
      <c r="F112" s="978">
        <v>0.125</v>
      </c>
    </row>
    <row r="113" spans="1:6" ht="15" thickBot="1">
      <c r="A113" s="778" t="s">
        <v>56</v>
      </c>
      <c r="B113" s="772" t="s">
        <v>218</v>
      </c>
      <c r="C113" s="977">
        <v>0.13</v>
      </c>
      <c r="D113" s="977">
        <v>0.13</v>
      </c>
      <c r="E113" s="977">
        <v>0.13</v>
      </c>
      <c r="F113" s="978">
        <v>0.13</v>
      </c>
    </row>
    <row r="114" spans="1:6" ht="15" thickBot="1">
      <c r="A114" s="778" t="s">
        <v>56</v>
      </c>
      <c r="B114" s="772" t="s">
        <v>230</v>
      </c>
      <c r="C114" s="977">
        <v>0.123</v>
      </c>
      <c r="D114" s="977">
        <v>0.123</v>
      </c>
      <c r="E114" s="977">
        <v>0.12</v>
      </c>
      <c r="F114" s="978">
        <v>0.13</v>
      </c>
    </row>
    <row r="115" spans="1:6" ht="15" thickBot="1">
      <c r="A115" s="778" t="s">
        <v>56</v>
      </c>
      <c r="B115" s="772" t="s">
        <v>241</v>
      </c>
      <c r="C115" s="977">
        <v>0.125</v>
      </c>
      <c r="D115" s="977">
        <v>0.125</v>
      </c>
      <c r="E115" s="977">
        <v>0.11700000000000001</v>
      </c>
      <c r="F115" s="978">
        <v>0.13</v>
      </c>
    </row>
    <row r="116" spans="1:6" ht="15" thickBot="1">
      <c r="A116" s="778" t="s">
        <v>56</v>
      </c>
      <c r="B116" s="772" t="s">
        <v>252</v>
      </c>
      <c r="C116" s="977">
        <v>0.11700000000000001</v>
      </c>
      <c r="D116" s="977">
        <v>0.11700000000000001</v>
      </c>
      <c r="E116" s="977">
        <v>8.7999999999999995E-2</v>
      </c>
      <c r="F116" s="978">
        <v>0.13</v>
      </c>
    </row>
    <row r="117" spans="1:6" ht="15" thickBot="1">
      <c r="A117" s="778" t="s">
        <v>56</v>
      </c>
      <c r="B117" s="772" t="s">
        <v>263</v>
      </c>
      <c r="C117" s="977">
        <v>0.13</v>
      </c>
      <c r="D117" s="977">
        <v>0.13</v>
      </c>
      <c r="E117" s="977">
        <v>0.129</v>
      </c>
      <c r="F117" s="978">
        <v>0.13</v>
      </c>
    </row>
    <row r="118" spans="1:6" ht="15" thickBot="1">
      <c r="A118" s="778" t="s">
        <v>56</v>
      </c>
      <c r="B118" s="772" t="s">
        <v>275</v>
      </c>
      <c r="C118" s="977">
        <v>0.123</v>
      </c>
      <c r="D118" s="977">
        <v>0.123</v>
      </c>
      <c r="E118" s="977">
        <v>0.11600000000000001</v>
      </c>
      <c r="F118" s="978">
        <v>0.13</v>
      </c>
    </row>
    <row r="119" spans="1:6" ht="15" thickBot="1">
      <c r="A119" s="778" t="s">
        <v>56</v>
      </c>
      <c r="B119" s="772" t="s">
        <v>285</v>
      </c>
      <c r="C119" s="977">
        <v>0.127</v>
      </c>
      <c r="D119" s="977">
        <v>0.127</v>
      </c>
      <c r="E119" s="977">
        <v>0.124</v>
      </c>
      <c r="F119" s="978">
        <v>0.13</v>
      </c>
    </row>
    <row r="120" spans="1:6" ht="15" thickBot="1">
      <c r="A120" s="778" t="s">
        <v>56</v>
      </c>
      <c r="B120" s="772" t="s">
        <v>295</v>
      </c>
      <c r="C120" s="977">
        <v>0.125</v>
      </c>
      <c r="D120" s="977">
        <v>0.125</v>
      </c>
      <c r="E120" s="977">
        <v>0.122</v>
      </c>
      <c r="F120" s="978">
        <v>0.13</v>
      </c>
    </row>
    <row r="121" spans="1:6" ht="15" thickBot="1">
      <c r="A121" s="778" t="s">
        <v>56</v>
      </c>
      <c r="B121" s="772" t="s">
        <v>305</v>
      </c>
      <c r="C121" s="977">
        <v>0.13</v>
      </c>
      <c r="D121" s="977">
        <v>0.13</v>
      </c>
      <c r="E121" s="977">
        <v>0.13</v>
      </c>
      <c r="F121" s="978">
        <v>0.13</v>
      </c>
    </row>
    <row r="122" spans="1:6" ht="15" thickBot="1">
      <c r="A122" s="778" t="s">
        <v>56</v>
      </c>
      <c r="B122" s="772" t="s">
        <v>315</v>
      </c>
      <c r="C122" s="977">
        <v>0.13</v>
      </c>
      <c r="D122" s="977">
        <v>0.13</v>
      </c>
      <c r="E122" s="977">
        <v>0.125</v>
      </c>
      <c r="F122" s="978">
        <v>0.13</v>
      </c>
    </row>
    <row r="123" spans="1:6" ht="15" thickBot="1">
      <c r="A123" s="778" t="s">
        <v>56</v>
      </c>
      <c r="B123" s="772" t="s">
        <v>326</v>
      </c>
      <c r="C123" s="977">
        <v>0.129</v>
      </c>
      <c r="D123" s="977">
        <v>0.129</v>
      </c>
      <c r="E123" s="977">
        <v>0.123</v>
      </c>
      <c r="F123" s="978">
        <v>0.13</v>
      </c>
    </row>
    <row r="124" spans="1:6" ht="15" thickBot="1">
      <c r="A124" s="778" t="s">
        <v>56</v>
      </c>
      <c r="B124" s="772" t="s">
        <v>337</v>
      </c>
      <c r="C124" s="977">
        <v>0.10199999999999999</v>
      </c>
      <c r="D124" s="977">
        <v>0.10100000000000001</v>
      </c>
      <c r="E124" s="977">
        <v>0.08</v>
      </c>
      <c r="F124" s="989"/>
    </row>
    <row r="125" spans="1:6" ht="15" thickBot="1">
      <c r="A125" s="778" t="s">
        <v>56</v>
      </c>
      <c r="B125" s="772" t="s">
        <v>347</v>
      </c>
      <c r="C125" s="977">
        <v>0.13</v>
      </c>
      <c r="D125" s="977">
        <v>0.13</v>
      </c>
      <c r="E125" s="977">
        <v>0.129</v>
      </c>
      <c r="F125" s="989"/>
    </row>
    <row r="126" spans="1:6" ht="15" thickBot="1">
      <c r="A126" s="778" t="s">
        <v>56</v>
      </c>
      <c r="B126" s="772" t="s">
        <v>357</v>
      </c>
      <c r="C126" s="977">
        <v>0.13</v>
      </c>
      <c r="D126" s="977">
        <v>0.13</v>
      </c>
      <c r="E126" s="977">
        <v>0.126</v>
      </c>
      <c r="F126" s="989"/>
    </row>
    <row r="127" spans="1:6" ht="15" thickBot="1">
      <c r="A127" s="778" t="s">
        <v>56</v>
      </c>
      <c r="B127" s="772" t="s">
        <v>367</v>
      </c>
      <c r="C127" s="977">
        <v>0.125</v>
      </c>
      <c r="D127" s="977">
        <v>0.125</v>
      </c>
      <c r="E127" s="977">
        <v>0.121</v>
      </c>
      <c r="F127" s="989"/>
    </row>
    <row r="128" spans="1:6" ht="15" thickBot="1">
      <c r="A128" s="778" t="s">
        <v>56</v>
      </c>
      <c r="B128" s="772" t="s">
        <v>377</v>
      </c>
      <c r="C128" s="977">
        <v>0.12</v>
      </c>
      <c r="D128" s="977">
        <v>0.12</v>
      </c>
      <c r="E128" s="977">
        <v>0.105</v>
      </c>
      <c r="F128" s="989"/>
    </row>
    <row r="129" spans="1:6" ht="15" thickBot="1">
      <c r="A129" s="778" t="s">
        <v>56</v>
      </c>
      <c r="B129" s="772" t="s">
        <v>386</v>
      </c>
      <c r="C129" s="977">
        <v>0.13</v>
      </c>
      <c r="D129" s="977">
        <v>0.13</v>
      </c>
      <c r="E129" s="977">
        <v>0.126</v>
      </c>
      <c r="F129" s="989"/>
    </row>
    <row r="130" spans="1:6" ht="15" thickBot="1">
      <c r="A130" s="778" t="s">
        <v>56</v>
      </c>
      <c r="B130" s="772" t="s">
        <v>395</v>
      </c>
      <c r="C130" s="977">
        <v>0.125</v>
      </c>
      <c r="D130" s="977">
        <v>0.125</v>
      </c>
      <c r="E130" s="977">
        <v>0.122</v>
      </c>
      <c r="F130" s="989"/>
    </row>
    <row r="131" spans="1:6" ht="15" thickBot="1">
      <c r="A131" s="778" t="s">
        <v>56</v>
      </c>
      <c r="B131" s="772" t="s">
        <v>403</v>
      </c>
      <c r="C131" s="977">
        <v>0.127</v>
      </c>
      <c r="D131" s="977">
        <v>0.126</v>
      </c>
      <c r="E131" s="977">
        <v>0.123</v>
      </c>
      <c r="F131" s="989"/>
    </row>
    <row r="132" spans="1:6" ht="15" thickBot="1">
      <c r="A132" s="778" t="s">
        <v>56</v>
      </c>
      <c r="B132" s="772" t="s">
        <v>410</v>
      </c>
      <c r="C132" s="977">
        <v>9.0999999999999998E-2</v>
      </c>
      <c r="D132" s="977">
        <v>0.121</v>
      </c>
      <c r="E132" s="977">
        <v>9.9000000000000005E-2</v>
      </c>
      <c r="F132" s="989"/>
    </row>
    <row r="133" spans="1:6" ht="15" thickBot="1">
      <c r="A133" s="778" t="s">
        <v>56</v>
      </c>
      <c r="B133" s="772" t="s">
        <v>417</v>
      </c>
      <c r="C133" s="977">
        <v>0.13</v>
      </c>
      <c r="D133" s="977">
        <v>0.13</v>
      </c>
      <c r="E133" s="977">
        <v>0.129</v>
      </c>
      <c r="F133" s="989"/>
    </row>
    <row r="134" spans="1:6" ht="15" thickBot="1">
      <c r="A134" s="778" t="s">
        <v>56</v>
      </c>
      <c r="B134" s="772" t="s">
        <v>867</v>
      </c>
      <c r="C134" s="977">
        <v>6.8000000000000005E-2</v>
      </c>
      <c r="D134" s="977">
        <v>6.5000000000000002E-2</v>
      </c>
      <c r="E134" s="977">
        <v>6.5000000000000002E-2</v>
      </c>
      <c r="F134" s="978">
        <v>0.13</v>
      </c>
    </row>
    <row r="135" spans="1:6" ht="15" thickBot="1">
      <c r="A135" s="778" t="s">
        <v>56</v>
      </c>
      <c r="B135" s="772" t="s">
        <v>431</v>
      </c>
      <c r="C135" s="977">
        <v>0.123</v>
      </c>
      <c r="D135" s="977">
        <v>0.123</v>
      </c>
      <c r="E135" s="977">
        <v>0.11</v>
      </c>
      <c r="F135" s="989"/>
    </row>
    <row r="136" spans="1:6" ht="15" thickBot="1">
      <c r="A136" s="778" t="s">
        <v>56</v>
      </c>
      <c r="B136" s="772" t="s">
        <v>438</v>
      </c>
      <c r="C136" s="977">
        <v>0.13</v>
      </c>
      <c r="D136" s="977">
        <v>0.13</v>
      </c>
      <c r="E136" s="977">
        <v>0.125</v>
      </c>
      <c r="F136" s="989"/>
    </row>
    <row r="137" spans="1:6" ht="15" thickBot="1">
      <c r="A137" s="778" t="s">
        <v>56</v>
      </c>
      <c r="B137" s="772" t="s">
        <v>445</v>
      </c>
      <c r="C137" s="977">
        <v>0.121</v>
      </c>
      <c r="D137" s="977">
        <v>0.122</v>
      </c>
      <c r="E137" s="977">
        <v>0.115</v>
      </c>
      <c r="F137" s="989"/>
    </row>
    <row r="138" spans="1:6" ht="15" thickBot="1">
      <c r="A138" s="778" t="s">
        <v>56</v>
      </c>
      <c r="B138" s="772" t="s">
        <v>868</v>
      </c>
      <c r="C138" s="977">
        <v>0.105</v>
      </c>
      <c r="D138" s="977">
        <v>0.125</v>
      </c>
      <c r="E138" s="977">
        <v>0.112</v>
      </c>
      <c r="F138" s="989"/>
    </row>
    <row r="139" spans="1:6" ht="15" thickBot="1">
      <c r="A139" s="778" t="s">
        <v>56</v>
      </c>
      <c r="B139" s="772" t="s">
        <v>869</v>
      </c>
      <c r="C139" s="977">
        <v>0.127</v>
      </c>
      <c r="D139" s="977">
        <v>0.127</v>
      </c>
      <c r="E139" s="977">
        <v>0.122</v>
      </c>
      <c r="F139" s="978">
        <v>0.13</v>
      </c>
    </row>
    <row r="140" spans="1:6" ht="15" thickBot="1">
      <c r="A140" s="778" t="s">
        <v>56</v>
      </c>
      <c r="B140" s="772" t="s">
        <v>870</v>
      </c>
      <c r="C140" s="977">
        <v>0.125</v>
      </c>
      <c r="D140" s="977">
        <v>0.125</v>
      </c>
      <c r="E140" s="977">
        <v>0.11899999999999999</v>
      </c>
      <c r="F140" s="978">
        <v>0.13</v>
      </c>
    </row>
    <row r="141" spans="1:6" ht="15" thickBot="1">
      <c r="A141" s="778" t="s">
        <v>56</v>
      </c>
      <c r="B141" s="772" t="s">
        <v>464</v>
      </c>
      <c r="C141" s="977">
        <v>0.125</v>
      </c>
      <c r="D141" s="977">
        <v>0.125</v>
      </c>
      <c r="E141" s="977">
        <v>0.11700000000000001</v>
      </c>
      <c r="F141" s="989"/>
    </row>
    <row r="142" spans="1:6" ht="15" thickBot="1">
      <c r="A142" s="778" t="s">
        <v>56</v>
      </c>
      <c r="B142" s="772" t="s">
        <v>469</v>
      </c>
      <c r="C142" s="977">
        <v>0.125</v>
      </c>
      <c r="D142" s="977">
        <v>0.125</v>
      </c>
      <c r="E142" s="977">
        <v>0.115</v>
      </c>
      <c r="F142" s="989"/>
    </row>
    <row r="143" spans="1:6" ht="15" thickBot="1">
      <c r="A143" s="778" t="s">
        <v>56</v>
      </c>
      <c r="B143" s="772" t="s">
        <v>474</v>
      </c>
      <c r="C143" s="977">
        <v>0.121</v>
      </c>
      <c r="D143" s="977">
        <v>0.121</v>
      </c>
      <c r="E143" s="977">
        <v>0.108</v>
      </c>
      <c r="F143" s="989"/>
    </row>
    <row r="144" spans="1:6" ht="15" thickBot="1">
      <c r="A144" s="778" t="s">
        <v>56</v>
      </c>
      <c r="B144" s="981" t="s">
        <v>871</v>
      </c>
      <c r="C144" s="982">
        <v>0.126</v>
      </c>
      <c r="D144" s="982">
        <v>0.126</v>
      </c>
      <c r="E144" s="982">
        <v>0.121</v>
      </c>
      <c r="F144" s="989"/>
    </row>
    <row r="145" spans="1:6" ht="15" thickBot="1">
      <c r="A145" s="788" t="s">
        <v>56</v>
      </c>
      <c r="B145" s="983" t="s">
        <v>872</v>
      </c>
      <c r="C145" s="991"/>
      <c r="D145" s="991"/>
      <c r="E145" s="991"/>
      <c r="F145" s="984">
        <v>0.05</v>
      </c>
    </row>
    <row r="146" spans="1:6" ht="24.6" thickBot="1">
      <c r="A146" s="985" t="s">
        <v>56</v>
      </c>
      <c r="B146" s="782" t="s">
        <v>873</v>
      </c>
      <c r="C146" s="990"/>
      <c r="D146" s="990"/>
      <c r="E146" s="990"/>
      <c r="F146" s="986">
        <v>0.05</v>
      </c>
    </row>
    <row r="147" spans="1:6" ht="24.6" thickBot="1">
      <c r="A147" s="778" t="s">
        <v>56</v>
      </c>
      <c r="B147" s="772" t="s">
        <v>874</v>
      </c>
      <c r="C147" s="990"/>
      <c r="D147" s="990"/>
      <c r="E147" s="990"/>
      <c r="F147" s="978">
        <v>0.05</v>
      </c>
    </row>
    <row r="148" spans="1:6" ht="24.6" thickBot="1">
      <c r="A148" s="778" t="s">
        <v>56</v>
      </c>
      <c r="B148" s="772" t="s">
        <v>875</v>
      </c>
      <c r="C148" s="990"/>
      <c r="D148" s="990"/>
      <c r="E148" s="990"/>
      <c r="F148" s="978">
        <v>0.05</v>
      </c>
    </row>
    <row r="149" spans="1:6" ht="24.6" thickBot="1">
      <c r="A149" s="778" t="s">
        <v>56</v>
      </c>
      <c r="B149" s="772" t="s">
        <v>876</v>
      </c>
      <c r="C149" s="990"/>
      <c r="D149" s="990"/>
      <c r="E149" s="990"/>
      <c r="F149" s="978">
        <v>0.05</v>
      </c>
    </row>
    <row r="150" spans="1:6" ht="24.6" thickBot="1">
      <c r="A150" s="778" t="s">
        <v>56</v>
      </c>
      <c r="B150" s="772" t="s">
        <v>877</v>
      </c>
      <c r="C150" s="990"/>
      <c r="D150" s="990"/>
      <c r="E150" s="990"/>
      <c r="F150" s="978">
        <v>0.05</v>
      </c>
    </row>
    <row r="151" spans="1:6" ht="24.6" thickBot="1">
      <c r="A151" s="778" t="s">
        <v>56</v>
      </c>
      <c r="B151" s="772" t="s">
        <v>878</v>
      </c>
      <c r="C151" s="990"/>
      <c r="D151" s="990"/>
      <c r="E151" s="990"/>
      <c r="F151" s="978">
        <v>0.05</v>
      </c>
    </row>
    <row r="152" spans="1:6" ht="24.6" thickBot="1">
      <c r="A152" s="778" t="s">
        <v>56</v>
      </c>
      <c r="B152" s="772" t="s">
        <v>507</v>
      </c>
      <c r="C152" s="990"/>
      <c r="D152" s="990"/>
      <c r="E152" s="990"/>
      <c r="F152" s="978">
        <v>0.05</v>
      </c>
    </row>
    <row r="153" spans="1:6" ht="15" thickBot="1">
      <c r="A153" s="778" t="s">
        <v>56</v>
      </c>
      <c r="B153" s="772" t="s">
        <v>879</v>
      </c>
      <c r="C153" s="990"/>
      <c r="D153" s="990"/>
      <c r="E153" s="990"/>
      <c r="F153" s="978">
        <v>0.05</v>
      </c>
    </row>
    <row r="154" spans="1:6" ht="15" thickBot="1">
      <c r="A154" s="778" t="s">
        <v>56</v>
      </c>
      <c r="B154" s="772" t="s">
        <v>880</v>
      </c>
      <c r="C154" s="990"/>
      <c r="D154" s="990"/>
      <c r="E154" s="990"/>
      <c r="F154" s="978">
        <v>0.05</v>
      </c>
    </row>
    <row r="155" spans="1:6" ht="24.6" thickBot="1">
      <c r="A155" s="778" t="s">
        <v>56</v>
      </c>
      <c r="B155" s="772" t="s">
        <v>881</v>
      </c>
      <c r="C155" s="990"/>
      <c r="D155" s="990"/>
      <c r="E155" s="990"/>
      <c r="F155" s="978">
        <v>0.05</v>
      </c>
    </row>
    <row r="156" spans="1:6" ht="24.6" thickBot="1">
      <c r="A156" s="778" t="s">
        <v>56</v>
      </c>
      <c r="B156" s="772" t="s">
        <v>882</v>
      </c>
      <c r="C156" s="990"/>
      <c r="D156" s="990"/>
      <c r="E156" s="990"/>
      <c r="F156" s="978">
        <v>0.05</v>
      </c>
    </row>
    <row r="157" spans="1:6" ht="24.6" thickBot="1">
      <c r="A157" s="788" t="s">
        <v>56</v>
      </c>
      <c r="B157" s="784" t="s">
        <v>883</v>
      </c>
      <c r="C157" s="987"/>
      <c r="D157" s="987"/>
      <c r="E157" s="987"/>
      <c r="F157" s="980">
        <v>0.05</v>
      </c>
    </row>
    <row r="158" spans="1:6" ht="15" thickBot="1">
      <c r="A158" s="778" t="s">
        <v>526</v>
      </c>
      <c r="B158" s="779" t="s">
        <v>884</v>
      </c>
      <c r="C158" s="975">
        <v>0.13</v>
      </c>
      <c r="D158" s="975">
        <v>0.13</v>
      </c>
      <c r="E158" s="975">
        <v>0.13</v>
      </c>
      <c r="F158" s="976">
        <v>0.13</v>
      </c>
    </row>
    <row r="159" spans="1:6" ht="15" thickBot="1">
      <c r="A159" s="778" t="s">
        <v>526</v>
      </c>
      <c r="B159" s="772" t="s">
        <v>193</v>
      </c>
      <c r="C159" s="977">
        <v>0.13</v>
      </c>
      <c r="D159" s="977">
        <v>0.13</v>
      </c>
      <c r="E159" s="977">
        <v>0.13</v>
      </c>
      <c r="F159" s="978">
        <v>0.13</v>
      </c>
    </row>
    <row r="160" spans="1:6" ht="15" thickBot="1">
      <c r="A160" s="778" t="s">
        <v>526</v>
      </c>
      <c r="B160" s="772" t="s">
        <v>206</v>
      </c>
      <c r="C160" s="977">
        <v>0.13</v>
      </c>
      <c r="D160" s="977">
        <v>0.13</v>
      </c>
      <c r="E160" s="977">
        <v>0.129</v>
      </c>
      <c r="F160" s="978">
        <v>0.13</v>
      </c>
    </row>
    <row r="161" spans="1:6" ht="15" thickBot="1">
      <c r="A161" s="778" t="s">
        <v>526</v>
      </c>
      <c r="B161" s="772" t="s">
        <v>219</v>
      </c>
      <c r="C161" s="977">
        <v>0.128</v>
      </c>
      <c r="D161" s="977">
        <v>0.128</v>
      </c>
      <c r="E161" s="977">
        <v>0.125</v>
      </c>
      <c r="F161" s="978">
        <v>0.13</v>
      </c>
    </row>
    <row r="162" spans="1:6" ht="15" thickBot="1">
      <c r="A162" s="778" t="s">
        <v>526</v>
      </c>
      <c r="B162" s="772" t="s">
        <v>231</v>
      </c>
      <c r="C162" s="977">
        <v>0.122</v>
      </c>
      <c r="D162" s="977">
        <v>0.122</v>
      </c>
      <c r="E162" s="977">
        <v>0.126</v>
      </c>
      <c r="F162" s="978">
        <v>0.122</v>
      </c>
    </row>
    <row r="163" spans="1:6" ht="15" thickBot="1">
      <c r="A163" s="778" t="s">
        <v>526</v>
      </c>
      <c r="B163" s="772" t="s">
        <v>242</v>
      </c>
      <c r="C163" s="977">
        <v>0.13</v>
      </c>
      <c r="D163" s="977">
        <v>0.13</v>
      </c>
      <c r="E163" s="977">
        <v>0.125</v>
      </c>
      <c r="F163" s="978">
        <v>0.13</v>
      </c>
    </row>
    <row r="164" spans="1:6" ht="15" thickBot="1">
      <c r="A164" s="778" t="s">
        <v>526</v>
      </c>
      <c r="B164" s="772" t="s">
        <v>253</v>
      </c>
      <c r="C164" s="977">
        <v>0.13</v>
      </c>
      <c r="D164" s="977">
        <v>0.13</v>
      </c>
      <c r="E164" s="977">
        <v>0.13</v>
      </c>
      <c r="F164" s="978">
        <v>0.13</v>
      </c>
    </row>
    <row r="165" spans="1:6" ht="15" thickBot="1">
      <c r="A165" s="778" t="s">
        <v>526</v>
      </c>
      <c r="B165" s="772" t="s">
        <v>264</v>
      </c>
      <c r="C165" s="977">
        <v>0.13</v>
      </c>
      <c r="D165" s="977">
        <v>0.13</v>
      </c>
      <c r="E165" s="977">
        <v>0.124</v>
      </c>
      <c r="F165" s="978">
        <v>0.13</v>
      </c>
    </row>
    <row r="166" spans="1:6" ht="15" thickBot="1">
      <c r="A166" s="778" t="s">
        <v>526</v>
      </c>
      <c r="B166" s="772" t="s">
        <v>276</v>
      </c>
      <c r="C166" s="977">
        <v>0.13</v>
      </c>
      <c r="D166" s="977">
        <v>0.13</v>
      </c>
      <c r="E166" s="977">
        <v>0.13</v>
      </c>
      <c r="F166" s="978">
        <v>0.13</v>
      </c>
    </row>
    <row r="167" spans="1:6" ht="15" thickBot="1">
      <c r="A167" s="778" t="s">
        <v>526</v>
      </c>
      <c r="B167" s="772" t="s">
        <v>286</v>
      </c>
      <c r="C167" s="977">
        <v>0.125</v>
      </c>
      <c r="D167" s="977">
        <v>0.125</v>
      </c>
      <c r="E167" s="977">
        <v>0.121</v>
      </c>
      <c r="F167" s="989"/>
    </row>
    <row r="168" spans="1:6" ht="15" thickBot="1">
      <c r="A168" s="778" t="s">
        <v>526</v>
      </c>
      <c r="B168" s="772" t="s">
        <v>296</v>
      </c>
      <c r="C168" s="977">
        <v>0.13</v>
      </c>
      <c r="D168" s="977">
        <v>0.13</v>
      </c>
      <c r="E168" s="977">
        <v>0.126</v>
      </c>
      <c r="F168" s="989"/>
    </row>
    <row r="169" spans="1:6" ht="15" thickBot="1">
      <c r="A169" s="778" t="s">
        <v>526</v>
      </c>
      <c r="B169" s="772" t="s">
        <v>306</v>
      </c>
      <c r="C169" s="977">
        <v>0.128</v>
      </c>
      <c r="D169" s="977">
        <v>0.129</v>
      </c>
      <c r="E169" s="977">
        <v>0.13</v>
      </c>
      <c r="F169" s="989"/>
    </row>
    <row r="170" spans="1:6" ht="15" thickBot="1">
      <c r="A170" s="778" t="s">
        <v>526</v>
      </c>
      <c r="B170" s="772" t="s">
        <v>316</v>
      </c>
      <c r="C170" s="977">
        <v>0.14099999999999999</v>
      </c>
      <c r="D170" s="977">
        <v>0.13</v>
      </c>
      <c r="E170" s="977">
        <v>0.125</v>
      </c>
      <c r="F170" s="989"/>
    </row>
    <row r="171" spans="1:6" ht="15" thickBot="1">
      <c r="A171" s="778" t="s">
        <v>526</v>
      </c>
      <c r="B171" s="772" t="s">
        <v>885</v>
      </c>
      <c r="C171" s="977">
        <v>0.127</v>
      </c>
      <c r="D171" s="977">
        <v>0.126</v>
      </c>
      <c r="E171" s="977">
        <v>0.126</v>
      </c>
      <c r="F171" s="978">
        <v>0.11799999999999999</v>
      </c>
    </row>
    <row r="172" spans="1:6" ht="15" thickBot="1">
      <c r="A172" s="778" t="s">
        <v>526</v>
      </c>
      <c r="B172" s="772" t="s">
        <v>886</v>
      </c>
      <c r="C172" s="977">
        <v>0.13</v>
      </c>
      <c r="D172" s="977">
        <v>0.13</v>
      </c>
      <c r="E172" s="977">
        <v>0.13</v>
      </c>
      <c r="F172" s="989"/>
    </row>
    <row r="173" spans="1:6" ht="15" thickBot="1">
      <c r="A173" s="778" t="s">
        <v>526</v>
      </c>
      <c r="B173" s="772" t="s">
        <v>348</v>
      </c>
      <c r="C173" s="977">
        <v>0.13</v>
      </c>
      <c r="D173" s="977">
        <v>0.13</v>
      </c>
      <c r="E173" s="977">
        <v>0.13</v>
      </c>
      <c r="F173" s="989"/>
    </row>
    <row r="174" spans="1:6" ht="15" thickBot="1">
      <c r="A174" s="778" t="s">
        <v>526</v>
      </c>
      <c r="B174" s="772" t="s">
        <v>887</v>
      </c>
      <c r="C174" s="977">
        <v>0.13</v>
      </c>
      <c r="D174" s="977">
        <v>0.13</v>
      </c>
      <c r="E174" s="977">
        <v>0.13</v>
      </c>
      <c r="F174" s="978">
        <v>0.13</v>
      </c>
    </row>
    <row r="175" spans="1:6" ht="15" thickBot="1">
      <c r="A175" s="778" t="s">
        <v>526</v>
      </c>
      <c r="B175" s="772" t="s">
        <v>888</v>
      </c>
      <c r="C175" s="977">
        <v>0.13</v>
      </c>
      <c r="D175" s="977">
        <v>0.13</v>
      </c>
      <c r="E175" s="977">
        <v>0.13</v>
      </c>
      <c r="F175" s="978">
        <v>0.13</v>
      </c>
    </row>
    <row r="176" spans="1:6" ht="15" thickBot="1">
      <c r="A176" s="778" t="s">
        <v>526</v>
      </c>
      <c r="B176" s="772" t="s">
        <v>378</v>
      </c>
      <c r="C176" s="977">
        <v>0.13</v>
      </c>
      <c r="D176" s="977">
        <v>0.13</v>
      </c>
      <c r="E176" s="977">
        <v>0.13</v>
      </c>
      <c r="F176" s="978">
        <v>0.13</v>
      </c>
    </row>
    <row r="177" spans="1:6" ht="15" thickBot="1">
      <c r="A177" s="778" t="s">
        <v>526</v>
      </c>
      <c r="B177" s="772" t="s">
        <v>889</v>
      </c>
      <c r="C177" s="977">
        <v>0.13</v>
      </c>
      <c r="D177" s="977">
        <v>0.13</v>
      </c>
      <c r="E177" s="977">
        <v>0.13</v>
      </c>
      <c r="F177" s="978">
        <v>0.13</v>
      </c>
    </row>
    <row r="178" spans="1:6" ht="15" thickBot="1">
      <c r="A178" s="778" t="s">
        <v>526</v>
      </c>
      <c r="B178" s="772" t="s">
        <v>396</v>
      </c>
      <c r="C178" s="977">
        <v>0.13</v>
      </c>
      <c r="D178" s="977">
        <v>0.13</v>
      </c>
      <c r="E178" s="977">
        <v>0.13</v>
      </c>
      <c r="F178" s="978">
        <v>0.127</v>
      </c>
    </row>
    <row r="179" spans="1:6" ht="15" thickBot="1">
      <c r="A179" s="778" t="s">
        <v>526</v>
      </c>
      <c r="B179" s="772" t="s">
        <v>404</v>
      </c>
      <c r="C179" s="977">
        <v>0.13</v>
      </c>
      <c r="D179" s="977">
        <v>0.13</v>
      </c>
      <c r="E179" s="977">
        <v>0.13</v>
      </c>
      <c r="F179" s="989"/>
    </row>
    <row r="180" spans="1:6" ht="15" thickBot="1">
      <c r="A180" s="778" t="s">
        <v>526</v>
      </c>
      <c r="B180" s="772" t="s">
        <v>890</v>
      </c>
      <c r="C180" s="977">
        <v>0.13</v>
      </c>
      <c r="D180" s="977">
        <v>0.13</v>
      </c>
      <c r="E180" s="977">
        <v>0.125</v>
      </c>
      <c r="F180" s="978">
        <v>0.13</v>
      </c>
    </row>
    <row r="181" spans="1:6" ht="15" thickBot="1">
      <c r="A181" s="778" t="s">
        <v>526</v>
      </c>
      <c r="B181" s="772" t="s">
        <v>418</v>
      </c>
      <c r="C181" s="977">
        <v>0.122</v>
      </c>
      <c r="D181" s="977">
        <v>0.123</v>
      </c>
      <c r="E181" s="977">
        <v>0.126</v>
      </c>
      <c r="F181" s="978">
        <v>0.121</v>
      </c>
    </row>
    <row r="182" spans="1:6" ht="15" thickBot="1">
      <c r="A182" s="778" t="s">
        <v>526</v>
      </c>
      <c r="B182" s="772" t="s">
        <v>425</v>
      </c>
      <c r="C182" s="977">
        <v>0.125</v>
      </c>
      <c r="D182" s="977">
        <v>0.125</v>
      </c>
      <c r="E182" s="977">
        <v>0.11700000000000001</v>
      </c>
      <c r="F182" s="978">
        <v>0.13</v>
      </c>
    </row>
    <row r="183" spans="1:6" ht="15" thickBot="1">
      <c r="A183" s="778" t="s">
        <v>526</v>
      </c>
      <c r="B183" s="772" t="s">
        <v>432</v>
      </c>
      <c r="C183" s="977">
        <v>0.127</v>
      </c>
      <c r="D183" s="977">
        <v>0.127</v>
      </c>
      <c r="E183" s="977">
        <v>0.128</v>
      </c>
      <c r="F183" s="989"/>
    </row>
    <row r="184" spans="1:6" ht="15" thickBot="1">
      <c r="A184" s="778" t="s">
        <v>526</v>
      </c>
      <c r="B184" s="772" t="s">
        <v>439</v>
      </c>
      <c r="C184" s="977">
        <v>0.125</v>
      </c>
      <c r="D184" s="977">
        <v>0.125</v>
      </c>
      <c r="E184" s="977">
        <v>0.127</v>
      </c>
      <c r="F184" s="989"/>
    </row>
    <row r="185" spans="1:6" ht="15" thickBot="1">
      <c r="A185" s="778" t="s">
        <v>526</v>
      </c>
      <c r="B185" s="772" t="s">
        <v>891</v>
      </c>
      <c r="C185" s="977">
        <v>0.127</v>
      </c>
      <c r="D185" s="977">
        <v>0.127</v>
      </c>
      <c r="E185" s="977">
        <v>0.128</v>
      </c>
      <c r="F185" s="978">
        <v>0.13</v>
      </c>
    </row>
    <row r="186" spans="1:6" ht="24.6" thickBot="1">
      <c r="A186" s="778" t="s">
        <v>526</v>
      </c>
      <c r="B186" s="772" t="s">
        <v>892</v>
      </c>
      <c r="C186" s="990"/>
      <c r="D186" s="990"/>
      <c r="E186" s="990"/>
      <c r="F186" s="978">
        <v>0.05</v>
      </c>
    </row>
    <row r="187" spans="1:6" ht="15" thickBot="1">
      <c r="A187" s="778" t="s">
        <v>526</v>
      </c>
      <c r="B187" s="772" t="s">
        <v>893</v>
      </c>
      <c r="C187" s="990"/>
      <c r="D187" s="990"/>
      <c r="E187" s="990"/>
      <c r="F187" s="978">
        <v>0.05</v>
      </c>
    </row>
    <row r="188" spans="1:6" ht="24.6" thickBot="1">
      <c r="A188" s="778" t="s">
        <v>526</v>
      </c>
      <c r="B188" s="772" t="s">
        <v>894</v>
      </c>
      <c r="C188" s="990"/>
      <c r="D188" s="990"/>
      <c r="E188" s="990"/>
      <c r="F188" s="978">
        <v>0.05</v>
      </c>
    </row>
    <row r="189" spans="1:6" ht="24.6" thickBot="1">
      <c r="A189" s="778" t="s">
        <v>526</v>
      </c>
      <c r="B189" s="772" t="s">
        <v>895</v>
      </c>
      <c r="C189" s="990"/>
      <c r="D189" s="990"/>
      <c r="E189" s="990"/>
      <c r="F189" s="978">
        <v>0.05</v>
      </c>
    </row>
    <row r="190" spans="1:6" ht="24.6" thickBot="1">
      <c r="A190" s="778" t="s">
        <v>526</v>
      </c>
      <c r="B190" s="772" t="s">
        <v>896</v>
      </c>
      <c r="C190" s="990"/>
      <c r="D190" s="990"/>
      <c r="E190" s="990"/>
      <c r="F190" s="978">
        <v>0.05</v>
      </c>
    </row>
    <row r="191" spans="1:6" ht="24.6" thickBot="1">
      <c r="A191" s="778" t="s">
        <v>526</v>
      </c>
      <c r="B191" s="772" t="s">
        <v>897</v>
      </c>
      <c r="C191" s="990"/>
      <c r="D191" s="990"/>
      <c r="E191" s="990"/>
      <c r="F191" s="978">
        <v>0.05</v>
      </c>
    </row>
    <row r="192" spans="1:6" ht="24.6" thickBot="1">
      <c r="A192" s="778" t="s">
        <v>526</v>
      </c>
      <c r="B192" s="772" t="s">
        <v>898</v>
      </c>
      <c r="C192" s="990"/>
      <c r="D192" s="990"/>
      <c r="E192" s="990"/>
      <c r="F192" s="978">
        <v>0.05</v>
      </c>
    </row>
    <row r="193" spans="1:6" ht="24.6" thickBot="1">
      <c r="A193" s="778" t="s">
        <v>526</v>
      </c>
      <c r="B193" s="772" t="s">
        <v>899</v>
      </c>
      <c r="C193" s="990"/>
      <c r="D193" s="990"/>
      <c r="E193" s="990"/>
      <c r="F193" s="978">
        <v>0.05</v>
      </c>
    </row>
    <row r="194" spans="1:6" ht="24.6" thickBot="1">
      <c r="A194" s="778" t="s">
        <v>526</v>
      </c>
      <c r="B194" s="772" t="s">
        <v>900</v>
      </c>
      <c r="C194" s="990"/>
      <c r="D194" s="990"/>
      <c r="E194" s="990"/>
      <c r="F194" s="978">
        <v>0.05</v>
      </c>
    </row>
    <row r="195" spans="1:6" ht="15" thickBot="1">
      <c r="A195" s="778" t="s">
        <v>526</v>
      </c>
      <c r="B195" s="772" t="s">
        <v>901</v>
      </c>
      <c r="C195" s="990"/>
      <c r="D195" s="990"/>
      <c r="E195" s="990"/>
      <c r="F195" s="978">
        <v>0.05</v>
      </c>
    </row>
    <row r="196" spans="1:6" ht="24.6" thickBot="1">
      <c r="A196" s="778" t="s">
        <v>526</v>
      </c>
      <c r="B196" s="772" t="s">
        <v>902</v>
      </c>
      <c r="C196" s="990"/>
      <c r="D196" s="990"/>
      <c r="E196" s="990"/>
      <c r="F196" s="978">
        <v>0.05</v>
      </c>
    </row>
    <row r="197" spans="1:6" ht="24.6" thickBot="1">
      <c r="A197" s="778" t="s">
        <v>526</v>
      </c>
      <c r="B197" s="772" t="s">
        <v>903</v>
      </c>
      <c r="C197" s="990"/>
      <c r="D197" s="990"/>
      <c r="E197" s="990"/>
      <c r="F197" s="978">
        <v>0.05</v>
      </c>
    </row>
    <row r="198" spans="1:6" ht="24.6" thickBot="1">
      <c r="A198" s="778" t="s">
        <v>526</v>
      </c>
      <c r="B198" s="772" t="s">
        <v>904</v>
      </c>
      <c r="C198" s="990"/>
      <c r="D198" s="990"/>
      <c r="E198" s="990"/>
      <c r="F198" s="978">
        <v>0.05</v>
      </c>
    </row>
    <row r="199" spans="1:6" ht="24.6" thickBot="1">
      <c r="A199" s="778" t="s">
        <v>526</v>
      </c>
      <c r="B199" s="772" t="s">
        <v>905</v>
      </c>
      <c r="C199" s="990"/>
      <c r="D199" s="990"/>
      <c r="E199" s="990"/>
      <c r="F199" s="978">
        <v>0.05</v>
      </c>
    </row>
    <row r="200" spans="1:6" ht="24.6" thickBot="1">
      <c r="A200" s="778" t="s">
        <v>526</v>
      </c>
      <c r="B200" s="772" t="s">
        <v>906</v>
      </c>
      <c r="C200" s="990"/>
      <c r="D200" s="990"/>
      <c r="E200" s="990"/>
      <c r="F200" s="978">
        <v>0.05</v>
      </c>
    </row>
    <row r="201" spans="1:6" ht="24.6" thickBot="1">
      <c r="A201" s="778" t="s">
        <v>526</v>
      </c>
      <c r="B201" s="772" t="s">
        <v>907</v>
      </c>
      <c r="C201" s="990"/>
      <c r="D201" s="990"/>
      <c r="E201" s="990"/>
      <c r="F201" s="978">
        <v>0.05</v>
      </c>
    </row>
    <row r="202" spans="1:6" ht="24.6" thickBot="1">
      <c r="A202" s="778" t="s">
        <v>526</v>
      </c>
      <c r="B202" s="772" t="s">
        <v>908</v>
      </c>
      <c r="C202" s="990"/>
      <c r="D202" s="990"/>
      <c r="E202" s="990"/>
      <c r="F202" s="978">
        <v>0.05</v>
      </c>
    </row>
    <row r="203" spans="1:6" ht="24.6" thickBot="1">
      <c r="A203" s="778" t="s">
        <v>526</v>
      </c>
      <c r="B203" s="772" t="s">
        <v>909</v>
      </c>
      <c r="C203" s="990"/>
      <c r="D203" s="990"/>
      <c r="E203" s="990"/>
      <c r="F203" s="978">
        <v>0.05</v>
      </c>
    </row>
    <row r="204" spans="1:6" ht="15" thickBot="1">
      <c r="A204" s="778" t="s">
        <v>526</v>
      </c>
      <c r="B204" s="772" t="s">
        <v>910</v>
      </c>
      <c r="C204" s="990"/>
      <c r="D204" s="990"/>
      <c r="E204" s="990"/>
      <c r="F204" s="978">
        <v>0.05</v>
      </c>
    </row>
    <row r="205" spans="1:6" ht="15" thickBot="1">
      <c r="A205" s="788" t="s">
        <v>526</v>
      </c>
      <c r="B205" s="784" t="s">
        <v>911</v>
      </c>
      <c r="C205" s="987"/>
      <c r="D205" s="987"/>
      <c r="E205" s="987"/>
      <c r="F205" s="980">
        <v>0.05</v>
      </c>
    </row>
    <row r="206" spans="1:6" ht="15" thickBot="1">
      <c r="A206" s="778" t="s">
        <v>528</v>
      </c>
      <c r="B206" s="779" t="s">
        <v>912</v>
      </c>
      <c r="C206" s="975">
        <v>0.15</v>
      </c>
      <c r="D206" s="975">
        <v>0.15</v>
      </c>
      <c r="E206" s="975">
        <v>0.15</v>
      </c>
      <c r="F206" s="976">
        <v>0.15</v>
      </c>
    </row>
    <row r="207" spans="1:6" ht="15" thickBot="1">
      <c r="A207" s="778" t="s">
        <v>528</v>
      </c>
      <c r="B207" s="772" t="s">
        <v>194</v>
      </c>
      <c r="C207" s="977">
        <v>0.15</v>
      </c>
      <c r="D207" s="977">
        <v>0.15</v>
      </c>
      <c r="E207" s="977">
        <v>0.15</v>
      </c>
      <c r="F207" s="978">
        <v>0.14399999999999999</v>
      </c>
    </row>
    <row r="208" spans="1:6" ht="15" thickBot="1">
      <c r="A208" s="778" t="s">
        <v>528</v>
      </c>
      <c r="B208" s="772" t="s">
        <v>207</v>
      </c>
      <c r="C208" s="977">
        <v>0.15</v>
      </c>
      <c r="D208" s="977">
        <v>0.15</v>
      </c>
      <c r="E208" s="977">
        <v>0.15</v>
      </c>
      <c r="F208" s="978">
        <v>0.15</v>
      </c>
    </row>
    <row r="209" spans="1:6" ht="15" thickBot="1">
      <c r="A209" s="778" t="s">
        <v>528</v>
      </c>
      <c r="B209" s="772" t="s">
        <v>220</v>
      </c>
      <c r="C209" s="977">
        <v>0.13700000000000001</v>
      </c>
      <c r="D209" s="977">
        <v>0.13700000000000001</v>
      </c>
      <c r="E209" s="977">
        <v>0.14000000000000001</v>
      </c>
      <c r="F209" s="978">
        <v>0.11700000000000001</v>
      </c>
    </row>
    <row r="210" spans="1:6" ht="15" thickBot="1">
      <c r="A210" s="778" t="s">
        <v>528</v>
      </c>
      <c r="B210" s="772" t="s">
        <v>913</v>
      </c>
      <c r="C210" s="977">
        <v>0.15</v>
      </c>
      <c r="D210" s="977">
        <v>0.15</v>
      </c>
      <c r="E210" s="977">
        <v>0.15</v>
      </c>
      <c r="F210" s="978">
        <v>0.13800000000000001</v>
      </c>
    </row>
    <row r="211" spans="1:6" ht="15" thickBot="1">
      <c r="A211" s="778" t="s">
        <v>528</v>
      </c>
      <c r="B211" s="772" t="s">
        <v>914</v>
      </c>
      <c r="C211" s="977">
        <v>0.13700000000000001</v>
      </c>
      <c r="D211" s="977">
        <v>0.13500000000000001</v>
      </c>
      <c r="E211" s="977">
        <v>0.13600000000000001</v>
      </c>
      <c r="F211" s="978">
        <v>0.1</v>
      </c>
    </row>
    <row r="212" spans="1:6" ht="15" thickBot="1">
      <c r="A212" s="778" t="s">
        <v>528</v>
      </c>
      <c r="B212" s="772" t="s">
        <v>915</v>
      </c>
      <c r="C212" s="977">
        <v>0.15</v>
      </c>
      <c r="D212" s="977">
        <v>0.15</v>
      </c>
      <c r="E212" s="977">
        <v>0.14799999999999999</v>
      </c>
      <c r="F212" s="978">
        <v>0.13600000000000001</v>
      </c>
    </row>
    <row r="213" spans="1:6" ht="15" thickBot="1">
      <c r="A213" s="778" t="s">
        <v>528</v>
      </c>
      <c r="B213" s="772" t="s">
        <v>265</v>
      </c>
      <c r="C213" s="977">
        <v>0.15</v>
      </c>
      <c r="D213" s="977">
        <v>0.15</v>
      </c>
      <c r="E213" s="977">
        <v>0.15</v>
      </c>
      <c r="F213" s="978">
        <v>0.13800000000000001</v>
      </c>
    </row>
    <row r="214" spans="1:6" ht="15" thickBot="1">
      <c r="A214" s="778" t="s">
        <v>528</v>
      </c>
      <c r="B214" s="772" t="s">
        <v>277</v>
      </c>
      <c r="C214" s="977">
        <v>9.0999999999999998E-2</v>
      </c>
      <c r="D214" s="977">
        <v>0.09</v>
      </c>
      <c r="E214" s="977">
        <v>9.1999999999999998E-2</v>
      </c>
      <c r="F214" s="989"/>
    </row>
    <row r="215" spans="1:6" ht="15" thickBot="1">
      <c r="A215" s="778" t="s">
        <v>528</v>
      </c>
      <c r="B215" s="772" t="s">
        <v>916</v>
      </c>
      <c r="C215" s="977">
        <v>0.15</v>
      </c>
      <c r="D215" s="977">
        <v>0.15</v>
      </c>
      <c r="E215" s="977">
        <v>0.15</v>
      </c>
      <c r="F215" s="978">
        <v>0.15</v>
      </c>
    </row>
    <row r="216" spans="1:6" ht="15" thickBot="1">
      <c r="A216" s="778" t="s">
        <v>528</v>
      </c>
      <c r="B216" s="772" t="s">
        <v>297</v>
      </c>
      <c r="C216" s="977">
        <v>0.14699999999999999</v>
      </c>
      <c r="D216" s="977">
        <v>0.14699999999999999</v>
      </c>
      <c r="E216" s="977">
        <v>0.15</v>
      </c>
      <c r="F216" s="978">
        <v>0.14000000000000001</v>
      </c>
    </row>
    <row r="217" spans="1:6" ht="15" thickBot="1">
      <c r="A217" s="778" t="s">
        <v>528</v>
      </c>
      <c r="B217" s="772" t="s">
        <v>307</v>
      </c>
      <c r="C217" s="977">
        <v>0.15</v>
      </c>
      <c r="D217" s="977">
        <v>0.15</v>
      </c>
      <c r="E217" s="977">
        <v>0.15</v>
      </c>
      <c r="F217" s="978">
        <v>0.15</v>
      </c>
    </row>
    <row r="218" spans="1:6" ht="15" thickBot="1">
      <c r="A218" s="778" t="s">
        <v>528</v>
      </c>
      <c r="B218" s="772" t="s">
        <v>917</v>
      </c>
      <c r="C218" s="977">
        <v>0.15</v>
      </c>
      <c r="D218" s="977">
        <v>0.15</v>
      </c>
      <c r="E218" s="977">
        <v>0.15</v>
      </c>
      <c r="F218" s="978">
        <v>0.15</v>
      </c>
    </row>
    <row r="219" spans="1:6" ht="15" thickBot="1">
      <c r="A219" s="778" t="s">
        <v>528</v>
      </c>
      <c r="B219" s="772" t="s">
        <v>328</v>
      </c>
      <c r="C219" s="977">
        <v>0.15</v>
      </c>
      <c r="D219" s="977">
        <v>0.15</v>
      </c>
      <c r="E219" s="977">
        <v>0.15</v>
      </c>
      <c r="F219" s="978">
        <v>0.14799999999999999</v>
      </c>
    </row>
    <row r="220" spans="1:6" ht="15" thickBot="1">
      <c r="A220" s="778" t="s">
        <v>528</v>
      </c>
      <c r="B220" s="772" t="s">
        <v>918</v>
      </c>
      <c r="C220" s="977">
        <v>0.15</v>
      </c>
      <c r="D220" s="977">
        <v>0.15</v>
      </c>
      <c r="E220" s="977">
        <v>0.15</v>
      </c>
      <c r="F220" s="978">
        <v>0.15</v>
      </c>
    </row>
    <row r="221" spans="1:6" ht="15" thickBot="1">
      <c r="A221" s="778" t="s">
        <v>528</v>
      </c>
      <c r="B221" s="772" t="s">
        <v>349</v>
      </c>
      <c r="C221" s="977"/>
      <c r="D221" s="990"/>
      <c r="E221" s="990"/>
      <c r="F221" s="978">
        <v>0.14799999999999999</v>
      </c>
    </row>
    <row r="222" spans="1:6" ht="15" thickBot="1">
      <c r="A222" s="778" t="s">
        <v>528</v>
      </c>
      <c r="B222" s="772" t="s">
        <v>359</v>
      </c>
      <c r="C222" s="977"/>
      <c r="D222" s="990"/>
      <c r="E222" s="990"/>
      <c r="F222" s="978">
        <v>0.1</v>
      </c>
    </row>
    <row r="223" spans="1:6" ht="15" thickBot="1">
      <c r="A223" s="778" t="s">
        <v>528</v>
      </c>
      <c r="B223" s="772" t="s">
        <v>369</v>
      </c>
      <c r="C223" s="977"/>
      <c r="D223" s="990"/>
      <c r="E223" s="990"/>
      <c r="F223" s="978">
        <v>0.15</v>
      </c>
    </row>
    <row r="224" spans="1:6" ht="15" thickBot="1">
      <c r="A224" s="778" t="s">
        <v>528</v>
      </c>
      <c r="B224" s="772" t="s">
        <v>379</v>
      </c>
      <c r="C224" s="977"/>
      <c r="D224" s="990"/>
      <c r="E224" s="990"/>
      <c r="F224" s="978">
        <v>0.15</v>
      </c>
    </row>
    <row r="225" spans="1:6" ht="15" thickBot="1">
      <c r="A225" s="778" t="s">
        <v>528</v>
      </c>
      <c r="B225" s="772" t="s">
        <v>919</v>
      </c>
      <c r="C225" s="977">
        <v>0.15</v>
      </c>
      <c r="D225" s="977">
        <v>0.15</v>
      </c>
      <c r="E225" s="977">
        <v>0.15</v>
      </c>
      <c r="F225" s="978">
        <v>0.15</v>
      </c>
    </row>
    <row r="226" spans="1:6" ht="15" thickBot="1">
      <c r="A226" s="778" t="s">
        <v>528</v>
      </c>
      <c r="B226" s="772" t="s">
        <v>397</v>
      </c>
      <c r="C226" s="977">
        <v>0.15</v>
      </c>
      <c r="D226" s="977">
        <v>0.15</v>
      </c>
      <c r="E226" s="977">
        <v>0.15</v>
      </c>
      <c r="F226" s="978">
        <v>0.14799999999999999</v>
      </c>
    </row>
    <row r="227" spans="1:6" ht="15" thickBot="1">
      <c r="A227" s="778" t="s">
        <v>528</v>
      </c>
      <c r="B227" s="772" t="s">
        <v>920</v>
      </c>
      <c r="C227" s="977">
        <v>0.15</v>
      </c>
      <c r="D227" s="977">
        <v>0.15</v>
      </c>
      <c r="E227" s="977">
        <v>0.15</v>
      </c>
      <c r="F227" s="978">
        <v>0.15</v>
      </c>
    </row>
    <row r="228" spans="1:6" ht="15" thickBot="1">
      <c r="A228" s="778" t="s">
        <v>528</v>
      </c>
      <c r="B228" s="772" t="s">
        <v>412</v>
      </c>
      <c r="C228" s="977">
        <v>0.15</v>
      </c>
      <c r="D228" s="977">
        <v>0.15</v>
      </c>
      <c r="E228" s="977">
        <v>0.15</v>
      </c>
      <c r="F228" s="978">
        <v>0.15</v>
      </c>
    </row>
    <row r="229" spans="1:6" ht="15" thickBot="1">
      <c r="A229" s="778" t="s">
        <v>528</v>
      </c>
      <c r="B229" s="772" t="s">
        <v>419</v>
      </c>
      <c r="C229" s="977">
        <v>0.15</v>
      </c>
      <c r="D229" s="977">
        <v>0.15</v>
      </c>
      <c r="E229" s="977">
        <v>0.15</v>
      </c>
      <c r="F229" s="989"/>
    </row>
    <row r="230" spans="1:6" ht="15" thickBot="1">
      <c r="A230" s="778" t="s">
        <v>528</v>
      </c>
      <c r="B230" s="772" t="s">
        <v>426</v>
      </c>
      <c r="C230" s="977">
        <v>0.14499999999999999</v>
      </c>
      <c r="D230" s="977">
        <v>0.14499999999999999</v>
      </c>
      <c r="E230" s="977">
        <v>0.14399999999999999</v>
      </c>
      <c r="F230" s="989"/>
    </row>
    <row r="231" spans="1:6" ht="15" thickBot="1">
      <c r="A231" s="778" t="s">
        <v>528</v>
      </c>
      <c r="B231" s="772" t="s">
        <v>921</v>
      </c>
      <c r="C231" s="977">
        <v>0.128</v>
      </c>
      <c r="D231" s="977">
        <v>0.125</v>
      </c>
      <c r="E231" s="977">
        <v>0.13200000000000001</v>
      </c>
      <c r="F231" s="989"/>
    </row>
    <row r="232" spans="1:6" ht="15" thickBot="1">
      <c r="A232" s="778" t="s">
        <v>528</v>
      </c>
      <c r="B232" s="772" t="s">
        <v>922</v>
      </c>
      <c r="C232" s="977">
        <v>0.14499999999999999</v>
      </c>
      <c r="D232" s="977">
        <v>0.14399999999999999</v>
      </c>
      <c r="E232" s="977">
        <v>0.14599999999999999</v>
      </c>
      <c r="F232" s="978">
        <v>0.13800000000000001</v>
      </c>
    </row>
    <row r="233" spans="1:6" ht="15" thickBot="1">
      <c r="A233" s="778" t="s">
        <v>528</v>
      </c>
      <c r="B233" s="772" t="s">
        <v>923</v>
      </c>
      <c r="C233" s="977">
        <v>0.14499999999999999</v>
      </c>
      <c r="D233" s="977">
        <v>0.14299999999999999</v>
      </c>
      <c r="E233" s="977">
        <v>0.14199999999999999</v>
      </c>
      <c r="F233" s="989"/>
    </row>
    <row r="234" spans="1:6" ht="15" thickBot="1">
      <c r="A234" s="778" t="s">
        <v>528</v>
      </c>
      <c r="B234" s="772" t="s">
        <v>924</v>
      </c>
      <c r="C234" s="977">
        <v>0.14000000000000001</v>
      </c>
      <c r="D234" s="977">
        <v>0.14000000000000001</v>
      </c>
      <c r="E234" s="977">
        <v>0.14399999999999999</v>
      </c>
      <c r="F234" s="989"/>
    </row>
    <row r="235" spans="1:6" ht="15" thickBot="1">
      <c r="A235" s="778" t="s">
        <v>528</v>
      </c>
      <c r="B235" s="772" t="s">
        <v>925</v>
      </c>
      <c r="C235" s="977">
        <v>0.14099999999999999</v>
      </c>
      <c r="D235" s="977">
        <v>0.14199999999999999</v>
      </c>
      <c r="E235" s="977">
        <v>0.14499999999999999</v>
      </c>
      <c r="F235" s="978">
        <v>0.15</v>
      </c>
    </row>
    <row r="236" spans="1:6" ht="15" thickBot="1">
      <c r="A236" s="778" t="s">
        <v>528</v>
      </c>
      <c r="B236" s="772" t="s">
        <v>461</v>
      </c>
      <c r="C236" s="990"/>
      <c r="D236" s="990"/>
      <c r="E236" s="990"/>
      <c r="F236" s="978">
        <v>0.14299999999999999</v>
      </c>
    </row>
    <row r="237" spans="1:6" ht="24.6" thickBot="1">
      <c r="A237" s="778" t="s">
        <v>528</v>
      </c>
      <c r="B237" s="772" t="s">
        <v>926</v>
      </c>
      <c r="C237" s="990"/>
      <c r="D237" s="990"/>
      <c r="E237" s="990"/>
      <c r="F237" s="978">
        <v>0.05</v>
      </c>
    </row>
    <row r="238" spans="1:6" ht="24.6" thickBot="1">
      <c r="A238" s="778" t="s">
        <v>528</v>
      </c>
      <c r="B238" s="772" t="s">
        <v>927</v>
      </c>
      <c r="C238" s="990"/>
      <c r="D238" s="990"/>
      <c r="E238" s="990"/>
      <c r="F238" s="978">
        <v>0.05</v>
      </c>
    </row>
    <row r="239" spans="1:6" ht="24.6" thickBot="1">
      <c r="A239" s="778" t="s">
        <v>528</v>
      </c>
      <c r="B239" s="772" t="s">
        <v>928</v>
      </c>
      <c r="C239" s="990"/>
      <c r="D239" s="990"/>
      <c r="E239" s="990"/>
      <c r="F239" s="978">
        <v>0.05</v>
      </c>
    </row>
    <row r="240" spans="1:6" ht="24.6" thickBot="1">
      <c r="A240" s="778" t="s">
        <v>528</v>
      </c>
      <c r="B240" s="772" t="s">
        <v>929</v>
      </c>
      <c r="C240" s="990"/>
      <c r="D240" s="990"/>
      <c r="E240" s="990"/>
      <c r="F240" s="978">
        <v>0.05</v>
      </c>
    </row>
    <row r="241" spans="1:6" ht="24.6" thickBot="1">
      <c r="A241" s="778" t="s">
        <v>528</v>
      </c>
      <c r="B241" s="772" t="s">
        <v>930</v>
      </c>
      <c r="C241" s="990"/>
      <c r="D241" s="990"/>
      <c r="E241" s="990"/>
      <c r="F241" s="978">
        <v>0.05</v>
      </c>
    </row>
    <row r="242" spans="1:6" ht="24.6" thickBot="1">
      <c r="A242" s="778" t="s">
        <v>528</v>
      </c>
      <c r="B242" s="772" t="s">
        <v>931</v>
      </c>
      <c r="C242" s="990"/>
      <c r="D242" s="990"/>
      <c r="E242" s="990"/>
      <c r="F242" s="978">
        <v>0.05</v>
      </c>
    </row>
    <row r="243" spans="1:6" ht="24.6" thickBot="1">
      <c r="A243" s="778" t="s">
        <v>528</v>
      </c>
      <c r="B243" s="772" t="s">
        <v>932</v>
      </c>
      <c r="C243" s="990"/>
      <c r="D243" s="990"/>
      <c r="E243" s="990"/>
      <c r="F243" s="978">
        <v>0.05</v>
      </c>
    </row>
    <row r="244" spans="1:6" ht="24.6" thickBot="1">
      <c r="A244" s="788" t="s">
        <v>528</v>
      </c>
      <c r="B244" s="784" t="s">
        <v>933</v>
      </c>
      <c r="C244" s="987"/>
      <c r="D244" s="987"/>
      <c r="E244" s="987"/>
      <c r="F244" s="980">
        <v>0.05</v>
      </c>
    </row>
    <row r="245" spans="1:6" ht="15" thickBot="1">
      <c r="A245" s="778" t="s">
        <v>530</v>
      </c>
      <c r="B245" s="779" t="s">
        <v>934</v>
      </c>
      <c r="C245" s="975">
        <v>0.15</v>
      </c>
      <c r="D245" s="975">
        <v>0.15</v>
      </c>
      <c r="E245" s="975">
        <v>0.15</v>
      </c>
      <c r="F245" s="976">
        <v>0.14299999999999999</v>
      </c>
    </row>
    <row r="246" spans="1:6" ht="15" thickBot="1">
      <c r="A246" s="778" t="s">
        <v>530</v>
      </c>
      <c r="B246" s="772" t="s">
        <v>195</v>
      </c>
      <c r="C246" s="977">
        <v>0.15</v>
      </c>
      <c r="D246" s="977">
        <v>0.15</v>
      </c>
      <c r="E246" s="977">
        <v>0.15</v>
      </c>
      <c r="F246" s="978">
        <v>0.114</v>
      </c>
    </row>
    <row r="247" spans="1:6" ht="15" thickBot="1">
      <c r="A247" s="778" t="s">
        <v>530</v>
      </c>
      <c r="B247" s="772" t="s">
        <v>935</v>
      </c>
      <c r="C247" s="977">
        <v>0.15</v>
      </c>
      <c r="D247" s="977">
        <v>0.15</v>
      </c>
      <c r="E247" s="977">
        <v>0.15</v>
      </c>
      <c r="F247" s="978">
        <v>0.15</v>
      </c>
    </row>
    <row r="248" spans="1:6" ht="15" thickBot="1">
      <c r="A248" s="778" t="s">
        <v>530</v>
      </c>
      <c r="B248" s="772" t="s">
        <v>936</v>
      </c>
      <c r="C248" s="977">
        <v>0.15</v>
      </c>
      <c r="D248" s="977">
        <v>0.15</v>
      </c>
      <c r="E248" s="977">
        <v>0.15</v>
      </c>
      <c r="F248" s="978">
        <v>0.14000000000000001</v>
      </c>
    </row>
    <row r="249" spans="1:6" ht="15" thickBot="1">
      <c r="A249" s="778" t="s">
        <v>530</v>
      </c>
      <c r="B249" s="772" t="s">
        <v>937</v>
      </c>
      <c r="C249" s="977">
        <v>0.15</v>
      </c>
      <c r="D249" s="977">
        <v>0.14899999999999999</v>
      </c>
      <c r="E249" s="977">
        <v>0.15</v>
      </c>
      <c r="F249" s="978">
        <v>0.1</v>
      </c>
    </row>
    <row r="250" spans="1:6" ht="15" thickBot="1">
      <c r="A250" s="778" t="s">
        <v>530</v>
      </c>
      <c r="B250" s="772" t="s">
        <v>938</v>
      </c>
      <c r="C250" s="977">
        <v>0.15</v>
      </c>
      <c r="D250" s="977">
        <v>0.15</v>
      </c>
      <c r="E250" s="977">
        <v>0.15</v>
      </c>
      <c r="F250" s="978">
        <v>0.14399999999999999</v>
      </c>
    </row>
    <row r="251" spans="1:6" ht="15" thickBot="1">
      <c r="A251" s="778" t="s">
        <v>530</v>
      </c>
      <c r="B251" s="772" t="s">
        <v>255</v>
      </c>
      <c r="C251" s="977">
        <v>0.15</v>
      </c>
      <c r="D251" s="977">
        <v>0.15</v>
      </c>
      <c r="E251" s="977">
        <v>0.15</v>
      </c>
      <c r="F251" s="978">
        <v>0.14299999999999999</v>
      </c>
    </row>
    <row r="252" spans="1:6" ht="15" thickBot="1">
      <c r="A252" s="778" t="s">
        <v>530</v>
      </c>
      <c r="B252" s="772" t="s">
        <v>266</v>
      </c>
      <c r="C252" s="977">
        <v>0.15</v>
      </c>
      <c r="D252" s="977">
        <v>0.15</v>
      </c>
      <c r="E252" s="977">
        <v>0.15</v>
      </c>
      <c r="F252" s="978">
        <v>0.1</v>
      </c>
    </row>
    <row r="253" spans="1:6" ht="15" thickBot="1">
      <c r="A253" s="778" t="s">
        <v>530</v>
      </c>
      <c r="B253" s="772" t="s">
        <v>278</v>
      </c>
      <c r="C253" s="977">
        <v>0.15</v>
      </c>
      <c r="D253" s="977">
        <v>0.15</v>
      </c>
      <c r="E253" s="977">
        <v>0.15</v>
      </c>
      <c r="F253" s="978">
        <v>0.1</v>
      </c>
    </row>
    <row r="254" spans="1:6" ht="15" thickBot="1">
      <c r="A254" s="778" t="s">
        <v>530</v>
      </c>
      <c r="B254" s="772" t="s">
        <v>288</v>
      </c>
      <c r="C254" s="990"/>
      <c r="D254" s="990"/>
      <c r="E254" s="990"/>
      <c r="F254" s="978">
        <v>0.15</v>
      </c>
    </row>
    <row r="255" spans="1:6" ht="15" thickBot="1">
      <c r="A255" s="778" t="s">
        <v>530</v>
      </c>
      <c r="B255" s="772" t="s">
        <v>298</v>
      </c>
      <c r="C255" s="990"/>
      <c r="D255" s="990"/>
      <c r="E255" s="990"/>
      <c r="F255" s="978">
        <v>0.14299999999999999</v>
      </c>
    </row>
    <row r="256" spans="1:6" ht="15" thickBot="1">
      <c r="A256" s="778" t="s">
        <v>530</v>
      </c>
      <c r="B256" s="772" t="s">
        <v>939</v>
      </c>
      <c r="C256" s="977">
        <v>0.14599999999999999</v>
      </c>
      <c r="D256" s="977">
        <v>0.14699999999999999</v>
      </c>
      <c r="E256" s="977">
        <v>0.15</v>
      </c>
      <c r="F256" s="978">
        <v>0.13200000000000001</v>
      </c>
    </row>
    <row r="257" spans="1:6" ht="15" thickBot="1">
      <c r="A257" s="778" t="s">
        <v>530</v>
      </c>
      <c r="B257" s="772" t="s">
        <v>318</v>
      </c>
      <c r="C257" s="977">
        <v>0.15</v>
      </c>
      <c r="D257" s="977">
        <v>0.15</v>
      </c>
      <c r="E257" s="977">
        <v>0.15</v>
      </c>
      <c r="F257" s="978">
        <v>0.13900000000000001</v>
      </c>
    </row>
    <row r="258" spans="1:6" ht="15" thickBot="1">
      <c r="A258" s="778" t="s">
        <v>530</v>
      </c>
      <c r="B258" s="772" t="s">
        <v>329</v>
      </c>
      <c r="C258" s="977">
        <v>0.15</v>
      </c>
      <c r="D258" s="977">
        <v>0.15</v>
      </c>
      <c r="E258" s="977">
        <v>0.15</v>
      </c>
      <c r="F258" s="978">
        <v>0.13</v>
      </c>
    </row>
    <row r="259" spans="1:6" ht="15" thickBot="1">
      <c r="A259" s="778" t="s">
        <v>530</v>
      </c>
      <c r="B259" s="772" t="s">
        <v>940</v>
      </c>
      <c r="C259" s="977">
        <v>0.14799999999999999</v>
      </c>
      <c r="D259" s="977">
        <v>0.14899999999999999</v>
      </c>
      <c r="E259" s="977">
        <v>0.15</v>
      </c>
      <c r="F259" s="978">
        <v>0.13700000000000001</v>
      </c>
    </row>
    <row r="260" spans="1:6" ht="15" thickBot="1">
      <c r="A260" s="778" t="s">
        <v>530</v>
      </c>
      <c r="B260" s="772" t="s">
        <v>350</v>
      </c>
      <c r="C260" s="977">
        <v>0.15</v>
      </c>
      <c r="D260" s="977">
        <v>0.15</v>
      </c>
      <c r="E260" s="977">
        <v>0.15</v>
      </c>
      <c r="F260" s="978">
        <v>0.14199999999999999</v>
      </c>
    </row>
    <row r="261" spans="1:6" ht="15" thickBot="1">
      <c r="A261" s="778" t="s">
        <v>530</v>
      </c>
      <c r="B261" s="772" t="s">
        <v>360</v>
      </c>
      <c r="C261" s="977">
        <v>0.15</v>
      </c>
      <c r="D261" s="977">
        <v>0.15</v>
      </c>
      <c r="E261" s="977">
        <v>0.14899999999999999</v>
      </c>
      <c r="F261" s="978">
        <v>0.14799999999999999</v>
      </c>
    </row>
    <row r="262" spans="1:6" ht="15" thickBot="1">
      <c r="A262" s="778" t="s">
        <v>530</v>
      </c>
      <c r="B262" s="772" t="s">
        <v>370</v>
      </c>
      <c r="C262" s="977">
        <v>0.15</v>
      </c>
      <c r="D262" s="977">
        <v>0.15</v>
      </c>
      <c r="E262" s="977">
        <v>0.15</v>
      </c>
      <c r="F262" s="989"/>
    </row>
    <row r="263" spans="1:6" ht="15" thickBot="1">
      <c r="A263" s="778" t="s">
        <v>530</v>
      </c>
      <c r="B263" s="772" t="s">
        <v>941</v>
      </c>
      <c r="C263" s="977">
        <v>0.14899999999999999</v>
      </c>
      <c r="D263" s="977">
        <v>0.14899999999999999</v>
      </c>
      <c r="E263" s="977">
        <v>0.15</v>
      </c>
      <c r="F263" s="978">
        <v>0.13</v>
      </c>
    </row>
    <row r="264" spans="1:6" ht="15" thickBot="1">
      <c r="A264" s="778" t="s">
        <v>530</v>
      </c>
      <c r="B264" s="772" t="s">
        <v>389</v>
      </c>
      <c r="C264" s="977">
        <v>0.14799999999999999</v>
      </c>
      <c r="D264" s="977">
        <v>0.14699999999999999</v>
      </c>
      <c r="E264" s="977">
        <v>0.15</v>
      </c>
      <c r="F264" s="978">
        <v>7.8E-2</v>
      </c>
    </row>
    <row r="265" spans="1:6" ht="15" thickBot="1">
      <c r="A265" s="778" t="s">
        <v>530</v>
      </c>
      <c r="B265" s="772" t="s">
        <v>398</v>
      </c>
      <c r="C265" s="977">
        <v>0.15</v>
      </c>
      <c r="D265" s="977">
        <v>0.15</v>
      </c>
      <c r="E265" s="977">
        <v>0.15</v>
      </c>
      <c r="F265" s="978">
        <v>7.3999999999999996E-2</v>
      </c>
    </row>
    <row r="266" spans="1:6" ht="15" thickBot="1">
      <c r="A266" s="778" t="s">
        <v>530</v>
      </c>
      <c r="B266" s="772" t="s">
        <v>406</v>
      </c>
      <c r="C266" s="977">
        <v>0.14699999999999999</v>
      </c>
      <c r="D266" s="977">
        <v>0.14699999999999999</v>
      </c>
      <c r="E266" s="977">
        <v>0.15</v>
      </c>
      <c r="F266" s="978">
        <v>0.14299999999999999</v>
      </c>
    </row>
    <row r="267" spans="1:6" ht="15" thickBot="1">
      <c r="A267" s="778" t="s">
        <v>530</v>
      </c>
      <c r="B267" s="772" t="s">
        <v>413</v>
      </c>
      <c r="C267" s="977">
        <v>0.14199999999999999</v>
      </c>
      <c r="D267" s="977">
        <v>0.14299999999999999</v>
      </c>
      <c r="E267" s="977">
        <v>0.15</v>
      </c>
      <c r="F267" s="989"/>
    </row>
    <row r="268" spans="1:6" ht="15" thickBot="1">
      <c r="A268" s="778" t="s">
        <v>530</v>
      </c>
      <c r="B268" s="772" t="s">
        <v>942</v>
      </c>
      <c r="C268" s="977">
        <v>0.15</v>
      </c>
      <c r="D268" s="977">
        <v>0.15</v>
      </c>
      <c r="E268" s="977">
        <v>0.15</v>
      </c>
      <c r="F268" s="978">
        <v>0.13</v>
      </c>
    </row>
    <row r="269" spans="1:6" ht="15" thickBot="1">
      <c r="A269" s="778" t="s">
        <v>530</v>
      </c>
      <c r="B269" s="772" t="s">
        <v>427</v>
      </c>
      <c r="C269" s="977">
        <v>0.15</v>
      </c>
      <c r="D269" s="977">
        <v>0.15</v>
      </c>
      <c r="E269" s="977">
        <v>0.15</v>
      </c>
      <c r="F269" s="978">
        <v>0.14299999999999999</v>
      </c>
    </row>
    <row r="270" spans="1:6" ht="15" thickBot="1">
      <c r="A270" s="778" t="s">
        <v>530</v>
      </c>
      <c r="B270" s="772" t="s">
        <v>434</v>
      </c>
      <c r="C270" s="977">
        <v>0.14499999999999999</v>
      </c>
      <c r="D270" s="977">
        <v>0.14499999999999999</v>
      </c>
      <c r="E270" s="977">
        <v>0.15</v>
      </c>
      <c r="F270" s="978">
        <v>0.14699999999999999</v>
      </c>
    </row>
    <row r="271" spans="1:6" ht="15" thickBot="1">
      <c r="A271" s="778" t="s">
        <v>530</v>
      </c>
      <c r="B271" s="772" t="s">
        <v>441</v>
      </c>
      <c r="C271" s="977">
        <v>0.15</v>
      </c>
      <c r="D271" s="977">
        <v>0.15</v>
      </c>
      <c r="E271" s="977">
        <v>0.15</v>
      </c>
      <c r="F271" s="978">
        <v>0.13800000000000001</v>
      </c>
    </row>
    <row r="272" spans="1:6" ht="15" thickBot="1">
      <c r="A272" s="778" t="s">
        <v>530</v>
      </c>
      <c r="B272" s="772" t="s">
        <v>448</v>
      </c>
      <c r="C272" s="990"/>
      <c r="D272" s="990"/>
      <c r="E272" s="990"/>
      <c r="F272" s="978">
        <v>0.14000000000000001</v>
      </c>
    </row>
    <row r="273" spans="1:6" ht="15" thickBot="1">
      <c r="A273" s="778" t="s">
        <v>530</v>
      </c>
      <c r="B273" s="772" t="s">
        <v>943</v>
      </c>
      <c r="C273" s="977">
        <v>0.14199999999999999</v>
      </c>
      <c r="D273" s="977">
        <v>0.14299999999999999</v>
      </c>
      <c r="E273" s="977">
        <v>0.15</v>
      </c>
      <c r="F273" s="978">
        <v>0.1</v>
      </c>
    </row>
    <row r="274" spans="1:6" ht="15" thickBot="1">
      <c r="A274" s="778" t="s">
        <v>530</v>
      </c>
      <c r="B274" s="772" t="s">
        <v>944</v>
      </c>
      <c r="C274" s="977">
        <v>0.14799999999999999</v>
      </c>
      <c r="D274" s="977">
        <v>0.14799999999999999</v>
      </c>
      <c r="E274" s="977">
        <v>0.15</v>
      </c>
      <c r="F274" s="978">
        <v>6.7000000000000004E-2</v>
      </c>
    </row>
    <row r="275" spans="1:6" ht="15" thickBot="1">
      <c r="A275" s="778" t="s">
        <v>530</v>
      </c>
      <c r="B275" s="772" t="s">
        <v>945</v>
      </c>
      <c r="C275" s="977">
        <v>0.15</v>
      </c>
      <c r="D275" s="977">
        <v>0.15</v>
      </c>
      <c r="E275" s="977">
        <v>0.15</v>
      </c>
      <c r="F275" s="978">
        <v>0.15</v>
      </c>
    </row>
    <row r="276" spans="1:6" ht="15" thickBot="1">
      <c r="A276" s="778" t="s">
        <v>530</v>
      </c>
      <c r="B276" s="772" t="s">
        <v>946</v>
      </c>
      <c r="C276" s="977">
        <v>0.14499999999999999</v>
      </c>
      <c r="D276" s="977">
        <v>0.14299999999999999</v>
      </c>
      <c r="E276" s="977">
        <v>0.15</v>
      </c>
      <c r="F276" s="978">
        <v>5.8999999999999997E-2</v>
      </c>
    </row>
    <row r="277" spans="1:6" ht="15" thickBot="1">
      <c r="A277" s="778" t="s">
        <v>530</v>
      </c>
      <c r="B277" s="772" t="s">
        <v>947</v>
      </c>
      <c r="C277" s="977">
        <v>0.15</v>
      </c>
      <c r="D277" s="977">
        <v>0.15</v>
      </c>
      <c r="E277" s="977">
        <v>0.15</v>
      </c>
      <c r="F277" s="978">
        <v>0.121</v>
      </c>
    </row>
    <row r="278" spans="1:6" ht="15" thickBot="1">
      <c r="A278" s="778" t="s">
        <v>530</v>
      </c>
      <c r="B278" s="772" t="s">
        <v>948</v>
      </c>
      <c r="C278" s="977">
        <v>0.15</v>
      </c>
      <c r="D278" s="977">
        <v>0.15</v>
      </c>
      <c r="E278" s="977">
        <v>0.15</v>
      </c>
      <c r="F278" s="978">
        <v>0.13800000000000001</v>
      </c>
    </row>
    <row r="279" spans="1:6" ht="24.6" thickBot="1">
      <c r="A279" s="778" t="s">
        <v>530</v>
      </c>
      <c r="B279" s="772" t="s">
        <v>949</v>
      </c>
      <c r="C279" s="990"/>
      <c r="D279" s="990"/>
      <c r="E279" s="990"/>
      <c r="F279" s="978">
        <v>0.05</v>
      </c>
    </row>
    <row r="280" spans="1:6" ht="24.6" thickBot="1">
      <c r="A280" s="778" t="s">
        <v>530</v>
      </c>
      <c r="B280" s="772" t="s">
        <v>950</v>
      </c>
      <c r="C280" s="990"/>
      <c r="D280" s="990"/>
      <c r="E280" s="990"/>
      <c r="F280" s="978">
        <v>0.05</v>
      </c>
    </row>
    <row r="281" spans="1:6" ht="24.6" thickBot="1">
      <c r="A281" s="778" t="s">
        <v>530</v>
      </c>
      <c r="B281" s="772" t="s">
        <v>951</v>
      </c>
      <c r="C281" s="990"/>
      <c r="D281" s="990"/>
      <c r="E281" s="990"/>
      <c r="F281" s="978">
        <v>0.05</v>
      </c>
    </row>
    <row r="282" spans="1:6" ht="24.6" thickBot="1">
      <c r="A282" s="778" t="s">
        <v>530</v>
      </c>
      <c r="B282" s="772" t="s">
        <v>952</v>
      </c>
      <c r="C282" s="990"/>
      <c r="D282" s="990"/>
      <c r="E282" s="990"/>
      <c r="F282" s="978">
        <v>0.05</v>
      </c>
    </row>
    <row r="283" spans="1:6" ht="24.6" thickBot="1">
      <c r="A283" s="778" t="s">
        <v>530</v>
      </c>
      <c r="B283" s="772" t="s">
        <v>953</v>
      </c>
      <c r="C283" s="990"/>
      <c r="D283" s="990"/>
      <c r="E283" s="990"/>
      <c r="F283" s="978">
        <v>0.05</v>
      </c>
    </row>
    <row r="284" spans="1:6" ht="24.6" thickBot="1">
      <c r="A284" s="778" t="s">
        <v>530</v>
      </c>
      <c r="B284" s="772" t="s">
        <v>954</v>
      </c>
      <c r="C284" s="990"/>
      <c r="D284" s="990"/>
      <c r="E284" s="990"/>
      <c r="F284" s="978">
        <v>0.05</v>
      </c>
    </row>
    <row r="285" spans="1:6" ht="24.6" thickBot="1">
      <c r="A285" s="778" t="s">
        <v>530</v>
      </c>
      <c r="B285" s="772" t="s">
        <v>955</v>
      </c>
      <c r="C285" s="990"/>
      <c r="D285" s="990"/>
      <c r="E285" s="990"/>
      <c r="F285" s="978">
        <v>0.05</v>
      </c>
    </row>
    <row r="286" spans="1:6" ht="24.6" thickBot="1">
      <c r="A286" s="778" t="s">
        <v>530</v>
      </c>
      <c r="B286" s="772" t="s">
        <v>956</v>
      </c>
      <c r="C286" s="990"/>
      <c r="D286" s="990"/>
      <c r="E286" s="990"/>
      <c r="F286" s="978">
        <v>0.05</v>
      </c>
    </row>
    <row r="287" spans="1:6" ht="24.6" thickBot="1">
      <c r="A287" s="778" t="s">
        <v>530</v>
      </c>
      <c r="B287" s="772" t="s">
        <v>957</v>
      </c>
      <c r="C287" s="990"/>
      <c r="D287" s="990"/>
      <c r="E287" s="990"/>
      <c r="F287" s="978">
        <v>0.05</v>
      </c>
    </row>
    <row r="288" spans="1:6" ht="24.6" thickBot="1">
      <c r="A288" s="778" t="s">
        <v>530</v>
      </c>
      <c r="B288" s="772" t="s">
        <v>958</v>
      </c>
      <c r="C288" s="990"/>
      <c r="D288" s="990"/>
      <c r="E288" s="990"/>
      <c r="F288" s="978">
        <v>0.05</v>
      </c>
    </row>
    <row r="289" spans="1:6" ht="24.6" thickBot="1">
      <c r="A289" s="788" t="s">
        <v>530</v>
      </c>
      <c r="B289" s="784" t="s">
        <v>959</v>
      </c>
      <c r="C289" s="987"/>
      <c r="D289" s="987"/>
      <c r="E289" s="987"/>
      <c r="F289" s="980">
        <v>0.05</v>
      </c>
    </row>
    <row r="290" spans="1:6" ht="15" thickBot="1">
      <c r="A290" s="778" t="s">
        <v>534</v>
      </c>
      <c r="B290" s="779" t="s">
        <v>960</v>
      </c>
      <c r="C290" s="975">
        <v>0.15</v>
      </c>
      <c r="D290" s="975">
        <v>0.15</v>
      </c>
      <c r="E290" s="975">
        <v>0.15</v>
      </c>
      <c r="F290" s="992"/>
    </row>
    <row r="291" spans="1:6" ht="15" thickBot="1">
      <c r="A291" s="778" t="s">
        <v>534</v>
      </c>
      <c r="B291" s="772" t="s">
        <v>196</v>
      </c>
      <c r="C291" s="977">
        <v>0.15</v>
      </c>
      <c r="D291" s="977">
        <v>0.15</v>
      </c>
      <c r="E291" s="977">
        <v>0.15</v>
      </c>
      <c r="F291" s="989"/>
    </row>
    <row r="292" spans="1:6" ht="15" thickBot="1">
      <c r="A292" s="778" t="s">
        <v>534</v>
      </c>
      <c r="B292" s="772" t="s">
        <v>961</v>
      </c>
      <c r="C292" s="977">
        <v>0.15</v>
      </c>
      <c r="D292" s="977">
        <v>0.15</v>
      </c>
      <c r="E292" s="977">
        <v>0.15</v>
      </c>
      <c r="F292" s="978">
        <v>0.14699999999999999</v>
      </c>
    </row>
    <row r="293" spans="1:6" ht="15" thickBot="1">
      <c r="A293" s="778" t="s">
        <v>534</v>
      </c>
      <c r="B293" s="772" t="s">
        <v>962</v>
      </c>
      <c r="C293" s="990"/>
      <c r="D293" s="990"/>
      <c r="E293" s="990"/>
      <c r="F293" s="978">
        <v>0.1</v>
      </c>
    </row>
    <row r="294" spans="1:6" ht="15" thickBot="1">
      <c r="A294" s="778" t="s">
        <v>534</v>
      </c>
      <c r="B294" s="772" t="s">
        <v>963</v>
      </c>
      <c r="C294" s="977">
        <v>0.15</v>
      </c>
      <c r="D294" s="977">
        <v>0.15</v>
      </c>
      <c r="E294" s="977">
        <v>0.15</v>
      </c>
      <c r="F294" s="978">
        <v>0.15</v>
      </c>
    </row>
    <row r="295" spans="1:6" ht="15" thickBot="1">
      <c r="A295" s="778" t="s">
        <v>534</v>
      </c>
      <c r="B295" s="772" t="s">
        <v>234</v>
      </c>
      <c r="C295" s="977">
        <v>0.15</v>
      </c>
      <c r="D295" s="977">
        <v>0.15</v>
      </c>
      <c r="E295" s="977">
        <v>0.15</v>
      </c>
      <c r="F295" s="978">
        <v>0.15</v>
      </c>
    </row>
    <row r="296" spans="1:6" ht="15" thickBot="1">
      <c r="A296" s="778" t="s">
        <v>534</v>
      </c>
      <c r="B296" s="772" t="s">
        <v>964</v>
      </c>
      <c r="C296" s="977">
        <v>0.15</v>
      </c>
      <c r="D296" s="977">
        <v>0.15</v>
      </c>
      <c r="E296" s="977">
        <v>0.15</v>
      </c>
      <c r="F296" s="978">
        <v>0.15</v>
      </c>
    </row>
    <row r="297" spans="1:6" ht="15" thickBot="1">
      <c r="A297" s="778" t="s">
        <v>534</v>
      </c>
      <c r="B297" s="772" t="s">
        <v>965</v>
      </c>
      <c r="C297" s="977">
        <v>0.14799999999999999</v>
      </c>
      <c r="D297" s="977">
        <v>0.14899999999999999</v>
      </c>
      <c r="E297" s="977">
        <v>0.15</v>
      </c>
      <c r="F297" s="978">
        <v>0.13700000000000001</v>
      </c>
    </row>
    <row r="298" spans="1:6" ht="15" thickBot="1">
      <c r="A298" s="778" t="s">
        <v>534</v>
      </c>
      <c r="B298" s="772" t="s">
        <v>267</v>
      </c>
      <c r="C298" s="977">
        <v>0.13400000000000001</v>
      </c>
      <c r="D298" s="977">
        <v>0.13400000000000001</v>
      </c>
      <c r="E298" s="977">
        <v>0.14499999999999999</v>
      </c>
      <c r="F298" s="978">
        <v>0.14799999999999999</v>
      </c>
    </row>
    <row r="299" spans="1:6" ht="15" thickBot="1">
      <c r="A299" s="778" t="s">
        <v>534</v>
      </c>
      <c r="B299" s="772" t="s">
        <v>279</v>
      </c>
      <c r="C299" s="977">
        <v>0.15</v>
      </c>
      <c r="D299" s="977">
        <v>0.15</v>
      </c>
      <c r="E299" s="977">
        <v>0.15</v>
      </c>
      <c r="F299" s="989"/>
    </row>
    <row r="300" spans="1:6" ht="15" thickBot="1">
      <c r="A300" s="778" t="s">
        <v>534</v>
      </c>
      <c r="B300" s="772" t="s">
        <v>966</v>
      </c>
      <c r="C300" s="977">
        <v>0.15</v>
      </c>
      <c r="D300" s="977">
        <v>0.15</v>
      </c>
      <c r="E300" s="977">
        <v>0.15</v>
      </c>
      <c r="F300" s="978">
        <v>0.15</v>
      </c>
    </row>
    <row r="301" spans="1:6" ht="15" thickBot="1">
      <c r="A301" s="778" t="s">
        <v>534</v>
      </c>
      <c r="B301" s="772" t="s">
        <v>299</v>
      </c>
      <c r="C301" s="977">
        <v>0.15</v>
      </c>
      <c r="D301" s="977">
        <v>0.15</v>
      </c>
      <c r="E301" s="977">
        <v>0.15</v>
      </c>
      <c r="F301" s="989"/>
    </row>
    <row r="302" spans="1:6" ht="15" thickBot="1">
      <c r="A302" s="778" t="s">
        <v>534</v>
      </c>
      <c r="B302" s="772" t="s">
        <v>967</v>
      </c>
      <c r="C302" s="977">
        <v>0.15</v>
      </c>
      <c r="D302" s="977">
        <v>0.15</v>
      </c>
      <c r="E302" s="977">
        <v>0.15</v>
      </c>
      <c r="F302" s="978">
        <v>0.15</v>
      </c>
    </row>
    <row r="303" spans="1:6" ht="15" thickBot="1">
      <c r="A303" s="778" t="s">
        <v>534</v>
      </c>
      <c r="B303" s="772" t="s">
        <v>319</v>
      </c>
      <c r="C303" s="977">
        <v>0.15</v>
      </c>
      <c r="D303" s="977">
        <v>0.15</v>
      </c>
      <c r="E303" s="977">
        <v>0.15</v>
      </c>
      <c r="F303" s="978">
        <v>0.15</v>
      </c>
    </row>
    <row r="304" spans="1:6" ht="15" thickBot="1">
      <c r="A304" s="778" t="s">
        <v>534</v>
      </c>
      <c r="B304" s="772" t="s">
        <v>330</v>
      </c>
      <c r="C304" s="977">
        <v>0.15</v>
      </c>
      <c r="D304" s="977">
        <v>0.15</v>
      </c>
      <c r="E304" s="977">
        <v>0.15</v>
      </c>
      <c r="F304" s="989"/>
    </row>
    <row r="305" spans="1:6" ht="15" thickBot="1">
      <c r="A305" s="778" t="s">
        <v>534</v>
      </c>
      <c r="B305" s="772" t="s">
        <v>968</v>
      </c>
      <c r="C305" s="977">
        <v>0.15</v>
      </c>
      <c r="D305" s="977">
        <v>0.15</v>
      </c>
      <c r="E305" s="977">
        <v>0.15</v>
      </c>
      <c r="F305" s="978">
        <v>0.14000000000000001</v>
      </c>
    </row>
    <row r="306" spans="1:6" ht="15" thickBot="1">
      <c r="A306" s="778" t="s">
        <v>534</v>
      </c>
      <c r="B306" s="772" t="s">
        <v>351</v>
      </c>
      <c r="C306" s="977">
        <v>0.15</v>
      </c>
      <c r="D306" s="977">
        <v>0.15</v>
      </c>
      <c r="E306" s="977">
        <v>0.15</v>
      </c>
      <c r="F306" s="989"/>
    </row>
    <row r="307" spans="1:6" ht="15" thickBot="1">
      <c r="A307" s="778" t="s">
        <v>534</v>
      </c>
      <c r="B307" s="772" t="s">
        <v>969</v>
      </c>
      <c r="C307" s="977">
        <v>0.15</v>
      </c>
      <c r="D307" s="977">
        <v>0.15</v>
      </c>
      <c r="E307" s="977">
        <v>0.15</v>
      </c>
      <c r="F307" s="978">
        <v>0.14299999999999999</v>
      </c>
    </row>
    <row r="308" spans="1:6" ht="15" thickBot="1">
      <c r="A308" s="778" t="s">
        <v>534</v>
      </c>
      <c r="B308" s="772" t="s">
        <v>371</v>
      </c>
      <c r="C308" s="977">
        <v>0.15</v>
      </c>
      <c r="D308" s="977">
        <v>0.15</v>
      </c>
      <c r="E308" s="977">
        <v>0.15</v>
      </c>
      <c r="F308" s="978">
        <v>0.15</v>
      </c>
    </row>
    <row r="309" spans="1:6" ht="15" thickBot="1">
      <c r="A309" s="778" t="s">
        <v>534</v>
      </c>
      <c r="B309" s="772" t="s">
        <v>381</v>
      </c>
      <c r="C309" s="977">
        <v>0.15</v>
      </c>
      <c r="D309" s="977">
        <v>0.15</v>
      </c>
      <c r="E309" s="977">
        <v>0.15</v>
      </c>
      <c r="F309" s="989"/>
    </row>
    <row r="310" spans="1:6" ht="15" thickBot="1">
      <c r="A310" s="778" t="s">
        <v>534</v>
      </c>
      <c r="B310" s="772" t="s">
        <v>970</v>
      </c>
      <c r="C310" s="977">
        <v>0.15</v>
      </c>
      <c r="D310" s="977">
        <v>0.15</v>
      </c>
      <c r="E310" s="977">
        <v>0.15</v>
      </c>
      <c r="F310" s="978">
        <v>0.13700000000000001</v>
      </c>
    </row>
    <row r="311" spans="1:6" ht="15" thickBot="1">
      <c r="A311" s="778" t="s">
        <v>534</v>
      </c>
      <c r="B311" s="772" t="s">
        <v>971</v>
      </c>
      <c r="C311" s="977">
        <v>0.15</v>
      </c>
      <c r="D311" s="977">
        <v>0.15</v>
      </c>
      <c r="E311" s="977">
        <v>0.15</v>
      </c>
      <c r="F311" s="978">
        <v>0.15</v>
      </c>
    </row>
    <row r="312" spans="1:6" ht="15" thickBot="1">
      <c r="A312" s="778" t="s">
        <v>534</v>
      </c>
      <c r="B312" s="772" t="s">
        <v>407</v>
      </c>
      <c r="C312" s="977">
        <v>0.15</v>
      </c>
      <c r="D312" s="977">
        <v>0.15</v>
      </c>
      <c r="E312" s="977">
        <v>0.15</v>
      </c>
      <c r="F312" s="978">
        <v>0.1</v>
      </c>
    </row>
    <row r="313" spans="1:6" ht="15" thickBot="1">
      <c r="A313" s="778" t="s">
        <v>534</v>
      </c>
      <c r="B313" s="772" t="s">
        <v>972</v>
      </c>
      <c r="C313" s="977">
        <v>0.15</v>
      </c>
      <c r="D313" s="977">
        <v>0.15</v>
      </c>
      <c r="E313" s="977">
        <v>0.15</v>
      </c>
      <c r="F313" s="978">
        <v>0.15</v>
      </c>
    </row>
    <row r="314" spans="1:6" ht="24.6" thickBot="1">
      <c r="A314" s="778" t="s">
        <v>534</v>
      </c>
      <c r="B314" s="772" t="s">
        <v>973</v>
      </c>
      <c r="C314" s="990"/>
      <c r="D314" s="990"/>
      <c r="E314" s="990"/>
      <c r="F314" s="978">
        <v>0.05</v>
      </c>
    </row>
    <row r="315" spans="1:6" ht="24.6" thickBot="1">
      <c r="A315" s="778" t="s">
        <v>534</v>
      </c>
      <c r="B315" s="772" t="s">
        <v>974</v>
      </c>
      <c r="C315" s="990"/>
      <c r="D315" s="990"/>
      <c r="E315" s="990"/>
      <c r="F315" s="978">
        <v>0.05</v>
      </c>
    </row>
    <row r="316" spans="1:6" ht="24.6" thickBot="1">
      <c r="A316" s="788" t="s">
        <v>534</v>
      </c>
      <c r="B316" s="784" t="s">
        <v>975</v>
      </c>
      <c r="C316" s="987"/>
      <c r="D316" s="987"/>
      <c r="E316" s="987"/>
      <c r="F316" s="980">
        <v>0.05</v>
      </c>
    </row>
    <row r="317" spans="1:6" ht="15" thickBot="1">
      <c r="A317" s="778" t="s">
        <v>976</v>
      </c>
      <c r="B317" s="779" t="s">
        <v>977</v>
      </c>
      <c r="C317" s="975">
        <v>0.15</v>
      </c>
      <c r="D317" s="975">
        <v>0.15</v>
      </c>
      <c r="E317" s="975">
        <v>0.15</v>
      </c>
      <c r="F317" s="976">
        <v>0.15</v>
      </c>
    </row>
    <row r="318" spans="1:6" ht="15" thickBot="1">
      <c r="A318" s="778" t="s">
        <v>976</v>
      </c>
      <c r="B318" s="772" t="s">
        <v>978</v>
      </c>
      <c r="C318" s="977">
        <v>0.107</v>
      </c>
      <c r="D318" s="977">
        <v>0.11</v>
      </c>
      <c r="E318" s="977">
        <v>0.112</v>
      </c>
      <c r="F318" s="989"/>
    </row>
    <row r="319" spans="1:6" ht="15" thickBot="1">
      <c r="A319" s="778" t="s">
        <v>976</v>
      </c>
      <c r="B319" s="772" t="s">
        <v>979</v>
      </c>
      <c r="C319" s="977">
        <v>0.15</v>
      </c>
      <c r="D319" s="977">
        <v>0.15</v>
      </c>
      <c r="E319" s="977">
        <v>0.15</v>
      </c>
      <c r="F319" s="978">
        <v>0.15</v>
      </c>
    </row>
    <row r="320" spans="1:6" ht="15" thickBot="1">
      <c r="A320" s="778" t="s">
        <v>976</v>
      </c>
      <c r="B320" s="772" t="s">
        <v>223</v>
      </c>
      <c r="C320" s="977">
        <v>0.15</v>
      </c>
      <c r="D320" s="977">
        <v>0.15</v>
      </c>
      <c r="E320" s="977">
        <v>0.15</v>
      </c>
      <c r="F320" s="989"/>
    </row>
    <row r="321" spans="1:6" ht="15" thickBot="1">
      <c r="A321" s="778" t="s">
        <v>976</v>
      </c>
      <c r="B321" s="772" t="s">
        <v>980</v>
      </c>
      <c r="C321" s="977">
        <v>0.15</v>
      </c>
      <c r="D321" s="977">
        <v>0.15</v>
      </c>
      <c r="E321" s="977">
        <v>0.15</v>
      </c>
      <c r="F321" s="989"/>
    </row>
    <row r="322" spans="1:6" ht="15" thickBot="1">
      <c r="A322" s="778" t="s">
        <v>976</v>
      </c>
      <c r="B322" s="772" t="s">
        <v>981</v>
      </c>
      <c r="C322" s="977">
        <v>0.15</v>
      </c>
      <c r="D322" s="977">
        <v>0.15</v>
      </c>
      <c r="E322" s="977">
        <v>0.15</v>
      </c>
      <c r="F322" s="978">
        <v>0.15</v>
      </c>
    </row>
    <row r="323" spans="1:6" ht="15" thickBot="1">
      <c r="A323" s="778" t="s">
        <v>976</v>
      </c>
      <c r="B323" s="772" t="s">
        <v>982</v>
      </c>
      <c r="C323" s="977">
        <v>0.15</v>
      </c>
      <c r="D323" s="977">
        <v>0.15</v>
      </c>
      <c r="E323" s="977">
        <v>0.15</v>
      </c>
      <c r="F323" s="989"/>
    </row>
    <row r="324" spans="1:6" ht="15" thickBot="1">
      <c r="A324" s="778" t="s">
        <v>976</v>
      </c>
      <c r="B324" s="772" t="s">
        <v>983</v>
      </c>
      <c r="C324" s="977">
        <v>0.15</v>
      </c>
      <c r="D324" s="977">
        <v>0.15</v>
      </c>
      <c r="E324" s="977">
        <v>0.15</v>
      </c>
      <c r="F324" s="989"/>
    </row>
    <row r="325" spans="1:6" ht="15" thickBot="1">
      <c r="A325" s="778" t="s">
        <v>976</v>
      </c>
      <c r="B325" s="772" t="s">
        <v>984</v>
      </c>
      <c r="C325" s="977">
        <v>0.15</v>
      </c>
      <c r="D325" s="977">
        <v>0.15</v>
      </c>
      <c r="E325" s="977">
        <v>0.15</v>
      </c>
      <c r="F325" s="978">
        <v>0.14699999999999999</v>
      </c>
    </row>
    <row r="326" spans="1:6" ht="15" thickBot="1">
      <c r="A326" s="778" t="s">
        <v>976</v>
      </c>
      <c r="B326" s="772" t="s">
        <v>290</v>
      </c>
      <c r="C326" s="977">
        <v>0.15</v>
      </c>
      <c r="D326" s="977">
        <v>0.15</v>
      </c>
      <c r="E326" s="977">
        <v>0.15</v>
      </c>
      <c r="F326" s="989"/>
    </row>
    <row r="327" spans="1:6" ht="15" thickBot="1">
      <c r="A327" s="778" t="s">
        <v>976</v>
      </c>
      <c r="B327" s="772" t="s">
        <v>985</v>
      </c>
      <c r="C327" s="977">
        <v>0.15</v>
      </c>
      <c r="D327" s="977">
        <v>0.15</v>
      </c>
      <c r="E327" s="977">
        <v>0.15</v>
      </c>
      <c r="F327" s="978">
        <v>0.15</v>
      </c>
    </row>
    <row r="328" spans="1:6" ht="15" thickBot="1">
      <c r="A328" s="778" t="s">
        <v>976</v>
      </c>
      <c r="B328" s="772" t="s">
        <v>310</v>
      </c>
      <c r="C328" s="977">
        <v>0.15</v>
      </c>
      <c r="D328" s="977">
        <v>0.15</v>
      </c>
      <c r="E328" s="977">
        <v>0.15</v>
      </c>
      <c r="F328" s="978">
        <v>0.14099999999999999</v>
      </c>
    </row>
    <row r="329" spans="1:6" ht="15" thickBot="1">
      <c r="A329" s="778" t="s">
        <v>976</v>
      </c>
      <c r="B329" s="772" t="s">
        <v>320</v>
      </c>
      <c r="C329" s="977">
        <v>0.15</v>
      </c>
      <c r="D329" s="977">
        <v>0.15</v>
      </c>
      <c r="E329" s="977">
        <v>0.15</v>
      </c>
      <c r="F329" s="978">
        <v>0.15</v>
      </c>
    </row>
    <row r="330" spans="1:6" ht="15" thickBot="1">
      <c r="A330" s="778" t="s">
        <v>976</v>
      </c>
      <c r="B330" s="772" t="s">
        <v>331</v>
      </c>
      <c r="C330" s="977">
        <v>0.15</v>
      </c>
      <c r="D330" s="977">
        <v>0.15</v>
      </c>
      <c r="E330" s="977">
        <v>0.15</v>
      </c>
      <c r="F330" s="989"/>
    </row>
    <row r="331" spans="1:6" ht="15" thickBot="1">
      <c r="A331" s="778" t="s">
        <v>976</v>
      </c>
      <c r="B331" s="772" t="s">
        <v>986</v>
      </c>
      <c r="C331" s="977">
        <v>0.15</v>
      </c>
      <c r="D331" s="977">
        <v>0.15</v>
      </c>
      <c r="E331" s="977">
        <v>0.15</v>
      </c>
      <c r="F331" s="978">
        <v>0.15</v>
      </c>
    </row>
    <row r="332" spans="1:6" ht="15" thickBot="1">
      <c r="A332" s="778" t="s">
        <v>976</v>
      </c>
      <c r="B332" s="772" t="s">
        <v>352</v>
      </c>
      <c r="C332" s="977">
        <v>0.15</v>
      </c>
      <c r="D332" s="977">
        <v>0.15</v>
      </c>
      <c r="E332" s="977">
        <v>0.15</v>
      </c>
      <c r="F332" s="978">
        <v>0.15</v>
      </c>
    </row>
    <row r="333" spans="1:6" ht="15" thickBot="1">
      <c r="A333" s="778" t="s">
        <v>976</v>
      </c>
      <c r="B333" s="772" t="s">
        <v>987</v>
      </c>
      <c r="C333" s="977">
        <v>0.15</v>
      </c>
      <c r="D333" s="977">
        <v>0.15</v>
      </c>
      <c r="E333" s="977">
        <v>0.15</v>
      </c>
      <c r="F333" s="978">
        <v>0.14099999999999999</v>
      </c>
    </row>
    <row r="334" spans="1:6" ht="15" thickBot="1">
      <c r="A334" s="778" t="s">
        <v>976</v>
      </c>
      <c r="B334" s="772" t="s">
        <v>372</v>
      </c>
      <c r="C334" s="977">
        <v>0.15</v>
      </c>
      <c r="D334" s="977">
        <v>0.15</v>
      </c>
      <c r="E334" s="977">
        <v>0.15</v>
      </c>
      <c r="F334" s="978">
        <v>0.15</v>
      </c>
    </row>
    <row r="335" spans="1:6" ht="15" thickBot="1">
      <c r="A335" s="778" t="s">
        <v>976</v>
      </c>
      <c r="B335" s="772" t="s">
        <v>382</v>
      </c>
      <c r="C335" s="977">
        <v>0.15</v>
      </c>
      <c r="D335" s="977">
        <v>0.15</v>
      </c>
      <c r="E335" s="977">
        <v>0.15</v>
      </c>
      <c r="F335" s="989"/>
    </row>
    <row r="336" spans="1:6" ht="15" thickBot="1">
      <c r="A336" s="778" t="s">
        <v>976</v>
      </c>
      <c r="B336" s="772" t="s">
        <v>988</v>
      </c>
      <c r="C336" s="977">
        <v>0.15</v>
      </c>
      <c r="D336" s="977">
        <v>0.15</v>
      </c>
      <c r="E336" s="977">
        <v>0.15</v>
      </c>
      <c r="F336" s="978">
        <v>0.11799999999999999</v>
      </c>
    </row>
    <row r="337" spans="1:6" ht="15" thickBot="1">
      <c r="A337" s="788" t="s">
        <v>976</v>
      </c>
      <c r="B337" s="784" t="s">
        <v>400</v>
      </c>
      <c r="C337" s="987"/>
      <c r="D337" s="987"/>
      <c r="E337" s="987"/>
      <c r="F337" s="980">
        <v>0.14299999999999999</v>
      </c>
    </row>
    <row r="338" spans="1:6" ht="15" thickBot="1">
      <c r="A338" s="778" t="s">
        <v>989</v>
      </c>
      <c r="B338" s="779" t="s">
        <v>990</v>
      </c>
      <c r="C338" s="975">
        <v>0.15</v>
      </c>
      <c r="D338" s="975">
        <v>0.15</v>
      </c>
      <c r="E338" s="975">
        <v>0.15</v>
      </c>
      <c r="F338" s="992"/>
    </row>
    <row r="339" spans="1:6" ht="15" thickBot="1">
      <c r="A339" s="778" t="s">
        <v>989</v>
      </c>
      <c r="B339" s="772" t="s">
        <v>991</v>
      </c>
      <c r="C339" s="977">
        <v>0.15</v>
      </c>
      <c r="D339" s="977">
        <v>0.15</v>
      </c>
      <c r="E339" s="977">
        <v>0.15</v>
      </c>
      <c r="F339" s="989"/>
    </row>
    <row r="340" spans="1:6" ht="15" thickBot="1">
      <c r="A340" s="778" t="s">
        <v>989</v>
      </c>
      <c r="B340" s="772" t="s">
        <v>992</v>
      </c>
      <c r="C340" s="977">
        <v>0.15</v>
      </c>
      <c r="D340" s="977">
        <v>0.15</v>
      </c>
      <c r="E340" s="977">
        <v>0.15</v>
      </c>
      <c r="F340" s="989"/>
    </row>
    <row r="341" spans="1:6" ht="15" thickBot="1">
      <c r="A341" s="778" t="s">
        <v>989</v>
      </c>
      <c r="B341" s="772" t="s">
        <v>993</v>
      </c>
      <c r="C341" s="977">
        <v>0.15</v>
      </c>
      <c r="D341" s="977">
        <v>0.15</v>
      </c>
      <c r="E341" s="977">
        <v>0.15</v>
      </c>
      <c r="F341" s="978">
        <v>0.15</v>
      </c>
    </row>
    <row r="342" spans="1:6" ht="15" thickBot="1">
      <c r="A342" s="778" t="s">
        <v>989</v>
      </c>
      <c r="B342" s="772" t="s">
        <v>994</v>
      </c>
      <c r="C342" s="977">
        <v>0.15</v>
      </c>
      <c r="D342" s="977">
        <v>0.15</v>
      </c>
      <c r="E342" s="977">
        <v>0.15</v>
      </c>
      <c r="F342" s="978">
        <v>0.15</v>
      </c>
    </row>
    <row r="343" spans="1:6" ht="15" thickBot="1">
      <c r="A343" s="778" t="s">
        <v>989</v>
      </c>
      <c r="B343" s="772" t="s">
        <v>995</v>
      </c>
      <c r="C343" s="977">
        <v>0.15</v>
      </c>
      <c r="D343" s="977">
        <v>0.15</v>
      </c>
      <c r="E343" s="977">
        <v>0.15</v>
      </c>
      <c r="F343" s="978">
        <v>0.15</v>
      </c>
    </row>
    <row r="344" spans="1:6" ht="1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08" customWidth="1"/>
    <col min="2" max="2" width="13.21875" style="1414" customWidth="1"/>
    <col min="3" max="3" width="15.6640625" style="1414" customWidth="1"/>
    <col min="4" max="4" width="9.33203125" style="1414" bestFit="1" customWidth="1"/>
    <col min="5" max="5" width="13.44140625" style="1414" customWidth="1"/>
    <col min="6" max="6" width="9" style="1414"/>
    <col min="7" max="7" width="9.33203125" style="1414" bestFit="1" customWidth="1"/>
    <col min="8" max="8" width="12.21875" style="1414" customWidth="1"/>
    <col min="9" max="9" width="9" style="1414"/>
    <col min="10" max="10" width="9.33203125" style="1414" bestFit="1" customWidth="1"/>
    <col min="11" max="11" width="4" style="1408" customWidth="1"/>
    <col min="12" max="12" width="5.109375" style="1414" customWidth="1"/>
    <col min="13" max="13" width="13.77734375" style="1414" customWidth="1"/>
    <col min="14" max="256" width="9" style="1414"/>
    <col min="257" max="257" width="4.88671875" style="1405" customWidth="1"/>
    <col min="258" max="258" width="13.21875" style="1405" customWidth="1"/>
    <col min="259" max="259" width="15.6640625" style="1405" customWidth="1"/>
    <col min="260" max="260" width="9.33203125" style="1405" bestFit="1" customWidth="1"/>
    <col min="261" max="261" width="13.44140625" style="1405" customWidth="1"/>
    <col min="262" max="262" width="9" style="1405"/>
    <col min="263" max="263" width="9.33203125" style="1405" bestFit="1" customWidth="1"/>
    <col min="264" max="265" width="9" style="1405"/>
    <col min="266" max="266" width="9.33203125" style="1405" bestFit="1" customWidth="1"/>
    <col min="267" max="267" width="4" style="1405" customWidth="1"/>
    <col min="268" max="268" width="5.109375" style="1405" customWidth="1"/>
    <col min="269" max="269" width="13.77734375" style="1405" customWidth="1"/>
    <col min="270" max="512" width="9" style="1405"/>
    <col min="513" max="513" width="4.88671875" style="1405" customWidth="1"/>
    <col min="514" max="514" width="13.21875" style="1405" customWidth="1"/>
    <col min="515" max="515" width="15.6640625" style="1405" customWidth="1"/>
    <col min="516" max="516" width="9.33203125" style="1405" bestFit="1" customWidth="1"/>
    <col min="517" max="517" width="13.44140625" style="1405" customWidth="1"/>
    <col min="518" max="518" width="9" style="1405"/>
    <col min="519" max="519" width="9.33203125" style="1405" bestFit="1" customWidth="1"/>
    <col min="520" max="521" width="9" style="1405"/>
    <col min="522" max="522" width="9.33203125" style="1405" bestFit="1" customWidth="1"/>
    <col min="523" max="523" width="4" style="1405" customWidth="1"/>
    <col min="524" max="524" width="5.109375" style="1405" customWidth="1"/>
    <col min="525" max="525" width="13.77734375" style="1405" customWidth="1"/>
    <col min="526" max="768" width="9" style="1405"/>
    <col min="769" max="769" width="4.88671875" style="1405" customWidth="1"/>
    <col min="770" max="770" width="13.21875" style="1405" customWidth="1"/>
    <col min="771" max="771" width="15.6640625" style="1405" customWidth="1"/>
    <col min="772" max="772" width="9.33203125" style="1405" bestFit="1" customWidth="1"/>
    <col min="773" max="773" width="13.44140625" style="1405" customWidth="1"/>
    <col min="774" max="774" width="9" style="1405"/>
    <col min="775" max="775" width="9.33203125" style="1405" bestFit="1" customWidth="1"/>
    <col min="776" max="777" width="9" style="1405"/>
    <col min="778" max="778" width="9.33203125" style="1405" bestFit="1" customWidth="1"/>
    <col min="779" max="779" width="4" style="1405" customWidth="1"/>
    <col min="780" max="780" width="5.109375" style="1405" customWidth="1"/>
    <col min="781" max="781" width="13.77734375" style="1405" customWidth="1"/>
    <col min="782" max="1024" width="9" style="1405"/>
    <col min="1025" max="1025" width="4.88671875" style="1405" customWidth="1"/>
    <col min="1026" max="1026" width="13.21875" style="1405" customWidth="1"/>
    <col min="1027" max="1027" width="15.6640625" style="1405" customWidth="1"/>
    <col min="1028" max="1028" width="9.33203125" style="1405" bestFit="1" customWidth="1"/>
    <col min="1029" max="1029" width="13.44140625" style="1405" customWidth="1"/>
    <col min="1030" max="1030" width="9" style="1405"/>
    <col min="1031" max="1031" width="9.33203125" style="1405" bestFit="1" customWidth="1"/>
    <col min="1032" max="1033" width="9" style="1405"/>
    <col min="1034" max="1034" width="9.33203125" style="1405" bestFit="1" customWidth="1"/>
    <col min="1035" max="1035" width="4" style="1405" customWidth="1"/>
    <col min="1036" max="1036" width="5.109375" style="1405" customWidth="1"/>
    <col min="1037" max="1037" width="13.77734375" style="1405" customWidth="1"/>
    <col min="1038" max="1280" width="9" style="1405"/>
    <col min="1281" max="1281" width="4.88671875" style="1405" customWidth="1"/>
    <col min="1282" max="1282" width="13.21875" style="1405" customWidth="1"/>
    <col min="1283" max="1283" width="15.6640625" style="1405" customWidth="1"/>
    <col min="1284" max="1284" width="9.33203125" style="1405" bestFit="1" customWidth="1"/>
    <col min="1285" max="1285" width="13.44140625" style="1405" customWidth="1"/>
    <col min="1286" max="1286" width="9" style="1405"/>
    <col min="1287" max="1287" width="9.33203125" style="1405" bestFit="1" customWidth="1"/>
    <col min="1288" max="1289" width="9" style="1405"/>
    <col min="1290" max="1290" width="9.33203125" style="1405" bestFit="1" customWidth="1"/>
    <col min="1291" max="1291" width="4" style="1405" customWidth="1"/>
    <col min="1292" max="1292" width="5.109375" style="1405" customWidth="1"/>
    <col min="1293" max="1293" width="13.77734375" style="1405" customWidth="1"/>
    <col min="1294" max="1536" width="9" style="1405"/>
    <col min="1537" max="1537" width="4.88671875" style="1405" customWidth="1"/>
    <col min="1538" max="1538" width="13.21875" style="1405" customWidth="1"/>
    <col min="1539" max="1539" width="15.6640625" style="1405" customWidth="1"/>
    <col min="1540" max="1540" width="9.33203125" style="1405" bestFit="1" customWidth="1"/>
    <col min="1541" max="1541" width="13.44140625" style="1405" customWidth="1"/>
    <col min="1542" max="1542" width="9" style="1405"/>
    <col min="1543" max="1543" width="9.33203125" style="1405" bestFit="1" customWidth="1"/>
    <col min="1544" max="1545" width="9" style="1405"/>
    <col min="1546" max="1546" width="9.33203125" style="1405" bestFit="1" customWidth="1"/>
    <col min="1547" max="1547" width="4" style="1405" customWidth="1"/>
    <col min="1548" max="1548" width="5.109375" style="1405" customWidth="1"/>
    <col min="1549" max="1549" width="13.77734375" style="1405" customWidth="1"/>
    <col min="1550" max="1792" width="9" style="1405"/>
    <col min="1793" max="1793" width="4.88671875" style="1405" customWidth="1"/>
    <col min="1794" max="1794" width="13.21875" style="1405" customWidth="1"/>
    <col min="1795" max="1795" width="15.6640625" style="1405" customWidth="1"/>
    <col min="1796" max="1796" width="9.33203125" style="1405" bestFit="1" customWidth="1"/>
    <col min="1797" max="1797" width="13.44140625" style="1405" customWidth="1"/>
    <col min="1798" max="1798" width="9" style="1405"/>
    <col min="1799" max="1799" width="9.33203125" style="1405" bestFit="1" customWidth="1"/>
    <col min="1800" max="1801" width="9" style="1405"/>
    <col min="1802" max="1802" width="9.33203125" style="1405" bestFit="1" customWidth="1"/>
    <col min="1803" max="1803" width="4" style="1405" customWidth="1"/>
    <col min="1804" max="1804" width="5.109375" style="1405" customWidth="1"/>
    <col min="1805" max="1805" width="13.77734375" style="1405" customWidth="1"/>
    <col min="1806" max="2048" width="9" style="1405"/>
    <col min="2049" max="2049" width="4.88671875" style="1405" customWidth="1"/>
    <col min="2050" max="2050" width="13.21875" style="1405" customWidth="1"/>
    <col min="2051" max="2051" width="15.6640625" style="1405" customWidth="1"/>
    <col min="2052" max="2052" width="9.33203125" style="1405" bestFit="1" customWidth="1"/>
    <col min="2053" max="2053" width="13.44140625" style="1405" customWidth="1"/>
    <col min="2054" max="2054" width="9" style="1405"/>
    <col min="2055" max="2055" width="9.33203125" style="1405" bestFit="1" customWidth="1"/>
    <col min="2056" max="2057" width="9" style="1405"/>
    <col min="2058" max="2058" width="9.33203125" style="1405" bestFit="1" customWidth="1"/>
    <col min="2059" max="2059" width="4" style="1405" customWidth="1"/>
    <col min="2060" max="2060" width="5.109375" style="1405" customWidth="1"/>
    <col min="2061" max="2061" width="13.77734375" style="1405" customWidth="1"/>
    <col min="2062" max="2304" width="9" style="1405"/>
    <col min="2305" max="2305" width="4.88671875" style="1405" customWidth="1"/>
    <col min="2306" max="2306" width="13.21875" style="1405" customWidth="1"/>
    <col min="2307" max="2307" width="15.6640625" style="1405" customWidth="1"/>
    <col min="2308" max="2308" width="9.33203125" style="1405" bestFit="1" customWidth="1"/>
    <col min="2309" max="2309" width="13.44140625" style="1405" customWidth="1"/>
    <col min="2310" max="2310" width="9" style="1405"/>
    <col min="2311" max="2311" width="9.33203125" style="1405" bestFit="1" customWidth="1"/>
    <col min="2312" max="2313" width="9" style="1405"/>
    <col min="2314" max="2314" width="9.33203125" style="1405" bestFit="1" customWidth="1"/>
    <col min="2315" max="2315" width="4" style="1405" customWidth="1"/>
    <col min="2316" max="2316" width="5.109375" style="1405" customWidth="1"/>
    <col min="2317" max="2317" width="13.77734375" style="1405" customWidth="1"/>
    <col min="2318" max="2560" width="9" style="1405"/>
    <col min="2561" max="2561" width="4.88671875" style="1405" customWidth="1"/>
    <col min="2562" max="2562" width="13.21875" style="1405" customWidth="1"/>
    <col min="2563" max="2563" width="15.6640625" style="1405" customWidth="1"/>
    <col min="2564" max="2564" width="9.33203125" style="1405" bestFit="1" customWidth="1"/>
    <col min="2565" max="2565" width="13.44140625" style="1405" customWidth="1"/>
    <col min="2566" max="2566" width="9" style="1405"/>
    <col min="2567" max="2567" width="9.33203125" style="1405" bestFit="1" customWidth="1"/>
    <col min="2568" max="2569" width="9" style="1405"/>
    <col min="2570" max="2570" width="9.33203125" style="1405" bestFit="1" customWidth="1"/>
    <col min="2571" max="2571" width="4" style="1405" customWidth="1"/>
    <col min="2572" max="2572" width="5.109375" style="1405" customWidth="1"/>
    <col min="2573" max="2573" width="13.77734375" style="1405" customWidth="1"/>
    <col min="2574" max="2816" width="9" style="1405"/>
    <col min="2817" max="2817" width="4.88671875" style="1405" customWidth="1"/>
    <col min="2818" max="2818" width="13.21875" style="1405" customWidth="1"/>
    <col min="2819" max="2819" width="15.6640625" style="1405" customWidth="1"/>
    <col min="2820" max="2820" width="9.33203125" style="1405" bestFit="1" customWidth="1"/>
    <col min="2821" max="2821" width="13.44140625" style="1405" customWidth="1"/>
    <col min="2822" max="2822" width="9" style="1405"/>
    <col min="2823" max="2823" width="9.33203125" style="1405" bestFit="1" customWidth="1"/>
    <col min="2824" max="2825" width="9" style="1405"/>
    <col min="2826" max="2826" width="9.33203125" style="1405" bestFit="1" customWidth="1"/>
    <col min="2827" max="2827" width="4" style="1405" customWidth="1"/>
    <col min="2828" max="2828" width="5.109375" style="1405" customWidth="1"/>
    <col min="2829" max="2829" width="13.77734375" style="1405" customWidth="1"/>
    <col min="2830" max="3072" width="9" style="1405"/>
    <col min="3073" max="3073" width="4.88671875" style="1405" customWidth="1"/>
    <col min="3074" max="3074" width="13.21875" style="1405" customWidth="1"/>
    <col min="3075" max="3075" width="15.6640625" style="1405" customWidth="1"/>
    <col min="3076" max="3076" width="9.33203125" style="1405" bestFit="1" customWidth="1"/>
    <col min="3077" max="3077" width="13.44140625" style="1405" customWidth="1"/>
    <col min="3078" max="3078" width="9" style="1405"/>
    <col min="3079" max="3079" width="9.33203125" style="1405" bestFit="1" customWidth="1"/>
    <col min="3080" max="3081" width="9" style="1405"/>
    <col min="3082" max="3082" width="9.33203125" style="1405" bestFit="1" customWidth="1"/>
    <col min="3083" max="3083" width="4" style="1405" customWidth="1"/>
    <col min="3084" max="3084" width="5.109375" style="1405" customWidth="1"/>
    <col min="3085" max="3085" width="13.77734375" style="1405" customWidth="1"/>
    <col min="3086" max="3328" width="9" style="1405"/>
    <col min="3329" max="3329" width="4.88671875" style="1405" customWidth="1"/>
    <col min="3330" max="3330" width="13.21875" style="1405" customWidth="1"/>
    <col min="3331" max="3331" width="15.6640625" style="1405" customWidth="1"/>
    <col min="3332" max="3332" width="9.33203125" style="1405" bestFit="1" customWidth="1"/>
    <col min="3333" max="3333" width="13.44140625" style="1405" customWidth="1"/>
    <col min="3334" max="3334" width="9" style="1405"/>
    <col min="3335" max="3335" width="9.33203125" style="1405" bestFit="1" customWidth="1"/>
    <col min="3336" max="3337" width="9" style="1405"/>
    <col min="3338" max="3338" width="9.33203125" style="1405" bestFit="1" customWidth="1"/>
    <col min="3339" max="3339" width="4" style="1405" customWidth="1"/>
    <col min="3340" max="3340" width="5.109375" style="1405" customWidth="1"/>
    <col min="3341" max="3341" width="13.77734375" style="1405" customWidth="1"/>
    <col min="3342" max="3584" width="9" style="1405"/>
    <col min="3585" max="3585" width="4.88671875" style="1405" customWidth="1"/>
    <col min="3586" max="3586" width="13.21875" style="1405" customWidth="1"/>
    <col min="3587" max="3587" width="15.6640625" style="1405" customWidth="1"/>
    <col min="3588" max="3588" width="9.33203125" style="1405" bestFit="1" customWidth="1"/>
    <col min="3589" max="3589" width="13.44140625" style="1405" customWidth="1"/>
    <col min="3590" max="3590" width="9" style="1405"/>
    <col min="3591" max="3591" width="9.33203125" style="1405" bestFit="1" customWidth="1"/>
    <col min="3592" max="3593" width="9" style="1405"/>
    <col min="3594" max="3594" width="9.33203125" style="1405" bestFit="1" customWidth="1"/>
    <col min="3595" max="3595" width="4" style="1405" customWidth="1"/>
    <col min="3596" max="3596" width="5.109375" style="1405" customWidth="1"/>
    <col min="3597" max="3597" width="13.77734375" style="1405" customWidth="1"/>
    <col min="3598" max="3840" width="9" style="1405"/>
    <col min="3841" max="3841" width="4.88671875" style="1405" customWidth="1"/>
    <col min="3842" max="3842" width="13.21875" style="1405" customWidth="1"/>
    <col min="3843" max="3843" width="15.6640625" style="1405" customWidth="1"/>
    <col min="3844" max="3844" width="9.33203125" style="1405" bestFit="1" customWidth="1"/>
    <col min="3845" max="3845" width="13.44140625" style="1405" customWidth="1"/>
    <col min="3846" max="3846" width="9" style="1405"/>
    <col min="3847" max="3847" width="9.33203125" style="1405" bestFit="1" customWidth="1"/>
    <col min="3848" max="3849" width="9" style="1405"/>
    <col min="3850" max="3850" width="9.33203125" style="1405" bestFit="1" customWidth="1"/>
    <col min="3851" max="3851" width="4" style="1405" customWidth="1"/>
    <col min="3852" max="3852" width="5.109375" style="1405" customWidth="1"/>
    <col min="3853" max="3853" width="13.77734375" style="1405" customWidth="1"/>
    <col min="3854" max="4096" width="9" style="1405"/>
    <col min="4097" max="4097" width="4.88671875" style="1405" customWidth="1"/>
    <col min="4098" max="4098" width="13.21875" style="1405" customWidth="1"/>
    <col min="4099" max="4099" width="15.6640625" style="1405" customWidth="1"/>
    <col min="4100" max="4100" width="9.33203125" style="1405" bestFit="1" customWidth="1"/>
    <col min="4101" max="4101" width="13.44140625" style="1405" customWidth="1"/>
    <col min="4102" max="4102" width="9" style="1405"/>
    <col min="4103" max="4103" width="9.33203125" style="1405" bestFit="1" customWidth="1"/>
    <col min="4104" max="4105" width="9" style="1405"/>
    <col min="4106" max="4106" width="9.33203125" style="1405" bestFit="1" customWidth="1"/>
    <col min="4107" max="4107" width="4" style="1405" customWidth="1"/>
    <col min="4108" max="4108" width="5.109375" style="1405" customWidth="1"/>
    <col min="4109" max="4109" width="13.77734375" style="1405" customWidth="1"/>
    <col min="4110" max="4352" width="9" style="1405"/>
    <col min="4353" max="4353" width="4.88671875" style="1405" customWidth="1"/>
    <col min="4354" max="4354" width="13.21875" style="1405" customWidth="1"/>
    <col min="4355" max="4355" width="15.6640625" style="1405" customWidth="1"/>
    <col min="4356" max="4356" width="9.33203125" style="1405" bestFit="1" customWidth="1"/>
    <col min="4357" max="4357" width="13.44140625" style="1405" customWidth="1"/>
    <col min="4358" max="4358" width="9" style="1405"/>
    <col min="4359" max="4359" width="9.33203125" style="1405" bestFit="1" customWidth="1"/>
    <col min="4360" max="4361" width="9" style="1405"/>
    <col min="4362" max="4362" width="9.33203125" style="1405" bestFit="1" customWidth="1"/>
    <col min="4363" max="4363" width="4" style="1405" customWidth="1"/>
    <col min="4364" max="4364" width="5.109375" style="1405" customWidth="1"/>
    <col min="4365" max="4365" width="13.77734375" style="1405" customWidth="1"/>
    <col min="4366" max="4608" width="9" style="1405"/>
    <col min="4609" max="4609" width="4.88671875" style="1405" customWidth="1"/>
    <col min="4610" max="4610" width="13.21875" style="1405" customWidth="1"/>
    <col min="4611" max="4611" width="15.6640625" style="1405" customWidth="1"/>
    <col min="4612" max="4612" width="9.33203125" style="1405" bestFit="1" customWidth="1"/>
    <col min="4613" max="4613" width="13.44140625" style="1405" customWidth="1"/>
    <col min="4614" max="4614" width="9" style="1405"/>
    <col min="4615" max="4615" width="9.33203125" style="1405" bestFit="1" customWidth="1"/>
    <col min="4616" max="4617" width="9" style="1405"/>
    <col min="4618" max="4618" width="9.33203125" style="1405" bestFit="1" customWidth="1"/>
    <col min="4619" max="4619" width="4" style="1405" customWidth="1"/>
    <col min="4620" max="4620" width="5.109375" style="1405" customWidth="1"/>
    <col min="4621" max="4621" width="13.77734375" style="1405" customWidth="1"/>
    <col min="4622" max="4864" width="9" style="1405"/>
    <col min="4865" max="4865" width="4.88671875" style="1405" customWidth="1"/>
    <col min="4866" max="4866" width="13.21875" style="1405" customWidth="1"/>
    <col min="4867" max="4867" width="15.6640625" style="1405" customWidth="1"/>
    <col min="4868" max="4868" width="9.33203125" style="1405" bestFit="1" customWidth="1"/>
    <col min="4869" max="4869" width="13.44140625" style="1405" customWidth="1"/>
    <col min="4870" max="4870" width="9" style="1405"/>
    <col min="4871" max="4871" width="9.33203125" style="1405" bestFit="1" customWidth="1"/>
    <col min="4872" max="4873" width="9" style="1405"/>
    <col min="4874" max="4874" width="9.33203125" style="1405" bestFit="1" customWidth="1"/>
    <col min="4875" max="4875" width="4" style="1405" customWidth="1"/>
    <col min="4876" max="4876" width="5.109375" style="1405" customWidth="1"/>
    <col min="4877" max="4877" width="13.77734375" style="1405" customWidth="1"/>
    <col min="4878" max="5120" width="9" style="1405"/>
    <col min="5121" max="5121" width="4.88671875" style="1405" customWidth="1"/>
    <col min="5122" max="5122" width="13.21875" style="1405" customWidth="1"/>
    <col min="5123" max="5123" width="15.6640625" style="1405" customWidth="1"/>
    <col min="5124" max="5124" width="9.33203125" style="1405" bestFit="1" customWidth="1"/>
    <col min="5125" max="5125" width="13.44140625" style="1405" customWidth="1"/>
    <col min="5126" max="5126" width="9" style="1405"/>
    <col min="5127" max="5127" width="9.33203125" style="1405" bestFit="1" customWidth="1"/>
    <col min="5128" max="5129" width="9" style="1405"/>
    <col min="5130" max="5130" width="9.33203125" style="1405" bestFit="1" customWidth="1"/>
    <col min="5131" max="5131" width="4" style="1405" customWidth="1"/>
    <col min="5132" max="5132" width="5.109375" style="1405" customWidth="1"/>
    <col min="5133" max="5133" width="13.77734375" style="1405" customWidth="1"/>
    <col min="5134" max="5376" width="9" style="1405"/>
    <col min="5377" max="5377" width="4.88671875" style="1405" customWidth="1"/>
    <col min="5378" max="5378" width="13.21875" style="1405" customWidth="1"/>
    <col min="5379" max="5379" width="15.6640625" style="1405" customWidth="1"/>
    <col min="5380" max="5380" width="9.33203125" style="1405" bestFit="1" customWidth="1"/>
    <col min="5381" max="5381" width="13.44140625" style="1405" customWidth="1"/>
    <col min="5382" max="5382" width="9" style="1405"/>
    <col min="5383" max="5383" width="9.33203125" style="1405" bestFit="1" customWidth="1"/>
    <col min="5384" max="5385" width="9" style="1405"/>
    <col min="5386" max="5386" width="9.33203125" style="1405" bestFit="1" customWidth="1"/>
    <col min="5387" max="5387" width="4" style="1405" customWidth="1"/>
    <col min="5388" max="5388" width="5.109375" style="1405" customWidth="1"/>
    <col min="5389" max="5389" width="13.77734375" style="1405" customWidth="1"/>
    <col min="5390" max="5632" width="9" style="1405"/>
    <col min="5633" max="5633" width="4.88671875" style="1405" customWidth="1"/>
    <col min="5634" max="5634" width="13.21875" style="1405" customWidth="1"/>
    <col min="5635" max="5635" width="15.6640625" style="1405" customWidth="1"/>
    <col min="5636" max="5636" width="9.33203125" style="1405" bestFit="1" customWidth="1"/>
    <col min="5637" max="5637" width="13.44140625" style="1405" customWidth="1"/>
    <col min="5638" max="5638" width="9" style="1405"/>
    <col min="5639" max="5639" width="9.33203125" style="1405" bestFit="1" customWidth="1"/>
    <col min="5640" max="5641" width="9" style="1405"/>
    <col min="5642" max="5642" width="9.33203125" style="1405" bestFit="1" customWidth="1"/>
    <col min="5643" max="5643" width="4" style="1405" customWidth="1"/>
    <col min="5644" max="5644" width="5.109375" style="1405" customWidth="1"/>
    <col min="5645" max="5645" width="13.77734375" style="1405" customWidth="1"/>
    <col min="5646" max="5888" width="9" style="1405"/>
    <col min="5889" max="5889" width="4.88671875" style="1405" customWidth="1"/>
    <col min="5890" max="5890" width="13.21875" style="1405" customWidth="1"/>
    <col min="5891" max="5891" width="15.6640625" style="1405" customWidth="1"/>
    <col min="5892" max="5892" width="9.33203125" style="1405" bestFit="1" customWidth="1"/>
    <col min="5893" max="5893" width="13.44140625" style="1405" customWidth="1"/>
    <col min="5894" max="5894" width="9" style="1405"/>
    <col min="5895" max="5895" width="9.33203125" style="1405" bestFit="1" customWidth="1"/>
    <col min="5896" max="5897" width="9" style="1405"/>
    <col min="5898" max="5898" width="9.33203125" style="1405" bestFit="1" customWidth="1"/>
    <col min="5899" max="5899" width="4" style="1405" customWidth="1"/>
    <col min="5900" max="5900" width="5.109375" style="1405" customWidth="1"/>
    <col min="5901" max="5901" width="13.77734375" style="1405" customWidth="1"/>
    <col min="5902" max="6144" width="9" style="1405"/>
    <col min="6145" max="6145" width="4.88671875" style="1405" customWidth="1"/>
    <col min="6146" max="6146" width="13.21875" style="1405" customWidth="1"/>
    <col min="6147" max="6147" width="15.6640625" style="1405" customWidth="1"/>
    <col min="6148" max="6148" width="9.33203125" style="1405" bestFit="1" customWidth="1"/>
    <col min="6149" max="6149" width="13.44140625" style="1405" customWidth="1"/>
    <col min="6150" max="6150" width="9" style="1405"/>
    <col min="6151" max="6151" width="9.33203125" style="1405" bestFit="1" customWidth="1"/>
    <col min="6152" max="6153" width="9" style="1405"/>
    <col min="6154" max="6154" width="9.33203125" style="1405" bestFit="1" customWidth="1"/>
    <col min="6155" max="6155" width="4" style="1405" customWidth="1"/>
    <col min="6156" max="6156" width="5.109375" style="1405" customWidth="1"/>
    <col min="6157" max="6157" width="13.77734375" style="1405" customWidth="1"/>
    <col min="6158" max="6400" width="9" style="1405"/>
    <col min="6401" max="6401" width="4.88671875" style="1405" customWidth="1"/>
    <col min="6402" max="6402" width="13.21875" style="1405" customWidth="1"/>
    <col min="6403" max="6403" width="15.6640625" style="1405" customWidth="1"/>
    <col min="6404" max="6404" width="9.33203125" style="1405" bestFit="1" customWidth="1"/>
    <col min="6405" max="6405" width="13.44140625" style="1405" customWidth="1"/>
    <col min="6406" max="6406" width="9" style="1405"/>
    <col min="6407" max="6407" width="9.33203125" style="1405" bestFit="1" customWidth="1"/>
    <col min="6408" max="6409" width="9" style="1405"/>
    <col min="6410" max="6410" width="9.33203125" style="1405" bestFit="1" customWidth="1"/>
    <col min="6411" max="6411" width="4" style="1405" customWidth="1"/>
    <col min="6412" max="6412" width="5.109375" style="1405" customWidth="1"/>
    <col min="6413" max="6413" width="13.77734375" style="1405" customWidth="1"/>
    <col min="6414" max="6656" width="9" style="1405"/>
    <col min="6657" max="6657" width="4.88671875" style="1405" customWidth="1"/>
    <col min="6658" max="6658" width="13.21875" style="1405" customWidth="1"/>
    <col min="6659" max="6659" width="15.6640625" style="1405" customWidth="1"/>
    <col min="6660" max="6660" width="9.33203125" style="1405" bestFit="1" customWidth="1"/>
    <col min="6661" max="6661" width="13.44140625" style="1405" customWidth="1"/>
    <col min="6662" max="6662" width="9" style="1405"/>
    <col min="6663" max="6663" width="9.33203125" style="1405" bestFit="1" customWidth="1"/>
    <col min="6664" max="6665" width="9" style="1405"/>
    <col min="6666" max="6666" width="9.33203125" style="1405" bestFit="1" customWidth="1"/>
    <col min="6667" max="6667" width="4" style="1405" customWidth="1"/>
    <col min="6668" max="6668" width="5.109375" style="1405" customWidth="1"/>
    <col min="6669" max="6669" width="13.77734375" style="1405" customWidth="1"/>
    <col min="6670" max="6912" width="9" style="1405"/>
    <col min="6913" max="6913" width="4.88671875" style="1405" customWidth="1"/>
    <col min="6914" max="6914" width="13.21875" style="1405" customWidth="1"/>
    <col min="6915" max="6915" width="15.6640625" style="1405" customWidth="1"/>
    <col min="6916" max="6916" width="9.33203125" style="1405" bestFit="1" customWidth="1"/>
    <col min="6917" max="6917" width="13.44140625" style="1405" customWidth="1"/>
    <col min="6918" max="6918" width="9" style="1405"/>
    <col min="6919" max="6919" width="9.33203125" style="1405" bestFit="1" customWidth="1"/>
    <col min="6920" max="6921" width="9" style="1405"/>
    <col min="6922" max="6922" width="9.33203125" style="1405" bestFit="1" customWidth="1"/>
    <col min="6923" max="6923" width="4" style="1405" customWidth="1"/>
    <col min="6924" max="6924" width="5.109375" style="1405" customWidth="1"/>
    <col min="6925" max="6925" width="13.77734375" style="1405" customWidth="1"/>
    <col min="6926" max="7168" width="9" style="1405"/>
    <col min="7169" max="7169" width="4.88671875" style="1405" customWidth="1"/>
    <col min="7170" max="7170" width="13.21875" style="1405" customWidth="1"/>
    <col min="7171" max="7171" width="15.6640625" style="1405" customWidth="1"/>
    <col min="7172" max="7172" width="9.33203125" style="1405" bestFit="1" customWidth="1"/>
    <col min="7173" max="7173" width="13.44140625" style="1405" customWidth="1"/>
    <col min="7174" max="7174" width="9" style="1405"/>
    <col min="7175" max="7175" width="9.33203125" style="1405" bestFit="1" customWidth="1"/>
    <col min="7176" max="7177" width="9" style="1405"/>
    <col min="7178" max="7178" width="9.33203125" style="1405" bestFit="1" customWidth="1"/>
    <col min="7179" max="7179" width="4" style="1405" customWidth="1"/>
    <col min="7180" max="7180" width="5.109375" style="1405" customWidth="1"/>
    <col min="7181" max="7181" width="13.77734375" style="1405" customWidth="1"/>
    <col min="7182" max="7424" width="9" style="1405"/>
    <col min="7425" max="7425" width="4.88671875" style="1405" customWidth="1"/>
    <col min="7426" max="7426" width="13.21875" style="1405" customWidth="1"/>
    <col min="7427" max="7427" width="15.6640625" style="1405" customWidth="1"/>
    <col min="7428" max="7428" width="9.33203125" style="1405" bestFit="1" customWidth="1"/>
    <col min="7429" max="7429" width="13.44140625" style="1405" customWidth="1"/>
    <col min="7430" max="7430" width="9" style="1405"/>
    <col min="7431" max="7431" width="9.33203125" style="1405" bestFit="1" customWidth="1"/>
    <col min="7432" max="7433" width="9" style="1405"/>
    <col min="7434" max="7434" width="9.33203125" style="1405" bestFit="1" customWidth="1"/>
    <col min="7435" max="7435" width="4" style="1405" customWidth="1"/>
    <col min="7436" max="7436" width="5.109375" style="1405" customWidth="1"/>
    <col min="7437" max="7437" width="13.77734375" style="1405" customWidth="1"/>
    <col min="7438" max="7680" width="9" style="1405"/>
    <col min="7681" max="7681" width="4.88671875" style="1405" customWidth="1"/>
    <col min="7682" max="7682" width="13.21875" style="1405" customWidth="1"/>
    <col min="7683" max="7683" width="15.6640625" style="1405" customWidth="1"/>
    <col min="7684" max="7684" width="9.33203125" style="1405" bestFit="1" customWidth="1"/>
    <col min="7685" max="7685" width="13.44140625" style="1405" customWidth="1"/>
    <col min="7686" max="7686" width="9" style="1405"/>
    <col min="7687" max="7687" width="9.33203125" style="1405" bestFit="1" customWidth="1"/>
    <col min="7688" max="7689" width="9" style="1405"/>
    <col min="7690" max="7690" width="9.33203125" style="1405" bestFit="1" customWidth="1"/>
    <col min="7691" max="7691" width="4" style="1405" customWidth="1"/>
    <col min="7692" max="7692" width="5.109375" style="1405" customWidth="1"/>
    <col min="7693" max="7693" width="13.77734375" style="1405" customWidth="1"/>
    <col min="7694" max="7936" width="9" style="1405"/>
    <col min="7937" max="7937" width="4.88671875" style="1405" customWidth="1"/>
    <col min="7938" max="7938" width="13.21875" style="1405" customWidth="1"/>
    <col min="7939" max="7939" width="15.6640625" style="1405" customWidth="1"/>
    <col min="7940" max="7940" width="9.33203125" style="1405" bestFit="1" customWidth="1"/>
    <col min="7941" max="7941" width="13.44140625" style="1405" customWidth="1"/>
    <col min="7942" max="7942" width="9" style="1405"/>
    <col min="7943" max="7943" width="9.33203125" style="1405" bestFit="1" customWidth="1"/>
    <col min="7944" max="7945" width="9" style="1405"/>
    <col min="7946" max="7946" width="9.33203125" style="1405" bestFit="1" customWidth="1"/>
    <col min="7947" max="7947" width="4" style="1405" customWidth="1"/>
    <col min="7948" max="7948" width="5.109375" style="1405" customWidth="1"/>
    <col min="7949" max="7949" width="13.77734375" style="1405" customWidth="1"/>
    <col min="7950" max="8192" width="9" style="1405"/>
    <col min="8193" max="8193" width="4.88671875" style="1405" customWidth="1"/>
    <col min="8194" max="8194" width="13.21875" style="1405" customWidth="1"/>
    <col min="8195" max="8195" width="15.6640625" style="1405" customWidth="1"/>
    <col min="8196" max="8196" width="9.33203125" style="1405" bestFit="1" customWidth="1"/>
    <col min="8197" max="8197" width="13.44140625" style="1405" customWidth="1"/>
    <col min="8198" max="8198" width="9" style="1405"/>
    <col min="8199" max="8199" width="9.33203125" style="1405" bestFit="1" customWidth="1"/>
    <col min="8200" max="8201" width="9" style="1405"/>
    <col min="8202" max="8202" width="9.33203125" style="1405" bestFit="1" customWidth="1"/>
    <col min="8203" max="8203" width="4" style="1405" customWidth="1"/>
    <col min="8204" max="8204" width="5.109375" style="1405" customWidth="1"/>
    <col min="8205" max="8205" width="13.77734375" style="1405" customWidth="1"/>
    <col min="8206" max="8448" width="9" style="1405"/>
    <col min="8449" max="8449" width="4.88671875" style="1405" customWidth="1"/>
    <col min="8450" max="8450" width="13.21875" style="1405" customWidth="1"/>
    <col min="8451" max="8451" width="15.6640625" style="1405" customWidth="1"/>
    <col min="8452" max="8452" width="9.33203125" style="1405" bestFit="1" customWidth="1"/>
    <col min="8453" max="8453" width="13.44140625" style="1405" customWidth="1"/>
    <col min="8454" max="8454" width="9" style="1405"/>
    <col min="8455" max="8455" width="9.33203125" style="1405" bestFit="1" customWidth="1"/>
    <col min="8456" max="8457" width="9" style="1405"/>
    <col min="8458" max="8458" width="9.33203125" style="1405" bestFit="1" customWidth="1"/>
    <col min="8459" max="8459" width="4" style="1405" customWidth="1"/>
    <col min="8460" max="8460" width="5.109375" style="1405" customWidth="1"/>
    <col min="8461" max="8461" width="13.77734375" style="1405" customWidth="1"/>
    <col min="8462" max="8704" width="9" style="1405"/>
    <col min="8705" max="8705" width="4.88671875" style="1405" customWidth="1"/>
    <col min="8706" max="8706" width="13.21875" style="1405" customWidth="1"/>
    <col min="8707" max="8707" width="15.6640625" style="1405" customWidth="1"/>
    <col min="8708" max="8708" width="9.33203125" style="1405" bestFit="1" customWidth="1"/>
    <col min="8709" max="8709" width="13.44140625" style="1405" customWidth="1"/>
    <col min="8710" max="8710" width="9" style="1405"/>
    <col min="8711" max="8711" width="9.33203125" style="1405" bestFit="1" customWidth="1"/>
    <col min="8712" max="8713" width="9" style="1405"/>
    <col min="8714" max="8714" width="9.33203125" style="1405" bestFit="1" customWidth="1"/>
    <col min="8715" max="8715" width="4" style="1405" customWidth="1"/>
    <col min="8716" max="8716" width="5.109375" style="1405" customWidth="1"/>
    <col min="8717" max="8717" width="13.77734375" style="1405" customWidth="1"/>
    <col min="8718" max="8960" width="9" style="1405"/>
    <col min="8961" max="8961" width="4.88671875" style="1405" customWidth="1"/>
    <col min="8962" max="8962" width="13.21875" style="1405" customWidth="1"/>
    <col min="8963" max="8963" width="15.6640625" style="1405" customWidth="1"/>
    <col min="8964" max="8964" width="9.33203125" style="1405" bestFit="1" customWidth="1"/>
    <col min="8965" max="8965" width="13.44140625" style="1405" customWidth="1"/>
    <col min="8966" max="8966" width="9" style="1405"/>
    <col min="8967" max="8967" width="9.33203125" style="1405" bestFit="1" customWidth="1"/>
    <col min="8968" max="8969" width="9" style="1405"/>
    <col min="8970" max="8970" width="9.33203125" style="1405" bestFit="1" customWidth="1"/>
    <col min="8971" max="8971" width="4" style="1405" customWidth="1"/>
    <col min="8972" max="8972" width="5.109375" style="1405" customWidth="1"/>
    <col min="8973" max="8973" width="13.77734375" style="1405" customWidth="1"/>
    <col min="8974" max="9216" width="9" style="1405"/>
    <col min="9217" max="9217" width="4.88671875" style="1405" customWidth="1"/>
    <col min="9218" max="9218" width="13.21875" style="1405" customWidth="1"/>
    <col min="9219" max="9219" width="15.6640625" style="1405" customWidth="1"/>
    <col min="9220" max="9220" width="9.33203125" style="1405" bestFit="1" customWidth="1"/>
    <col min="9221" max="9221" width="13.44140625" style="1405" customWidth="1"/>
    <col min="9222" max="9222" width="9" style="1405"/>
    <col min="9223" max="9223" width="9.33203125" style="1405" bestFit="1" customWidth="1"/>
    <col min="9224" max="9225" width="9" style="1405"/>
    <col min="9226" max="9226" width="9.33203125" style="1405" bestFit="1" customWidth="1"/>
    <col min="9227" max="9227" width="4" style="1405" customWidth="1"/>
    <col min="9228" max="9228" width="5.109375" style="1405" customWidth="1"/>
    <col min="9229" max="9229" width="13.77734375" style="1405" customWidth="1"/>
    <col min="9230" max="9472" width="9" style="1405"/>
    <col min="9473" max="9473" width="4.88671875" style="1405" customWidth="1"/>
    <col min="9474" max="9474" width="13.21875" style="1405" customWidth="1"/>
    <col min="9475" max="9475" width="15.6640625" style="1405" customWidth="1"/>
    <col min="9476" max="9476" width="9.33203125" style="1405" bestFit="1" customWidth="1"/>
    <col min="9477" max="9477" width="13.44140625" style="1405" customWidth="1"/>
    <col min="9478" max="9478" width="9" style="1405"/>
    <col min="9479" max="9479" width="9.33203125" style="1405" bestFit="1" customWidth="1"/>
    <col min="9480" max="9481" width="9" style="1405"/>
    <col min="9482" max="9482" width="9.33203125" style="1405" bestFit="1" customWidth="1"/>
    <col min="9483" max="9483" width="4" style="1405" customWidth="1"/>
    <col min="9484" max="9484" width="5.109375" style="1405" customWidth="1"/>
    <col min="9485" max="9485" width="13.77734375" style="1405" customWidth="1"/>
    <col min="9486" max="9728" width="9" style="1405"/>
    <col min="9729" max="9729" width="4.88671875" style="1405" customWidth="1"/>
    <col min="9730" max="9730" width="13.21875" style="1405" customWidth="1"/>
    <col min="9731" max="9731" width="15.6640625" style="1405" customWidth="1"/>
    <col min="9732" max="9732" width="9.33203125" style="1405" bestFit="1" customWidth="1"/>
    <col min="9733" max="9733" width="13.44140625" style="1405" customWidth="1"/>
    <col min="9734" max="9734" width="9" style="1405"/>
    <col min="9735" max="9735" width="9.33203125" style="1405" bestFit="1" customWidth="1"/>
    <col min="9736" max="9737" width="9" style="1405"/>
    <col min="9738" max="9738" width="9.33203125" style="1405" bestFit="1" customWidth="1"/>
    <col min="9739" max="9739" width="4" style="1405" customWidth="1"/>
    <col min="9740" max="9740" width="5.109375" style="1405" customWidth="1"/>
    <col min="9741" max="9741" width="13.77734375" style="1405" customWidth="1"/>
    <col min="9742" max="9984" width="9" style="1405"/>
    <col min="9985" max="9985" width="4.88671875" style="1405" customWidth="1"/>
    <col min="9986" max="9986" width="13.21875" style="1405" customWidth="1"/>
    <col min="9987" max="9987" width="15.6640625" style="1405" customWidth="1"/>
    <col min="9988" max="9988" width="9.33203125" style="1405" bestFit="1" customWidth="1"/>
    <col min="9989" max="9989" width="13.44140625" style="1405" customWidth="1"/>
    <col min="9990" max="9990" width="9" style="1405"/>
    <col min="9991" max="9991" width="9.33203125" style="1405" bestFit="1" customWidth="1"/>
    <col min="9992" max="9993" width="9" style="1405"/>
    <col min="9994" max="9994" width="9.33203125" style="1405" bestFit="1" customWidth="1"/>
    <col min="9995" max="9995" width="4" style="1405" customWidth="1"/>
    <col min="9996" max="9996" width="5.109375" style="1405" customWidth="1"/>
    <col min="9997" max="9997" width="13.77734375" style="1405" customWidth="1"/>
    <col min="9998" max="10240" width="9" style="1405"/>
    <col min="10241" max="10241" width="4.88671875" style="1405" customWidth="1"/>
    <col min="10242" max="10242" width="13.21875" style="1405" customWidth="1"/>
    <col min="10243" max="10243" width="15.6640625" style="1405" customWidth="1"/>
    <col min="10244" max="10244" width="9.33203125" style="1405" bestFit="1" customWidth="1"/>
    <col min="10245" max="10245" width="13.44140625" style="1405" customWidth="1"/>
    <col min="10246" max="10246" width="9" style="1405"/>
    <col min="10247" max="10247" width="9.33203125" style="1405" bestFit="1" customWidth="1"/>
    <col min="10248" max="10249" width="9" style="1405"/>
    <col min="10250" max="10250" width="9.33203125" style="1405" bestFit="1" customWidth="1"/>
    <col min="10251" max="10251" width="4" style="1405" customWidth="1"/>
    <col min="10252" max="10252" width="5.109375" style="1405" customWidth="1"/>
    <col min="10253" max="10253" width="13.77734375" style="1405" customWidth="1"/>
    <col min="10254" max="10496" width="9" style="1405"/>
    <col min="10497" max="10497" width="4.88671875" style="1405" customWidth="1"/>
    <col min="10498" max="10498" width="13.21875" style="1405" customWidth="1"/>
    <col min="10499" max="10499" width="15.6640625" style="1405" customWidth="1"/>
    <col min="10500" max="10500" width="9.33203125" style="1405" bestFit="1" customWidth="1"/>
    <col min="10501" max="10501" width="13.44140625" style="1405" customWidth="1"/>
    <col min="10502" max="10502" width="9" style="1405"/>
    <col min="10503" max="10503" width="9.33203125" style="1405" bestFit="1" customWidth="1"/>
    <col min="10504" max="10505" width="9" style="1405"/>
    <col min="10506" max="10506" width="9.33203125" style="1405" bestFit="1" customWidth="1"/>
    <col min="10507" max="10507" width="4" style="1405" customWidth="1"/>
    <col min="10508" max="10508" width="5.109375" style="1405" customWidth="1"/>
    <col min="10509" max="10509" width="13.77734375" style="1405" customWidth="1"/>
    <col min="10510" max="10752" width="9" style="1405"/>
    <col min="10753" max="10753" width="4.88671875" style="1405" customWidth="1"/>
    <col min="10754" max="10754" width="13.21875" style="1405" customWidth="1"/>
    <col min="10755" max="10755" width="15.6640625" style="1405" customWidth="1"/>
    <col min="10756" max="10756" width="9.33203125" style="1405" bestFit="1" customWidth="1"/>
    <col min="10757" max="10757" width="13.44140625" style="1405" customWidth="1"/>
    <col min="10758" max="10758" width="9" style="1405"/>
    <col min="10759" max="10759" width="9.33203125" style="1405" bestFit="1" customWidth="1"/>
    <col min="10760" max="10761" width="9" style="1405"/>
    <col min="10762" max="10762" width="9.33203125" style="1405" bestFit="1" customWidth="1"/>
    <col min="10763" max="10763" width="4" style="1405" customWidth="1"/>
    <col min="10764" max="10764" width="5.109375" style="1405" customWidth="1"/>
    <col min="10765" max="10765" width="13.77734375" style="1405" customWidth="1"/>
    <col min="10766" max="11008" width="9" style="1405"/>
    <col min="11009" max="11009" width="4.88671875" style="1405" customWidth="1"/>
    <col min="11010" max="11010" width="13.21875" style="1405" customWidth="1"/>
    <col min="11011" max="11011" width="15.6640625" style="1405" customWidth="1"/>
    <col min="11012" max="11012" width="9.33203125" style="1405" bestFit="1" customWidth="1"/>
    <col min="11013" max="11013" width="13.44140625" style="1405" customWidth="1"/>
    <col min="11014" max="11014" width="9" style="1405"/>
    <col min="11015" max="11015" width="9.33203125" style="1405" bestFit="1" customWidth="1"/>
    <col min="11016" max="11017" width="9" style="1405"/>
    <col min="11018" max="11018" width="9.33203125" style="1405" bestFit="1" customWidth="1"/>
    <col min="11019" max="11019" width="4" style="1405" customWidth="1"/>
    <col min="11020" max="11020" width="5.109375" style="1405" customWidth="1"/>
    <col min="11021" max="11021" width="13.77734375" style="1405" customWidth="1"/>
    <col min="11022" max="11264" width="9" style="1405"/>
    <col min="11265" max="11265" width="4.88671875" style="1405" customWidth="1"/>
    <col min="11266" max="11266" width="13.21875" style="1405" customWidth="1"/>
    <col min="11267" max="11267" width="15.6640625" style="1405" customWidth="1"/>
    <col min="11268" max="11268" width="9.33203125" style="1405" bestFit="1" customWidth="1"/>
    <col min="11269" max="11269" width="13.44140625" style="1405" customWidth="1"/>
    <col min="11270" max="11270" width="9" style="1405"/>
    <col min="11271" max="11271" width="9.33203125" style="1405" bestFit="1" customWidth="1"/>
    <col min="11272" max="11273" width="9" style="1405"/>
    <col min="11274" max="11274" width="9.33203125" style="1405" bestFit="1" customWidth="1"/>
    <col min="11275" max="11275" width="4" style="1405" customWidth="1"/>
    <col min="11276" max="11276" width="5.109375" style="1405" customWidth="1"/>
    <col min="11277" max="11277" width="13.77734375" style="1405" customWidth="1"/>
    <col min="11278" max="11520" width="9" style="1405"/>
    <col min="11521" max="11521" width="4.88671875" style="1405" customWidth="1"/>
    <col min="11522" max="11522" width="13.21875" style="1405" customWidth="1"/>
    <col min="11523" max="11523" width="15.6640625" style="1405" customWidth="1"/>
    <col min="11524" max="11524" width="9.33203125" style="1405" bestFit="1" customWidth="1"/>
    <col min="11525" max="11525" width="13.44140625" style="1405" customWidth="1"/>
    <col min="11526" max="11526" width="9" style="1405"/>
    <col min="11527" max="11527" width="9.33203125" style="1405" bestFit="1" customWidth="1"/>
    <col min="11528" max="11529" width="9" style="1405"/>
    <col min="11530" max="11530" width="9.33203125" style="1405" bestFit="1" customWidth="1"/>
    <col min="11531" max="11531" width="4" style="1405" customWidth="1"/>
    <col min="11532" max="11532" width="5.109375" style="1405" customWidth="1"/>
    <col min="11533" max="11533" width="13.77734375" style="1405" customWidth="1"/>
    <col min="11534" max="11776" width="9" style="1405"/>
    <col min="11777" max="11777" width="4.88671875" style="1405" customWidth="1"/>
    <col min="11778" max="11778" width="13.21875" style="1405" customWidth="1"/>
    <col min="11779" max="11779" width="15.6640625" style="1405" customWidth="1"/>
    <col min="11780" max="11780" width="9.33203125" style="1405" bestFit="1" customWidth="1"/>
    <col min="11781" max="11781" width="13.44140625" style="1405" customWidth="1"/>
    <col min="11782" max="11782" width="9" style="1405"/>
    <col min="11783" max="11783" width="9.33203125" style="1405" bestFit="1" customWidth="1"/>
    <col min="11784" max="11785" width="9" style="1405"/>
    <col min="11786" max="11786" width="9.33203125" style="1405" bestFit="1" customWidth="1"/>
    <col min="11787" max="11787" width="4" style="1405" customWidth="1"/>
    <col min="11788" max="11788" width="5.109375" style="1405" customWidth="1"/>
    <col min="11789" max="11789" width="13.77734375" style="1405" customWidth="1"/>
    <col min="11790" max="12032" width="9" style="1405"/>
    <col min="12033" max="12033" width="4.88671875" style="1405" customWidth="1"/>
    <col min="12034" max="12034" width="13.21875" style="1405" customWidth="1"/>
    <col min="12035" max="12035" width="15.6640625" style="1405" customWidth="1"/>
    <col min="12036" max="12036" width="9.33203125" style="1405" bestFit="1" customWidth="1"/>
    <col min="12037" max="12037" width="13.44140625" style="1405" customWidth="1"/>
    <col min="12038" max="12038" width="9" style="1405"/>
    <col min="12039" max="12039" width="9.33203125" style="1405" bestFit="1" customWidth="1"/>
    <col min="12040" max="12041" width="9" style="1405"/>
    <col min="12042" max="12042" width="9.33203125" style="1405" bestFit="1" customWidth="1"/>
    <col min="12043" max="12043" width="4" style="1405" customWidth="1"/>
    <col min="12044" max="12044" width="5.109375" style="1405" customWidth="1"/>
    <col min="12045" max="12045" width="13.77734375" style="1405" customWidth="1"/>
    <col min="12046" max="12288" width="9" style="1405"/>
    <col min="12289" max="12289" width="4.88671875" style="1405" customWidth="1"/>
    <col min="12290" max="12290" width="13.21875" style="1405" customWidth="1"/>
    <col min="12291" max="12291" width="15.6640625" style="1405" customWidth="1"/>
    <col min="12292" max="12292" width="9.33203125" style="1405" bestFit="1" customWidth="1"/>
    <col min="12293" max="12293" width="13.44140625" style="1405" customWidth="1"/>
    <col min="12294" max="12294" width="9" style="1405"/>
    <col min="12295" max="12295" width="9.33203125" style="1405" bestFit="1" customWidth="1"/>
    <col min="12296" max="12297" width="9" style="1405"/>
    <col min="12298" max="12298" width="9.33203125" style="1405" bestFit="1" customWidth="1"/>
    <col min="12299" max="12299" width="4" style="1405" customWidth="1"/>
    <col min="12300" max="12300" width="5.109375" style="1405" customWidth="1"/>
    <col min="12301" max="12301" width="13.77734375" style="1405" customWidth="1"/>
    <col min="12302" max="12544" width="9" style="1405"/>
    <col min="12545" max="12545" width="4.88671875" style="1405" customWidth="1"/>
    <col min="12546" max="12546" width="13.21875" style="1405" customWidth="1"/>
    <col min="12547" max="12547" width="15.6640625" style="1405" customWidth="1"/>
    <col min="12548" max="12548" width="9.33203125" style="1405" bestFit="1" customWidth="1"/>
    <col min="12549" max="12549" width="13.44140625" style="1405" customWidth="1"/>
    <col min="12550" max="12550" width="9" style="1405"/>
    <col min="12551" max="12551" width="9.33203125" style="1405" bestFit="1" customWidth="1"/>
    <col min="12552" max="12553" width="9" style="1405"/>
    <col min="12554" max="12554" width="9.33203125" style="1405" bestFit="1" customWidth="1"/>
    <col min="12555" max="12555" width="4" style="1405" customWidth="1"/>
    <col min="12556" max="12556" width="5.109375" style="1405" customWidth="1"/>
    <col min="12557" max="12557" width="13.77734375" style="1405" customWidth="1"/>
    <col min="12558" max="12800" width="9" style="1405"/>
    <col min="12801" max="12801" width="4.88671875" style="1405" customWidth="1"/>
    <col min="12802" max="12802" width="13.21875" style="1405" customWidth="1"/>
    <col min="12803" max="12803" width="15.6640625" style="1405" customWidth="1"/>
    <col min="12804" max="12804" width="9.33203125" style="1405" bestFit="1" customWidth="1"/>
    <col min="12805" max="12805" width="13.44140625" style="1405" customWidth="1"/>
    <col min="12806" max="12806" width="9" style="1405"/>
    <col min="12807" max="12807" width="9.33203125" style="1405" bestFit="1" customWidth="1"/>
    <col min="12808" max="12809" width="9" style="1405"/>
    <col min="12810" max="12810" width="9.33203125" style="1405" bestFit="1" customWidth="1"/>
    <col min="12811" max="12811" width="4" style="1405" customWidth="1"/>
    <col min="12812" max="12812" width="5.109375" style="1405" customWidth="1"/>
    <col min="12813" max="12813" width="13.77734375" style="1405" customWidth="1"/>
    <col min="12814" max="13056" width="9" style="1405"/>
    <col min="13057" max="13057" width="4.88671875" style="1405" customWidth="1"/>
    <col min="13058" max="13058" width="13.21875" style="1405" customWidth="1"/>
    <col min="13059" max="13059" width="15.6640625" style="1405" customWidth="1"/>
    <col min="13060" max="13060" width="9.33203125" style="1405" bestFit="1" customWidth="1"/>
    <col min="13061" max="13061" width="13.44140625" style="1405" customWidth="1"/>
    <col min="13062" max="13062" width="9" style="1405"/>
    <col min="13063" max="13063" width="9.33203125" style="1405" bestFit="1" customWidth="1"/>
    <col min="13064" max="13065" width="9" style="1405"/>
    <col min="13066" max="13066" width="9.33203125" style="1405" bestFit="1" customWidth="1"/>
    <col min="13067" max="13067" width="4" style="1405" customWidth="1"/>
    <col min="13068" max="13068" width="5.109375" style="1405" customWidth="1"/>
    <col min="13069" max="13069" width="13.77734375" style="1405" customWidth="1"/>
    <col min="13070" max="13312" width="9" style="1405"/>
    <col min="13313" max="13313" width="4.88671875" style="1405" customWidth="1"/>
    <col min="13314" max="13314" width="13.21875" style="1405" customWidth="1"/>
    <col min="13315" max="13315" width="15.6640625" style="1405" customWidth="1"/>
    <col min="13316" max="13316" width="9.33203125" style="1405" bestFit="1" customWidth="1"/>
    <col min="13317" max="13317" width="13.44140625" style="1405" customWidth="1"/>
    <col min="13318" max="13318" width="9" style="1405"/>
    <col min="13319" max="13319" width="9.33203125" style="1405" bestFit="1" customWidth="1"/>
    <col min="13320" max="13321" width="9" style="1405"/>
    <col min="13322" max="13322" width="9.33203125" style="1405" bestFit="1" customWidth="1"/>
    <col min="13323" max="13323" width="4" style="1405" customWidth="1"/>
    <col min="13324" max="13324" width="5.109375" style="1405" customWidth="1"/>
    <col min="13325" max="13325" width="13.77734375" style="1405" customWidth="1"/>
    <col min="13326" max="13568" width="9" style="1405"/>
    <col min="13569" max="13569" width="4.88671875" style="1405" customWidth="1"/>
    <col min="13570" max="13570" width="13.21875" style="1405" customWidth="1"/>
    <col min="13571" max="13571" width="15.6640625" style="1405" customWidth="1"/>
    <col min="13572" max="13572" width="9.33203125" style="1405" bestFit="1" customWidth="1"/>
    <col min="13573" max="13573" width="13.44140625" style="1405" customWidth="1"/>
    <col min="13574" max="13574" width="9" style="1405"/>
    <col min="13575" max="13575" width="9.33203125" style="1405" bestFit="1" customWidth="1"/>
    <col min="13576" max="13577" width="9" style="1405"/>
    <col min="13578" max="13578" width="9.33203125" style="1405" bestFit="1" customWidth="1"/>
    <col min="13579" max="13579" width="4" style="1405" customWidth="1"/>
    <col min="13580" max="13580" width="5.109375" style="1405" customWidth="1"/>
    <col min="13581" max="13581" width="13.77734375" style="1405" customWidth="1"/>
    <col min="13582" max="13824" width="9" style="1405"/>
    <col min="13825" max="13825" width="4.88671875" style="1405" customWidth="1"/>
    <col min="13826" max="13826" width="13.21875" style="1405" customWidth="1"/>
    <col min="13827" max="13827" width="15.6640625" style="1405" customWidth="1"/>
    <col min="13828" max="13828" width="9.33203125" style="1405" bestFit="1" customWidth="1"/>
    <col min="13829" max="13829" width="13.44140625" style="1405" customWidth="1"/>
    <col min="13830" max="13830" width="9" style="1405"/>
    <col min="13831" max="13831" width="9.33203125" style="1405" bestFit="1" customWidth="1"/>
    <col min="13832" max="13833" width="9" style="1405"/>
    <col min="13834" max="13834" width="9.33203125" style="1405" bestFit="1" customWidth="1"/>
    <col min="13835" max="13835" width="4" style="1405" customWidth="1"/>
    <col min="13836" max="13836" width="5.109375" style="1405" customWidth="1"/>
    <col min="13837" max="13837" width="13.77734375" style="1405" customWidth="1"/>
    <col min="13838" max="14080" width="9" style="1405"/>
    <col min="14081" max="14081" width="4.88671875" style="1405" customWidth="1"/>
    <col min="14082" max="14082" width="13.21875" style="1405" customWidth="1"/>
    <col min="14083" max="14083" width="15.6640625" style="1405" customWidth="1"/>
    <col min="14084" max="14084" width="9.33203125" style="1405" bestFit="1" customWidth="1"/>
    <col min="14085" max="14085" width="13.44140625" style="1405" customWidth="1"/>
    <col min="14086" max="14086" width="9" style="1405"/>
    <col min="14087" max="14087" width="9.33203125" style="1405" bestFit="1" customWidth="1"/>
    <col min="14088" max="14089" width="9" style="1405"/>
    <col min="14090" max="14090" width="9.33203125" style="1405" bestFit="1" customWidth="1"/>
    <col min="14091" max="14091" width="4" style="1405" customWidth="1"/>
    <col min="14092" max="14092" width="5.109375" style="1405" customWidth="1"/>
    <col min="14093" max="14093" width="13.77734375" style="1405" customWidth="1"/>
    <col min="14094" max="14336" width="9" style="1405"/>
    <col min="14337" max="14337" width="4.88671875" style="1405" customWidth="1"/>
    <col min="14338" max="14338" width="13.21875" style="1405" customWidth="1"/>
    <col min="14339" max="14339" width="15.6640625" style="1405" customWidth="1"/>
    <col min="14340" max="14340" width="9.33203125" style="1405" bestFit="1" customWidth="1"/>
    <col min="14341" max="14341" width="13.44140625" style="1405" customWidth="1"/>
    <col min="14342" max="14342" width="9" style="1405"/>
    <col min="14343" max="14343" width="9.33203125" style="1405" bestFit="1" customWidth="1"/>
    <col min="14344" max="14345" width="9" style="1405"/>
    <col min="14346" max="14346" width="9.33203125" style="1405" bestFit="1" customWidth="1"/>
    <col min="14347" max="14347" width="4" style="1405" customWidth="1"/>
    <col min="14348" max="14348" width="5.109375" style="1405" customWidth="1"/>
    <col min="14349" max="14349" width="13.77734375" style="1405" customWidth="1"/>
    <col min="14350" max="14592" width="9" style="1405"/>
    <col min="14593" max="14593" width="4.88671875" style="1405" customWidth="1"/>
    <col min="14594" max="14594" width="13.21875" style="1405" customWidth="1"/>
    <col min="14595" max="14595" width="15.6640625" style="1405" customWidth="1"/>
    <col min="14596" max="14596" width="9.33203125" style="1405" bestFit="1" customWidth="1"/>
    <col min="14597" max="14597" width="13.44140625" style="1405" customWidth="1"/>
    <col min="14598" max="14598" width="9" style="1405"/>
    <col min="14599" max="14599" width="9.33203125" style="1405" bestFit="1" customWidth="1"/>
    <col min="14600" max="14601" width="9" style="1405"/>
    <col min="14602" max="14602" width="9.33203125" style="1405" bestFit="1" customWidth="1"/>
    <col min="14603" max="14603" width="4" style="1405" customWidth="1"/>
    <col min="14604" max="14604" width="5.109375" style="1405" customWidth="1"/>
    <col min="14605" max="14605" width="13.77734375" style="1405" customWidth="1"/>
    <col min="14606" max="14848" width="9" style="1405"/>
    <col min="14849" max="14849" width="4.88671875" style="1405" customWidth="1"/>
    <col min="14850" max="14850" width="13.21875" style="1405" customWidth="1"/>
    <col min="14851" max="14851" width="15.6640625" style="1405" customWidth="1"/>
    <col min="14852" max="14852" width="9.33203125" style="1405" bestFit="1" customWidth="1"/>
    <col min="14853" max="14853" width="13.44140625" style="1405" customWidth="1"/>
    <col min="14854" max="14854" width="9" style="1405"/>
    <col min="14855" max="14855" width="9.33203125" style="1405" bestFit="1" customWidth="1"/>
    <col min="14856" max="14857" width="9" style="1405"/>
    <col min="14858" max="14858" width="9.33203125" style="1405" bestFit="1" customWidth="1"/>
    <col min="14859" max="14859" width="4" style="1405" customWidth="1"/>
    <col min="14860" max="14860" width="5.109375" style="1405" customWidth="1"/>
    <col min="14861" max="14861" width="13.77734375" style="1405" customWidth="1"/>
    <col min="14862" max="15104" width="9" style="1405"/>
    <col min="15105" max="15105" width="4.88671875" style="1405" customWidth="1"/>
    <col min="15106" max="15106" width="13.21875" style="1405" customWidth="1"/>
    <col min="15107" max="15107" width="15.6640625" style="1405" customWidth="1"/>
    <col min="15108" max="15108" width="9.33203125" style="1405" bestFit="1" customWidth="1"/>
    <col min="15109" max="15109" width="13.44140625" style="1405" customWidth="1"/>
    <col min="15110" max="15110" width="9" style="1405"/>
    <col min="15111" max="15111" width="9.33203125" style="1405" bestFit="1" customWidth="1"/>
    <col min="15112" max="15113" width="9" style="1405"/>
    <col min="15114" max="15114" width="9.33203125" style="1405" bestFit="1" customWidth="1"/>
    <col min="15115" max="15115" width="4" style="1405" customWidth="1"/>
    <col min="15116" max="15116" width="5.109375" style="1405" customWidth="1"/>
    <col min="15117" max="15117" width="13.77734375" style="1405" customWidth="1"/>
    <col min="15118" max="15360" width="9" style="1405"/>
    <col min="15361" max="15361" width="4.88671875" style="1405" customWidth="1"/>
    <col min="15362" max="15362" width="13.21875" style="1405" customWidth="1"/>
    <col min="15363" max="15363" width="15.6640625" style="1405" customWidth="1"/>
    <col min="15364" max="15364" width="9.33203125" style="1405" bestFit="1" customWidth="1"/>
    <col min="15365" max="15365" width="13.44140625" style="1405" customWidth="1"/>
    <col min="15366" max="15366" width="9" style="1405"/>
    <col min="15367" max="15367" width="9.33203125" style="1405" bestFit="1" customWidth="1"/>
    <col min="15368" max="15369" width="9" style="1405"/>
    <col min="15370" max="15370" width="9.33203125" style="1405" bestFit="1" customWidth="1"/>
    <col min="15371" max="15371" width="4" style="1405" customWidth="1"/>
    <col min="15372" max="15372" width="5.109375" style="1405" customWidth="1"/>
    <col min="15373" max="15373" width="13.77734375" style="1405" customWidth="1"/>
    <col min="15374" max="15616" width="9" style="1405"/>
    <col min="15617" max="15617" width="4.88671875" style="1405" customWidth="1"/>
    <col min="15618" max="15618" width="13.21875" style="1405" customWidth="1"/>
    <col min="15619" max="15619" width="15.6640625" style="1405" customWidth="1"/>
    <col min="15620" max="15620" width="9.33203125" style="1405" bestFit="1" customWidth="1"/>
    <col min="15621" max="15621" width="13.44140625" style="1405" customWidth="1"/>
    <col min="15622" max="15622" width="9" style="1405"/>
    <col min="15623" max="15623" width="9.33203125" style="1405" bestFit="1" customWidth="1"/>
    <col min="15624" max="15625" width="9" style="1405"/>
    <col min="15626" max="15626" width="9.33203125" style="1405" bestFit="1" customWidth="1"/>
    <col min="15627" max="15627" width="4" style="1405" customWidth="1"/>
    <col min="15628" max="15628" width="5.109375" style="1405" customWidth="1"/>
    <col min="15629" max="15629" width="13.77734375" style="1405" customWidth="1"/>
    <col min="15630" max="15872" width="9" style="1405"/>
    <col min="15873" max="15873" width="4.88671875" style="1405" customWidth="1"/>
    <col min="15874" max="15874" width="13.21875" style="1405" customWidth="1"/>
    <col min="15875" max="15875" width="15.6640625" style="1405" customWidth="1"/>
    <col min="15876" max="15876" width="9.33203125" style="1405" bestFit="1" customWidth="1"/>
    <col min="15877" max="15877" width="13.44140625" style="1405" customWidth="1"/>
    <col min="15878" max="15878" width="9" style="1405"/>
    <col min="15879" max="15879" width="9.33203125" style="1405" bestFit="1" customWidth="1"/>
    <col min="15880" max="15881" width="9" style="1405"/>
    <col min="15882" max="15882" width="9.33203125" style="1405" bestFit="1" customWidth="1"/>
    <col min="15883" max="15883" width="4" style="1405" customWidth="1"/>
    <col min="15884" max="15884" width="5.109375" style="1405" customWidth="1"/>
    <col min="15885" max="15885" width="13.77734375" style="1405" customWidth="1"/>
    <col min="15886" max="16128" width="9" style="1405"/>
    <col min="16129" max="16129" width="4.88671875" style="1405" customWidth="1"/>
    <col min="16130" max="16130" width="13.21875" style="1405" customWidth="1"/>
    <col min="16131" max="16131" width="15.6640625" style="1405" customWidth="1"/>
    <col min="16132" max="16132" width="9.33203125" style="1405" bestFit="1" customWidth="1"/>
    <col min="16133" max="16133" width="13.44140625" style="1405" customWidth="1"/>
    <col min="16134" max="16134" width="9" style="1405"/>
    <col min="16135" max="16135" width="9.33203125" style="1405" bestFit="1" customWidth="1"/>
    <col min="16136" max="16137" width="9" style="1405"/>
    <col min="16138" max="16138" width="9.33203125" style="1405" bestFit="1" customWidth="1"/>
    <col min="16139" max="16139" width="4" style="1405" customWidth="1"/>
    <col min="16140" max="16140" width="5.109375" style="1405" customWidth="1"/>
    <col min="16141" max="16141" width="13.77734375" style="1405" customWidth="1"/>
    <col min="16142" max="16384" width="9" style="1405"/>
  </cols>
  <sheetData>
    <row r="1" spans="1:257" s="1467" customFormat="1" ht="15" thickBot="1">
      <c r="A1" s="1461"/>
      <c r="B1" s="1468" t="s">
        <v>1267</v>
      </c>
      <c r="C1" s="1462">
        <f>项目基本情况!D3</f>
        <v>44561</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6"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399999999999999">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2">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31.2">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5.6">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5.6">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5.6">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5.6">
      <c r="A17" s="1450"/>
      <c r="B17" s="3045" t="s">
        <v>3059</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6.8">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6" t="s">
        <v>1338</v>
      </c>
      <c r="E1" s="1510" t="s">
        <v>1342</v>
      </c>
      <c r="F1" s="1511" t="s">
        <v>1346</v>
      </c>
    </row>
    <row r="2" spans="1:13" ht="19.8">
      <c r="A2" s="1517" t="s">
        <v>1339</v>
      </c>
    </row>
    <row r="3" spans="1:13" ht="15.6">
      <c r="A3" s="1518" t="s">
        <v>1340</v>
      </c>
    </row>
    <row r="4" spans="1:13">
      <c r="A4" s="1508" t="s">
        <v>1341</v>
      </c>
      <c r="B4" s="1513" t="s">
        <v>1343</v>
      </c>
      <c r="C4" s="1514"/>
      <c r="D4" s="1515"/>
      <c r="E4" s="1513" t="s">
        <v>27</v>
      </c>
      <c r="F4" s="1514"/>
      <c r="G4" s="1515"/>
      <c r="H4" s="1513" t="s">
        <v>1344</v>
      </c>
      <c r="I4" s="1514"/>
      <c r="J4" s="1515"/>
      <c r="K4" s="1513" t="s">
        <v>6</v>
      </c>
      <c r="L4" s="1514"/>
      <c r="M4" s="1515"/>
    </row>
    <row r="5" spans="1:13">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0" customWidth="1"/>
    <col min="2" max="9" width="12.109375" style="1660" customWidth="1"/>
    <col min="10" max="16384" width="9" style="1660"/>
  </cols>
  <sheetData>
    <row r="1" spans="1:9" ht="18" thickBot="1">
      <c r="A1" s="3103" t="str">
        <f>IF(项目基本情况!B9="房地产市场价值","估价结果一览表","结果表-2")</f>
        <v>估价结果一览表</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房地产市场价值</v>
      </c>
      <c r="I2" s="3104"/>
    </row>
    <row r="3" spans="1:9" ht="15.6">
      <c r="A3" s="3105"/>
      <c r="B3" s="3105"/>
      <c r="C3" s="3105"/>
      <c r="D3" s="962" t="s">
        <v>1603</v>
      </c>
      <c r="E3" s="962" t="s">
        <v>1609</v>
      </c>
      <c r="F3" s="962" t="s">
        <v>1603</v>
      </c>
      <c r="G3" s="962" t="s">
        <v>1604</v>
      </c>
      <c r="H3" s="962" t="s">
        <v>1603</v>
      </c>
      <c r="I3" s="962" t="s">
        <v>1604</v>
      </c>
    </row>
    <row r="4" spans="1:9" ht="15">
      <c r="A4" s="1688" t="str">
        <f>项目基本情况!S2</f>
        <v>房地产</v>
      </c>
      <c r="B4" s="962">
        <f>项目基本情况!C17</f>
        <v>43436.4</v>
      </c>
      <c r="C4" s="962">
        <f>项目基本情况!C18</f>
        <v>27014.799999999999</v>
      </c>
      <c r="D4" s="962">
        <f ca="1">结果表!D118</f>
        <v>-51915</v>
      </c>
      <c r="E4" s="962">
        <f ca="1">结果表!E118</f>
        <v>-11952</v>
      </c>
      <c r="F4" s="962">
        <f ca="1">结果表!F118</f>
        <v>76743</v>
      </c>
      <c r="G4" s="962">
        <f ca="1">结果表!G118</f>
        <v>17668</v>
      </c>
      <c r="H4" s="962">
        <f ca="1">结果表!H118</f>
        <v>24828</v>
      </c>
      <c r="I4" s="962">
        <f ca="1">结果表!I118</f>
        <v>5716</v>
      </c>
    </row>
    <row r="5" spans="1:9" ht="30" customHeight="1">
      <c r="A5" s="3105" t="s">
        <v>1605</v>
      </c>
      <c r="B5" s="3105"/>
      <c r="C5" s="3105"/>
      <c r="D5" s="3106" t="e">
        <f ca="1">结果表!D119</f>
        <v>#NUM!</v>
      </c>
      <c r="E5" s="3106"/>
      <c r="F5" s="3106" t="str">
        <f ca="1">结果表!F119</f>
        <v>柒亿陆仟柒佰肆拾叁万元整</v>
      </c>
      <c r="G5" s="3106"/>
      <c r="H5" s="3106" t="str">
        <f ca="1">结果表!H119</f>
        <v>贰亿肆仟捌佰贰拾捌万元整</v>
      </c>
      <c r="I5" s="3106"/>
    </row>
    <row r="6" spans="1:9" ht="15.6">
      <c r="A6" s="3107" t="str">
        <f>结果表!A120</f>
        <v/>
      </c>
      <c r="B6" s="3107"/>
      <c r="C6" s="3107"/>
      <c r="D6" s="3107">
        <f>结果表!D120</f>
        <v>0</v>
      </c>
      <c r="E6" s="3107"/>
      <c r="F6" s="3107"/>
      <c r="G6" s="3107"/>
      <c r="H6" s="3107"/>
      <c r="I6" s="3107"/>
    </row>
    <row r="7" spans="1:9" ht="15">
      <c r="A7" s="3105" t="s">
        <v>1605</v>
      </c>
      <c r="B7" s="3105"/>
      <c r="C7" s="3105"/>
      <c r="D7" s="3108" t="str">
        <f>结果表!D121</f>
        <v>零元整</v>
      </c>
      <c r="E7" s="3109"/>
      <c r="F7" s="3109"/>
      <c r="G7" s="3109"/>
      <c r="H7" s="3109"/>
      <c r="I7" s="3110"/>
    </row>
    <row r="8" spans="1:9" ht="15.6">
      <c r="A8" s="3107" t="str">
        <f>结果表!A122</f>
        <v/>
      </c>
      <c r="B8" s="3107"/>
      <c r="C8" s="3107"/>
      <c r="D8" s="3107">
        <f ca="1">结果表!D122</f>
        <v>24828</v>
      </c>
      <c r="E8" s="3107"/>
      <c r="F8" s="3107"/>
      <c r="G8" s="3107"/>
      <c r="H8" s="3107"/>
      <c r="I8" s="3107"/>
    </row>
    <row r="9" spans="1:9" ht="15">
      <c r="A9" s="3105" t="s">
        <v>1605</v>
      </c>
      <c r="B9" s="3105"/>
      <c r="C9" s="3105"/>
      <c r="D9" s="3106" t="str">
        <f ca="1">结果表!D123</f>
        <v>贰亿肆仟捌佰贰拾捌万元整</v>
      </c>
      <c r="E9" s="3106"/>
      <c r="F9" s="3106"/>
      <c r="G9" s="3106"/>
      <c r="H9" s="3106"/>
      <c r="I9" s="3106"/>
    </row>
    <row r="10" spans="1:9" ht="15.6">
      <c r="A10" s="3107" t="str">
        <f>结果表!A124</f>
        <v/>
      </c>
      <c r="B10" s="3107"/>
      <c r="C10" s="3107"/>
      <c r="D10" s="3107" t="str">
        <f>结果表!D124</f>
        <v>——</v>
      </c>
      <c r="E10" s="3107"/>
      <c r="F10" s="3107"/>
      <c r="G10" s="3107"/>
      <c r="H10" s="3107"/>
      <c r="I10" s="3107"/>
    </row>
    <row r="11" spans="1:9" ht="15">
      <c r="A11" s="3105" t="s">
        <v>1605</v>
      </c>
      <c r="B11" s="3105"/>
      <c r="C11" s="3105"/>
      <c r="D11" s="3106" t="e">
        <f>结果表!D125</f>
        <v>#VALUE!</v>
      </c>
      <c r="E11" s="3106"/>
      <c r="F11" s="3106"/>
      <c r="G11" s="3106"/>
      <c r="H11" s="3106"/>
      <c r="I11" s="3106"/>
    </row>
    <row r="12" spans="1:9" ht="15.6">
      <c r="A12" s="3107" t="str">
        <f>结果表!A126</f>
        <v/>
      </c>
      <c r="B12" s="3107"/>
      <c r="C12" s="3107"/>
      <c r="D12" s="3107" t="str">
        <f>结果表!D126</f>
        <v>——</v>
      </c>
      <c r="E12" s="3107"/>
      <c r="F12" s="3107"/>
      <c r="G12" s="3107"/>
      <c r="H12" s="3107"/>
      <c r="I12" s="3107"/>
    </row>
    <row r="13" spans="1:9" ht="15.6" thickBot="1">
      <c r="A13" s="3111" t="s">
        <v>1605</v>
      </c>
      <c r="B13" s="3111"/>
      <c r="C13" s="3111"/>
      <c r="D13" s="3112" t="e">
        <f>结果表!D127</f>
        <v>#VALUE!</v>
      </c>
      <c r="E13" s="3112"/>
      <c r="F13" s="3112"/>
      <c r="G13" s="3112"/>
      <c r="H13" s="3112"/>
      <c r="I13" s="3112"/>
    </row>
    <row r="14" spans="1:9" ht="14.4" thickTop="1">
      <c r="A14" s="3113" t="s">
        <v>1610</v>
      </c>
      <c r="B14" s="3113"/>
      <c r="C14" s="3113"/>
      <c r="D14" s="3113"/>
      <c r="E14" s="3113"/>
      <c r="F14" s="3113"/>
      <c r="G14" s="3113"/>
      <c r="H14" s="3113"/>
      <c r="I14" s="3113"/>
    </row>
    <row r="16" spans="1:9" ht="17.399999999999999">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0" customWidth="1"/>
    <col min="2" max="3" width="22.33203125" style="1660" customWidth="1"/>
    <col min="4" max="4" width="23" style="1660" customWidth="1"/>
    <col min="5" max="16384" width="9" style="1660"/>
  </cols>
  <sheetData>
    <row r="1" spans="1:4" ht="17.399999999999999">
      <c r="A1" s="3114" t="s">
        <v>1627</v>
      </c>
      <c r="B1" s="3114"/>
      <c r="C1" s="3114"/>
      <c r="D1" s="3114"/>
    </row>
    <row r="2" spans="1:4" ht="17.399999999999999">
      <c r="A2" s="3115" t="s">
        <v>1611</v>
      </c>
      <c r="B2" s="3115"/>
      <c r="C2" s="3115"/>
      <c r="D2" s="3115"/>
    </row>
    <row r="3" spans="1:4" ht="17.399999999999999">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7.399999999999999">
      <c r="A6" s="3115" t="s">
        <v>1617</v>
      </c>
      <c r="B6" s="3115"/>
      <c r="C6" s="3115"/>
      <c r="D6" s="3115"/>
    </row>
    <row r="7" spans="1:4" ht="17.399999999999999">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7.399999999999999">
      <c r="A10" s="1699" t="s">
        <v>1619</v>
      </c>
      <c r="B10" s="683"/>
      <c r="C10" s="683"/>
      <c r="D10" s="683"/>
    </row>
    <row r="11" spans="1:4" ht="30" customHeight="1">
      <c r="A11" s="3116" t="s">
        <v>1620</v>
      </c>
      <c r="B11" s="3117"/>
      <c r="C11" s="3117"/>
      <c r="D11" s="3117"/>
    </row>
    <row r="12" spans="1:4" ht="15.6">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7" t="str">
        <f>IF(项目基本情况!B8="抵押","4.本次评估估价师所知悉的法定优先受偿款情况说明如下：","——")</f>
        <v>4.本次评估估价师所知悉的法定优先受偿款情况说明如下：</v>
      </c>
      <c r="B14" s="3118"/>
      <c r="C14" s="3118"/>
      <c r="D14" s="3118"/>
    </row>
    <row r="15" spans="1:4" ht="42" customHeight="1">
      <c r="A15" s="31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7"/>
      <c r="C15" s="3117"/>
      <c r="D15" s="3117"/>
    </row>
    <row r="16" spans="1:4" ht="30" customHeight="1">
      <c r="A16" s="3120" t="s">
        <v>1621</v>
      </c>
      <c r="B16" s="3120"/>
      <c r="C16" s="3120"/>
      <c r="D16" s="3120"/>
    </row>
    <row r="17" spans="1:4" ht="144" customHeight="1">
      <c r="A17" s="3120" t="s">
        <v>1622</v>
      </c>
      <c r="B17" s="3120"/>
      <c r="C17" s="3120"/>
      <c r="D17" s="3120"/>
    </row>
    <row r="18" spans="1:4" ht="15.75" customHeight="1">
      <c r="A18" s="3117" t="str">
        <f>IF(项目基本情况!B8="抵押",结果表!K120,"——")</f>
        <v>故，本次评估不存在</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7"/>
      <c r="C20" s="3117"/>
      <c r="D20" s="3117"/>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1623</v>
      </c>
      <c r="B22" s="3122"/>
      <c r="C22" s="3122"/>
      <c r="D22" s="3122"/>
    </row>
    <row r="23" spans="1:4">
      <c r="A23" s="1700"/>
      <c r="B23" s="1672"/>
      <c r="C23" s="1672"/>
      <c r="D23" s="1672"/>
    </row>
    <row r="24" spans="1:4">
      <c r="A24" s="1700"/>
      <c r="B24" s="1672"/>
      <c r="C24" s="1672"/>
      <c r="D24" s="1672"/>
    </row>
    <row r="25" spans="1:4" ht="17.399999999999999">
      <c r="A25" s="1701" t="s">
        <v>1624</v>
      </c>
    </row>
    <row r="26" spans="1:4" ht="17.399999999999999">
      <c r="A26" s="1670"/>
    </row>
    <row r="27" spans="1:4" ht="17.399999999999999">
      <c r="A27" s="1670" t="s">
        <v>1625</v>
      </c>
    </row>
    <row r="30" spans="1:4" ht="17.399999999999999">
      <c r="D30" s="1701" t="s">
        <v>1626</v>
      </c>
    </row>
    <row r="31" spans="1:4" ht="13.5" customHeight="1">
      <c r="C31" s="3119">
        <v>42551</v>
      </c>
      <c r="D31" s="31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8" customWidth="1"/>
    <col min="3" max="10" width="12.44140625" style="1658" customWidth="1"/>
    <col min="11" max="16384" width="9" style="1658"/>
  </cols>
  <sheetData>
    <row r="1" spans="1:10" ht="17.399999999999999">
      <c r="A1" s="1691" t="s">
        <v>838</v>
      </c>
      <c r="B1" s="1702"/>
      <c r="C1" s="1702"/>
      <c r="D1" s="1702"/>
      <c r="E1" s="1702"/>
      <c r="F1" s="1702"/>
      <c r="G1" s="1702"/>
      <c r="H1" s="1702"/>
      <c r="I1" s="1702"/>
      <c r="J1" s="1702"/>
    </row>
    <row r="2" spans="1:10" ht="17.399999999999999">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08" customWidth="1"/>
    <col min="2" max="16384" width="14.44140625" style="1690"/>
  </cols>
  <sheetData>
    <row r="1" spans="1:7" s="1705" customFormat="1" ht="17.399999999999999">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4.4">
      <c r="A15" s="3128" t="s">
        <v>1634</v>
      </c>
      <c r="B15" s="3123" t="s">
        <v>136</v>
      </c>
      <c r="C15" s="3124"/>
    </row>
    <row r="16" spans="1:7" ht="14.4">
      <c r="A16" s="3129"/>
      <c r="B16" s="3123" t="s">
        <v>69</v>
      </c>
      <c r="C16" s="3124"/>
    </row>
    <row r="17" spans="1:3" ht="14.4">
      <c r="A17" s="3129"/>
      <c r="B17" s="3126" t="s">
        <v>1635</v>
      </c>
      <c r="C17" s="1715" t="s">
        <v>1634</v>
      </c>
    </row>
    <row r="18" spans="1:3" ht="14.4">
      <c r="A18" s="3129"/>
      <c r="B18" s="3126"/>
      <c r="C18" s="1715" t="s">
        <v>1636</v>
      </c>
    </row>
    <row r="19" spans="1:3" ht="14.4">
      <c r="A19" s="3129"/>
      <c r="B19" s="3126"/>
      <c r="C19" s="1715" t="s">
        <v>1637</v>
      </c>
    </row>
    <row r="20" spans="1:3" ht="14.4">
      <c r="A20" s="3130"/>
      <c r="B20" s="3125" t="s">
        <v>1638</v>
      </c>
      <c r="C20" s="3124"/>
    </row>
    <row r="21" spans="1:3" ht="14.4">
      <c r="A21" s="1716" t="s">
        <v>1639</v>
      </c>
      <c r="B21" s="1717"/>
      <c r="C21" s="1718"/>
    </row>
    <row r="22" spans="1:3" ht="14.4">
      <c r="A22" s="3127" t="s">
        <v>1640</v>
      </c>
      <c r="B22" s="3125" t="s">
        <v>1641</v>
      </c>
      <c r="C22" s="3124"/>
    </row>
    <row r="23" spans="1:3" ht="14.4">
      <c r="A23" s="3127"/>
      <c r="B23" s="3125" t="s">
        <v>1642</v>
      </c>
      <c r="C23" s="3124"/>
    </row>
    <row r="24" spans="1:3" ht="14.4">
      <c r="A24" s="3127"/>
      <c r="B24" s="3125" t="s">
        <v>1643</v>
      </c>
      <c r="C24" s="3124"/>
    </row>
    <row r="25" spans="1:3" ht="14.4">
      <c r="A25" s="3127"/>
      <c r="B25" s="3126" t="s">
        <v>1644</v>
      </c>
      <c r="C25" s="1715" t="s">
        <v>1645</v>
      </c>
    </row>
    <row r="26" spans="1:3" ht="14.4">
      <c r="A26" s="3127"/>
      <c r="B26" s="3126"/>
      <c r="C26" s="1715" t="s">
        <v>1646</v>
      </c>
    </row>
    <row r="27" spans="1:3" ht="14.4">
      <c r="A27" s="3127"/>
      <c r="B27" s="3126"/>
      <c r="C27" s="1715" t="s">
        <v>1647</v>
      </c>
    </row>
    <row r="28" spans="1:3" ht="14.4">
      <c r="A28" s="3127"/>
      <c r="B28" s="3126"/>
      <c r="C28" s="1715" t="s">
        <v>1648</v>
      </c>
    </row>
    <row r="29" spans="1:3" ht="14.4">
      <c r="A29" s="3127"/>
      <c r="B29" s="3126"/>
      <c r="C29" s="1715" t="s">
        <v>1649</v>
      </c>
    </row>
    <row r="30" spans="1:3" ht="14.4">
      <c r="A30" s="3127"/>
      <c r="B30" s="3126"/>
      <c r="C30" s="1715" t="s">
        <v>1650</v>
      </c>
    </row>
    <row r="31" spans="1:3" ht="14.4">
      <c r="A31" s="3127"/>
      <c r="B31" s="3126"/>
      <c r="C31" s="1715" t="s">
        <v>1651</v>
      </c>
    </row>
    <row r="32" spans="1:3" ht="14.4">
      <c r="A32" s="3127"/>
      <c r="B32" s="3126"/>
      <c r="C32" s="1715" t="s">
        <v>1652</v>
      </c>
    </row>
    <row r="33" spans="1:3" ht="14.4">
      <c r="A33" s="3127"/>
      <c r="B33" s="3126"/>
      <c r="C33" s="1715" t="s">
        <v>1653</v>
      </c>
    </row>
    <row r="34" spans="1:3">
      <c r="A34" s="1719" t="s">
        <v>76</v>
      </c>
    </row>
    <row r="37" spans="1:3">
      <c r="A37" s="1719" t="s">
        <v>1654</v>
      </c>
    </row>
    <row r="38" spans="1:3" ht="14.4">
      <c r="A38" s="1720" t="s">
        <v>77</v>
      </c>
    </row>
    <row r="39" spans="1:3" ht="14.4">
      <c r="A39" s="1720" t="s">
        <v>78</v>
      </c>
    </row>
    <row r="40" spans="1:3" ht="14.4">
      <c r="A40" s="1720" t="s">
        <v>79</v>
      </c>
    </row>
    <row r="41" spans="1:3" ht="14.4">
      <c r="A41" s="1721" t="s">
        <v>80</v>
      </c>
    </row>
    <row r="42" spans="1:3" ht="14.4">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58" customWidth="1"/>
    <col min="2" max="2" width="38.6640625" style="2558" customWidth="1"/>
    <col min="3" max="3" width="26" style="2558" customWidth="1"/>
    <col min="4" max="4" width="35" style="2558" hidden="1" customWidth="1"/>
    <col min="5" max="5" width="30.109375" style="2558" customWidth="1"/>
    <col min="6" max="6" width="35.44140625" style="2558" customWidth="1"/>
    <col min="7" max="7" width="31" style="2558" customWidth="1"/>
    <col min="8" max="8" width="37.44140625" style="2558" hidden="1" customWidth="1"/>
    <col min="9" max="16384" width="22.6640625" style="2558"/>
  </cols>
  <sheetData>
    <row r="1" spans="1:8" ht="24" customHeight="1">
      <c r="A1" s="2557"/>
      <c r="B1" s="2557"/>
      <c r="C1" s="2557"/>
      <c r="D1" s="2557"/>
      <c r="E1" s="2557"/>
      <c r="F1" s="2557"/>
      <c r="G1" s="2557"/>
      <c r="H1" s="2557"/>
    </row>
    <row r="2" spans="1:8" ht="24" customHeight="1">
      <c r="A2" s="2559" t="s">
        <v>2880</v>
      </c>
      <c r="B2" s="2560">
        <f ca="1">TODAY()</f>
        <v>44825</v>
      </c>
      <c r="C2" s="2561" t="s">
        <v>2881</v>
      </c>
      <c r="D2" s="2561"/>
      <c r="E2" s="2561"/>
      <c r="F2" s="2557"/>
      <c r="G2" s="2557"/>
      <c r="H2" s="2557"/>
    </row>
    <row r="3" spans="1:8" ht="24" customHeight="1">
      <c r="A3" s="2562" t="s">
        <v>2882</v>
      </c>
      <c r="B3" s="2563" t="s">
        <v>2883</v>
      </c>
      <c r="C3" s="2563" t="s">
        <v>2884</v>
      </c>
      <c r="D3" s="2564" t="s">
        <v>2885</v>
      </c>
      <c r="E3" s="2565" t="s">
        <v>2886</v>
      </c>
      <c r="F3" s="1470" t="s">
        <v>2887</v>
      </c>
      <c r="G3" s="2563" t="s">
        <v>2884</v>
      </c>
      <c r="H3" s="2564" t="s">
        <v>2888</v>
      </c>
    </row>
    <row r="4" spans="1:8" ht="24" customHeight="1">
      <c r="A4" s="1470" t="s">
        <v>2889</v>
      </c>
      <c r="B4" s="1470">
        <f ca="1">IF(C4&lt;B2,"已过期",1119970066)</f>
        <v>1119970066</v>
      </c>
      <c r="C4" s="2566">
        <v>44876</v>
      </c>
      <c r="D4" s="2567" t="str">
        <f ca="1">A4&amp;"（注册号："&amp;B4&amp;"）"</f>
        <v>梁津（注册号：1119970066）</v>
      </c>
      <c r="E4" s="2568" t="s">
        <v>2889</v>
      </c>
      <c r="F4" s="1470">
        <f ca="1">IF(G4&lt;B2,"已过期",96010014)</f>
        <v>96010014</v>
      </c>
      <c r="G4" s="2569">
        <v>47118</v>
      </c>
      <c r="H4" s="2570" t="str">
        <f ca="1">E4&amp;"（注册号："&amp;F4&amp;"）"</f>
        <v>梁津（注册号：96010014）</v>
      </c>
    </row>
    <row r="5" spans="1:8" ht="24" customHeight="1">
      <c r="A5" s="1470" t="s">
        <v>2890</v>
      </c>
      <c r="B5" s="1470">
        <f ca="1">IF(C5&lt;B2,"已过期",1119970111)</f>
        <v>1119970111</v>
      </c>
      <c r="C5" s="2566">
        <v>44876</v>
      </c>
      <c r="D5" s="2567" t="str">
        <f t="shared" ref="D5:D15" ca="1" si="0">A5&amp;"（注册号："&amp;B5&amp;"）"</f>
        <v>叶凌（注册号：1119970111）</v>
      </c>
      <c r="E5" s="2568" t="s">
        <v>2890</v>
      </c>
      <c r="F5" s="1470">
        <f ca="1">IF(G5&lt;B2,"已过期",94010078)</f>
        <v>94010078</v>
      </c>
      <c r="G5" s="2569">
        <v>46387</v>
      </c>
      <c r="H5" s="2570" t="str">
        <f t="shared" ref="H5:H16" ca="1" si="1">E5&amp;"（注册号："&amp;F5&amp;"）"</f>
        <v>叶凌（注册号：94010078）</v>
      </c>
    </row>
    <row r="6" spans="1:8" ht="24" customHeight="1">
      <c r="A6" s="1470" t="s">
        <v>2891</v>
      </c>
      <c r="B6" s="1470" t="str">
        <f ca="1">IF(C6&lt;B2,"已过期",1120050019)</f>
        <v>已过期</v>
      </c>
      <c r="C6" s="2566">
        <v>44395</v>
      </c>
      <c r="D6" s="2567" t="str">
        <f t="shared" ca="1" si="0"/>
        <v>王鹏（注册号：已过期）</v>
      </c>
      <c r="E6" s="2568" t="s">
        <v>2891</v>
      </c>
      <c r="F6" s="1470">
        <f ca="1">IF(G6&lt;B2,"已过期",2002110030)</f>
        <v>2002110030</v>
      </c>
      <c r="G6" s="2569">
        <v>46387</v>
      </c>
      <c r="H6" s="2570" t="str">
        <f t="shared" ca="1" si="1"/>
        <v>王鹏（注册号：2002110030）</v>
      </c>
    </row>
    <row r="7" spans="1:8" ht="24" customHeight="1">
      <c r="A7" s="1470" t="s">
        <v>2892</v>
      </c>
      <c r="B7" s="1470">
        <f ca="1">IF(C7&lt;B2,"已过期",1120000080)</f>
        <v>1120000080</v>
      </c>
      <c r="C7" s="2566">
        <v>44876</v>
      </c>
      <c r="D7" s="2567" t="str">
        <f t="shared" ca="1" si="0"/>
        <v>欧红伟（注册号：1120000080）</v>
      </c>
      <c r="E7" s="2568" t="s">
        <v>2892</v>
      </c>
      <c r="F7" s="1470">
        <f ca="1">IF(G7&lt;B2,"已过期",2000110082)</f>
        <v>2000110082</v>
      </c>
      <c r="G7" s="2569">
        <v>46387</v>
      </c>
      <c r="H7" s="2570" t="str">
        <f t="shared" ca="1" si="1"/>
        <v>欧红伟（注册号：2000110082）</v>
      </c>
    </row>
    <row r="8" spans="1:8" ht="24" customHeight="1">
      <c r="A8" s="1470" t="s">
        <v>2893</v>
      </c>
      <c r="B8" s="1470">
        <f ca="1">IF(C8&lt;B2,"已过期",1419970001)</f>
        <v>1419970001</v>
      </c>
      <c r="C8" s="2566">
        <v>44899</v>
      </c>
      <c r="D8" s="2567" t="str">
        <f t="shared" ca="1" si="0"/>
        <v>吴薇（注册号：1419970001）</v>
      </c>
      <c r="E8" s="2568" t="s">
        <v>2893</v>
      </c>
      <c r="F8" s="1470">
        <f ca="1">IF(G8&lt;B2,"已过期",2002110125)</f>
        <v>2002110125</v>
      </c>
      <c r="G8" s="2569">
        <v>47118</v>
      </c>
      <c r="H8" s="2570" t="str">
        <f t="shared" ca="1" si="1"/>
        <v>吴薇（注册号：2002110125）</v>
      </c>
    </row>
    <row r="9" spans="1:8" ht="24" customHeight="1">
      <c r="A9" s="1470" t="s">
        <v>2894</v>
      </c>
      <c r="B9" s="1470" t="str">
        <f ca="1">IF(C9&lt;B2,"已过期",1120060040)</f>
        <v>已过期</v>
      </c>
      <c r="C9" s="2571">
        <v>44554</v>
      </c>
      <c r="D9" s="2567" t="str">
        <f t="shared" ca="1" si="0"/>
        <v>陈颖（注册号：已过期）</v>
      </c>
      <c r="E9" s="2568" t="s">
        <v>2894</v>
      </c>
      <c r="F9" s="1470">
        <f ca="1">IF(G9&lt;B2,"已过期",2004110096)</f>
        <v>2004110096</v>
      </c>
      <c r="G9" s="2569">
        <v>47118</v>
      </c>
      <c r="H9" s="2570" t="str">
        <f t="shared" ca="1" si="1"/>
        <v>陈颖（注册号：2004110096）</v>
      </c>
    </row>
    <row r="10" spans="1:8" ht="24" customHeight="1">
      <c r="A10" s="1470" t="s">
        <v>2895</v>
      </c>
      <c r="B10" s="1470" t="str">
        <f ca="1">IF(C10&lt;B2,"已过期",1120100036)</f>
        <v>已过期</v>
      </c>
      <c r="C10" s="2571">
        <v>44675</v>
      </c>
      <c r="D10" s="2567" t="str">
        <f t="shared" ca="1" si="0"/>
        <v>崔锴（注册号：已过期）</v>
      </c>
      <c r="E10" s="2568" t="s">
        <v>2895</v>
      </c>
      <c r="F10" s="1470">
        <f ca="1">IF(G10&lt;B2,"已过期",2010110070)</f>
        <v>2010110070</v>
      </c>
      <c r="G10" s="2569">
        <v>47907</v>
      </c>
      <c r="H10" s="2570" t="str">
        <f t="shared" ca="1" si="1"/>
        <v>崔锴（注册号：2010110070）</v>
      </c>
    </row>
    <row r="11" spans="1:8" ht="24" customHeight="1">
      <c r="A11" s="1470" t="s">
        <v>2896</v>
      </c>
      <c r="B11" s="1470">
        <f ca="1">IF(C11&lt;B2,"已过期",1120070131)</f>
        <v>1120070131</v>
      </c>
      <c r="C11" s="2566">
        <v>44849</v>
      </c>
      <c r="D11" s="2567" t="str">
        <f t="shared" ca="1" si="0"/>
        <v>郑燚（注册号：1120070131）</v>
      </c>
      <c r="E11" s="2568" t="s">
        <v>2896</v>
      </c>
      <c r="F11" s="1470">
        <f ca="1">IF(G11&lt;B2,"已过期",2014110011)</f>
        <v>2014110011</v>
      </c>
      <c r="G11" s="2569">
        <v>49302</v>
      </c>
      <c r="H11" s="2570" t="str">
        <f t="shared" ca="1" si="1"/>
        <v>郑燚（注册号：2014110011）</v>
      </c>
    </row>
    <row r="12" spans="1:8" ht="24" customHeight="1">
      <c r="A12" s="1470" t="s">
        <v>2897</v>
      </c>
      <c r="B12" s="1470">
        <f ca="1">IF(C12&lt;B2,"已过期",1120040230)</f>
        <v>1120040230</v>
      </c>
      <c r="C12" s="2571">
        <v>44864</v>
      </c>
      <c r="D12" s="2567" t="str">
        <f t="shared" ca="1" si="0"/>
        <v>苏海（注册号：1120040230）</v>
      </c>
      <c r="E12" s="2568" t="s">
        <v>2897</v>
      </c>
      <c r="F12" s="1470">
        <f ca="1">IF(G12&lt;B2,"已过期",98030020)</f>
        <v>98030020</v>
      </c>
      <c r="G12" s="2569">
        <v>47118</v>
      </c>
      <c r="H12" s="2570" t="str">
        <f t="shared" ca="1" si="1"/>
        <v>苏海（注册号：98030020）</v>
      </c>
    </row>
    <row r="13" spans="1:8" ht="24" customHeight="1">
      <c r="A13" s="1470" t="s">
        <v>2898</v>
      </c>
      <c r="B13" s="1470" t="str">
        <f ca="1">IF(C13&lt;B2,"已过期",1120020033)</f>
        <v>已过期</v>
      </c>
      <c r="C13" s="2566">
        <v>44339</v>
      </c>
      <c r="D13" s="2567" t="str">
        <f t="shared" ca="1" si="0"/>
        <v>刘敬东（注册号：已过期）</v>
      </c>
      <c r="E13" s="2568" t="s">
        <v>2898</v>
      </c>
      <c r="F13" s="1470">
        <f ca="1">IF(G13&lt;B2,"已过期",2000110137)</f>
        <v>2000110137</v>
      </c>
      <c r="G13" s="2569">
        <v>46387</v>
      </c>
      <c r="H13" s="2570" t="str">
        <f t="shared" ca="1" si="1"/>
        <v>刘敬东（注册号：2000110137）</v>
      </c>
    </row>
    <row r="14" spans="1:8" ht="24" customHeight="1">
      <c r="A14" s="1470" t="s">
        <v>2899</v>
      </c>
      <c r="B14" s="1470">
        <f ca="1">IF(C14&lt;B2,"已过期",1119980106)</f>
        <v>1119980106</v>
      </c>
      <c r="C14" s="2571">
        <v>44969</v>
      </c>
      <c r="D14" s="2567" t="str">
        <f t="shared" ca="1" si="0"/>
        <v>刘俊财（注册号：1119980106）</v>
      </c>
      <c r="E14" s="2568" t="s">
        <v>2899</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2900</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31" t="s">
        <v>2901</v>
      </c>
      <c r="B17" s="3131"/>
      <c r="C17" s="3131"/>
      <c r="D17" s="3131"/>
      <c r="E17" s="3131"/>
      <c r="F17" s="3131"/>
      <c r="G17" s="3131"/>
      <c r="H17" s="3131"/>
    </row>
    <row r="18" spans="1:8" ht="24" customHeight="1">
      <c r="A18" s="3132" t="s">
        <v>2902</v>
      </c>
      <c r="B18" s="3132"/>
      <c r="C18" s="3132"/>
      <c r="D18" s="2564"/>
      <c r="E18" s="3133" t="s">
        <v>2903</v>
      </c>
      <c r="F18" s="3132"/>
      <c r="G18" s="3132"/>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Sheet1</vt:lpstr>
      <vt:lpstr>数据-取费表</vt:lpstr>
      <vt:lpstr>估价对象房地状况</vt:lpstr>
      <vt:lpstr>系统读取表</vt:lpstr>
      <vt:lpstr>结果表</vt:lpstr>
      <vt:lpstr>比较法-办公</vt:lpstr>
      <vt:lpstr>比较法-商业</vt:lpstr>
      <vt:lpstr>典型户型修正 (2)</vt:lpstr>
      <vt:lpstr>成交案例</vt:lpstr>
      <vt:lpstr>成本法</vt:lpstr>
      <vt:lpstr>土地比较法-住宅、综合</vt:lpstr>
      <vt:lpstr>土地案例</vt:lpstr>
      <vt:lpstr>典型户型修正</vt:lpstr>
      <vt:lpstr>收益法</vt:lpstr>
      <vt:lpstr>收益法 (元)</vt:lpstr>
      <vt:lpstr>成本法 (元)</vt:lpstr>
      <vt:lpstr>假设开发法</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2022-09-21T05:49:48Z</dcterms:modified>
</cp:coreProperties>
</file>