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数据-汇总表" sheetId="6" r:id="rId14"/>
    <sheet name="Sheet1" sheetId="77" r:id="rId15"/>
    <sheet name="数据-取费表" sheetId="1" r:id="rId16"/>
    <sheet name="估价对象房地状况" sheetId="20" r:id="rId17"/>
    <sheet name="系统读取表" sheetId="74" r:id="rId18"/>
    <sheet name="结果表" sheetId="9" r:id="rId19"/>
    <sheet name="比较法-办公" sheetId="34" state="hidden" r:id="rId20"/>
    <sheet name="比较法-商业" sheetId="33" r:id="rId21"/>
    <sheet name="典型户型修正 (2)" sheetId="85" r:id="rId22"/>
    <sheet name="成交案例" sheetId="81" r:id="rId23"/>
    <sheet name="成本法" sheetId="68" r:id="rId24"/>
    <sheet name="土地比较法-住宅、综合" sheetId="39" r:id="rId25"/>
    <sheet name="土地案例" sheetId="82" r:id="rId26"/>
    <sheet name="典型户型修正" sheetId="31" r:id="rId27"/>
    <sheet name="收益法" sheetId="15" r:id="rId28"/>
    <sheet name="收益法 (元)" sheetId="67" state="hidden" r:id="rId29"/>
    <sheet name="成本法 (元)" sheetId="69" state="hidden" r:id="rId30"/>
    <sheet name="假设开发法" sheetId="12"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3">'比较法-住宅'!$A$1:$K$54,'比较法-住宅'!$A$57:$M$131</definedName>
    <definedName name="_xlnm.Print_Area" localSheetId="23">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30">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'土地比较法-住宅、综合'!$A$73:$M$73</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1">'典型户型修正 (2)'!$5:$5</definedName>
    <definedName name="一修多修正项2">典型户型修正!$5:$5</definedName>
    <definedName name="一修多修正项3" localSheetId="21">'典型户型修正 (2)'!$7:$7</definedName>
    <definedName name="一修多修正项3">典型户型修正!$7:$7</definedName>
    <definedName name="一修多修正项4" localSheetId="21">'典型户型修正 (2)'!$9:$9</definedName>
    <definedName name="一修多修正项4">典型户型修正!$9:$9</definedName>
    <definedName name="一修多修正项5" localSheetId="21">'典型户型修正 (2)'!$11:$11</definedName>
    <definedName name="一修多修正项5">典型户型修正!$11:$11</definedName>
    <definedName name="一修多修正项6" localSheetId="21">'典型户型修正 (2)'!$13:$13</definedName>
    <definedName name="一修多修正项6">典型户型修正!$13:$13</definedName>
    <definedName name="一修多修正项7" localSheetId="21">'典型户型修正 (2)'!$15:$15</definedName>
    <definedName name="一修多修正项7">典型户型修正!$15:$15</definedName>
    <definedName name="一修多修正项8" localSheetId="21">'典型户型修正 (2)'!$17:$17</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5" i="77" l="1"/>
  <c r="D4" i="85"/>
  <c r="E4" i="85"/>
  <c r="F4" i="85"/>
  <c r="G4" i="85"/>
  <c r="H4" i="85"/>
  <c r="I4" i="85"/>
  <c r="C4" i="85"/>
  <c r="I3" i="85"/>
  <c r="D3" i="85"/>
  <c r="E3" i="85"/>
  <c r="F3" i="85"/>
  <c r="G3" i="85"/>
  <c r="H3" i="85"/>
  <c r="C3" i="85"/>
  <c r="B25" i="85"/>
  <c r="B26" i="85"/>
  <c r="B24" i="85"/>
  <c r="C33" i="3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R431" i="85"/>
  <c r="S431" i="85" s="1"/>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R415" i="85"/>
  <c r="S415" i="85" s="1"/>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R399" i="85"/>
  <c r="S399" i="85" s="1"/>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R383" i="85"/>
  <c r="S383" i="85" s="1"/>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R357" i="85"/>
  <c r="S357" i="85" s="1"/>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R207" i="85"/>
  <c r="S207" i="85" s="1"/>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R197" i="85"/>
  <c r="S197" i="85" s="1"/>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R173" i="85"/>
  <c r="S173" i="85" s="1"/>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R167" i="85"/>
  <c r="S167" i="85" s="1"/>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R161" i="85"/>
  <c r="S161" i="85" s="1"/>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R141" i="85"/>
  <c r="S141" i="85" s="1"/>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R135" i="85"/>
  <c r="S135" i="85" s="1"/>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R129" i="85"/>
  <c r="S129" i="85" s="1"/>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R114" i="85"/>
  <c r="S114" i="85" s="1"/>
  <c r="Q114" i="85"/>
  <c r="O114" i="85"/>
  <c r="M114" i="85"/>
  <c r="K114" i="85"/>
  <c r="I114" i="85"/>
  <c r="G114" i="85"/>
  <c r="E114" i="85"/>
  <c r="C114" i="85"/>
  <c r="R113" i="85"/>
  <c r="S113" i="85" s="1"/>
  <c r="Q113" i="85"/>
  <c r="O113" i="85"/>
  <c r="M113" i="85"/>
  <c r="K113" i="85"/>
  <c r="I113" i="85"/>
  <c r="G113" i="85"/>
  <c r="E113" i="85"/>
  <c r="C113" i="85"/>
  <c r="R112" i="85"/>
  <c r="S112" i="85" s="1"/>
  <c r="Q112" i="85"/>
  <c r="O112" i="85"/>
  <c r="M112" i="85"/>
  <c r="K112" i="85"/>
  <c r="I112" i="85"/>
  <c r="G112" i="85"/>
  <c r="E112" i="85"/>
  <c r="C112" i="85"/>
  <c r="R111" i="85"/>
  <c r="S111" i="85" s="1"/>
  <c r="Q111" i="85"/>
  <c r="O111" i="85"/>
  <c r="M111" i="85"/>
  <c r="K111" i="85"/>
  <c r="I111" i="85"/>
  <c r="G111" i="85"/>
  <c r="E111" i="85"/>
  <c r="C111" i="85"/>
  <c r="R110" i="85"/>
  <c r="S110" i="85" s="1"/>
  <c r="Q110" i="85"/>
  <c r="O110" i="85"/>
  <c r="M110" i="85"/>
  <c r="K110" i="85"/>
  <c r="I110" i="85"/>
  <c r="G110" i="85"/>
  <c r="E110" i="85"/>
  <c r="C110" i="85"/>
  <c r="R109" i="85"/>
  <c r="S109" i="85" s="1"/>
  <c r="Q109" i="85"/>
  <c r="O109" i="85"/>
  <c r="M109" i="85"/>
  <c r="K109" i="85"/>
  <c r="I109" i="85"/>
  <c r="G109" i="85"/>
  <c r="E109" i="85"/>
  <c r="C109" i="85"/>
  <c r="R108" i="85"/>
  <c r="S108" i="85" s="1"/>
  <c r="Q108" i="85"/>
  <c r="O108" i="85"/>
  <c r="M108" i="85"/>
  <c r="K108" i="85"/>
  <c r="I108" i="85"/>
  <c r="G108" i="85"/>
  <c r="E108" i="85"/>
  <c r="C108" i="85"/>
  <c r="R107" i="85"/>
  <c r="S107" i="85" s="1"/>
  <c r="Q107" i="85"/>
  <c r="O107" i="85"/>
  <c r="M107" i="85"/>
  <c r="K107" i="85"/>
  <c r="I107" i="85"/>
  <c r="G107" i="85"/>
  <c r="E107" i="85"/>
  <c r="C107" i="85"/>
  <c r="R106" i="85"/>
  <c r="S106" i="85" s="1"/>
  <c r="Q106" i="85"/>
  <c r="O106" i="85"/>
  <c r="M106" i="85"/>
  <c r="K106" i="85"/>
  <c r="I106" i="85"/>
  <c r="G106" i="85"/>
  <c r="E106" i="85"/>
  <c r="C106" i="85"/>
  <c r="R105" i="85"/>
  <c r="S105" i="85" s="1"/>
  <c r="Q105" i="85"/>
  <c r="O105" i="85"/>
  <c r="M105" i="85"/>
  <c r="K105" i="85"/>
  <c r="I105" i="85"/>
  <c r="G105" i="85"/>
  <c r="E105" i="85"/>
  <c r="C105" i="85"/>
  <c r="R104" i="85"/>
  <c r="S104" i="85" s="1"/>
  <c r="Q104" i="85"/>
  <c r="O104" i="85"/>
  <c r="M104" i="85"/>
  <c r="K104" i="85"/>
  <c r="I104" i="85"/>
  <c r="G104" i="85"/>
  <c r="E104" i="85"/>
  <c r="C104" i="85"/>
  <c r="R103" i="85"/>
  <c r="S103" i="85" s="1"/>
  <c r="Q103" i="85"/>
  <c r="O103" i="85"/>
  <c r="M103" i="85"/>
  <c r="K103" i="85"/>
  <c r="I103" i="85"/>
  <c r="G103" i="85"/>
  <c r="E103" i="85"/>
  <c r="C103" i="85"/>
  <c r="R102" i="85"/>
  <c r="S102" i="85" s="1"/>
  <c r="Q102" i="85"/>
  <c r="O102" i="85"/>
  <c r="M102" i="85"/>
  <c r="K102" i="85"/>
  <c r="I102" i="85"/>
  <c r="G102" i="85"/>
  <c r="E102" i="85"/>
  <c r="C102" i="85"/>
  <c r="R101" i="85"/>
  <c r="S101" i="85" s="1"/>
  <c r="Q101" i="85"/>
  <c r="O101" i="85"/>
  <c r="M101" i="85"/>
  <c r="K101" i="85"/>
  <c r="I101" i="85"/>
  <c r="G101" i="85"/>
  <c r="E101" i="85"/>
  <c r="C101" i="85"/>
  <c r="R100" i="85"/>
  <c r="S100" i="85" s="1"/>
  <c r="Q100" i="85"/>
  <c r="O100" i="85"/>
  <c r="M100" i="85"/>
  <c r="K100" i="85"/>
  <c r="I100" i="85"/>
  <c r="G100" i="85"/>
  <c r="E100" i="85"/>
  <c r="C100" i="85"/>
  <c r="R99" i="85"/>
  <c r="S99" i="85" s="1"/>
  <c r="Q99" i="85"/>
  <c r="O99" i="85"/>
  <c r="M99" i="85"/>
  <c r="K99" i="85"/>
  <c r="I99" i="85"/>
  <c r="G99" i="85"/>
  <c r="E99" i="85"/>
  <c r="C99" i="85"/>
  <c r="R98" i="85"/>
  <c r="S98" i="85" s="1"/>
  <c r="Q98" i="85"/>
  <c r="O98" i="85"/>
  <c r="M98" i="85"/>
  <c r="K98" i="85"/>
  <c r="I98" i="85"/>
  <c r="G98" i="85"/>
  <c r="E98" i="85"/>
  <c r="C98" i="85"/>
  <c r="R97" i="85"/>
  <c r="S97" i="85" s="1"/>
  <c r="Q97" i="85"/>
  <c r="O97" i="85"/>
  <c r="M97" i="85"/>
  <c r="K97" i="85"/>
  <c r="I97" i="85"/>
  <c r="G97" i="85"/>
  <c r="E97" i="85"/>
  <c r="C97" i="85"/>
  <c r="R96" i="85"/>
  <c r="S96" i="85" s="1"/>
  <c r="Q96" i="85"/>
  <c r="O96" i="85"/>
  <c r="M96" i="85"/>
  <c r="K96" i="85"/>
  <c r="I96" i="85"/>
  <c r="G96" i="85"/>
  <c r="E96" i="85"/>
  <c r="C96" i="85"/>
  <c r="R95" i="85"/>
  <c r="S95" i="85" s="1"/>
  <c r="Q95" i="85"/>
  <c r="O95" i="85"/>
  <c r="M95" i="85"/>
  <c r="K95" i="85"/>
  <c r="I95" i="85"/>
  <c r="G95" i="85"/>
  <c r="E95" i="85"/>
  <c r="C95" i="85"/>
  <c r="R94" i="85"/>
  <c r="S94" i="85" s="1"/>
  <c r="Q94" i="85"/>
  <c r="O94" i="85"/>
  <c r="M94" i="85"/>
  <c r="K94" i="85"/>
  <c r="I94" i="85"/>
  <c r="G94" i="85"/>
  <c r="E94" i="85"/>
  <c r="C94" i="85"/>
  <c r="R93" i="85"/>
  <c r="S93" i="85" s="1"/>
  <c r="Q93" i="85"/>
  <c r="O93" i="85"/>
  <c r="M93" i="85"/>
  <c r="K93" i="85"/>
  <c r="I93" i="85"/>
  <c r="G93" i="85"/>
  <c r="E93" i="85"/>
  <c r="C93" i="85"/>
  <c r="R92" i="85"/>
  <c r="S92" i="85" s="1"/>
  <c r="Q92" i="85"/>
  <c r="O92" i="85"/>
  <c r="M92" i="85"/>
  <c r="K92" i="85"/>
  <c r="I92" i="85"/>
  <c r="G92" i="85"/>
  <c r="E92" i="85"/>
  <c r="C92" i="85"/>
  <c r="R91" i="85"/>
  <c r="S91" i="85" s="1"/>
  <c r="Q91" i="85"/>
  <c r="O91" i="85"/>
  <c r="M91" i="85"/>
  <c r="K91" i="85"/>
  <c r="I91" i="85"/>
  <c r="G91" i="85"/>
  <c r="E91" i="85"/>
  <c r="C91" i="85"/>
  <c r="R90" i="85"/>
  <c r="S90" i="85" s="1"/>
  <c r="Q90" i="85"/>
  <c r="O90" i="85"/>
  <c r="M90" i="85"/>
  <c r="K90" i="85"/>
  <c r="I90" i="85"/>
  <c r="G90" i="85"/>
  <c r="E90" i="85"/>
  <c r="C90" i="85"/>
  <c r="R89" i="85"/>
  <c r="S89" i="85" s="1"/>
  <c r="Q89" i="85"/>
  <c r="O89" i="85"/>
  <c r="M89" i="85"/>
  <c r="K89" i="85"/>
  <c r="I89" i="85"/>
  <c r="G89" i="85"/>
  <c r="E89" i="85"/>
  <c r="C89" i="85"/>
  <c r="R88" i="85"/>
  <c r="S88" i="85" s="1"/>
  <c r="Q88" i="85"/>
  <c r="O88" i="85"/>
  <c r="M88" i="85"/>
  <c r="K88" i="85"/>
  <c r="I88" i="85"/>
  <c r="G88" i="85"/>
  <c r="E88" i="85"/>
  <c r="C88" i="85"/>
  <c r="R87" i="85"/>
  <c r="S87" i="85" s="1"/>
  <c r="Q87" i="85"/>
  <c r="O87" i="85"/>
  <c r="M87" i="85"/>
  <c r="K87" i="85"/>
  <c r="I87" i="85"/>
  <c r="G87" i="85"/>
  <c r="E87" i="85"/>
  <c r="C87" i="85"/>
  <c r="R86" i="85"/>
  <c r="S86" i="85" s="1"/>
  <c r="Q86" i="85"/>
  <c r="O86" i="85"/>
  <c r="M86" i="85"/>
  <c r="K86" i="85"/>
  <c r="I86" i="85"/>
  <c r="G86" i="85"/>
  <c r="E86" i="85"/>
  <c r="C86" i="85"/>
  <c r="R85" i="85"/>
  <c r="S85" i="85" s="1"/>
  <c r="Q85" i="85"/>
  <c r="O85" i="85"/>
  <c r="M85" i="85"/>
  <c r="K85" i="85"/>
  <c r="I85" i="85"/>
  <c r="G85" i="85"/>
  <c r="E85" i="85"/>
  <c r="C85" i="85"/>
  <c r="R84" i="85"/>
  <c r="S84" i="85" s="1"/>
  <c r="Q84" i="85"/>
  <c r="O84" i="85"/>
  <c r="M84" i="85"/>
  <c r="K84" i="85"/>
  <c r="I84" i="85"/>
  <c r="G84" i="85"/>
  <c r="E84" i="85"/>
  <c r="C84" i="85"/>
  <c r="R83" i="85"/>
  <c r="S83" i="85" s="1"/>
  <c r="Q83" i="85"/>
  <c r="O83" i="85"/>
  <c r="M83" i="85"/>
  <c r="K83" i="85"/>
  <c r="I83" i="85"/>
  <c r="G83" i="85"/>
  <c r="E83" i="85"/>
  <c r="C83" i="85"/>
  <c r="R82" i="85"/>
  <c r="S82" i="85" s="1"/>
  <c r="Q82" i="85"/>
  <c r="O82" i="85"/>
  <c r="M82" i="85"/>
  <c r="K82" i="85"/>
  <c r="I82" i="85"/>
  <c r="G82" i="85"/>
  <c r="E82" i="85"/>
  <c r="C82" i="85"/>
  <c r="R81" i="85"/>
  <c r="S81" i="85" s="1"/>
  <c r="Q81" i="85"/>
  <c r="O81" i="85"/>
  <c r="M81" i="85"/>
  <c r="K81" i="85"/>
  <c r="I81" i="85"/>
  <c r="G81" i="85"/>
  <c r="E81" i="85"/>
  <c r="C81" i="85"/>
  <c r="R80" i="85"/>
  <c r="S80" i="85" s="1"/>
  <c r="Q80" i="85"/>
  <c r="O80" i="85"/>
  <c r="M80" i="85"/>
  <c r="K80" i="85"/>
  <c r="I80" i="85"/>
  <c r="G80" i="85"/>
  <c r="E80" i="85"/>
  <c r="C80" i="85"/>
  <c r="R79" i="85"/>
  <c r="S79" i="85" s="1"/>
  <c r="Q79" i="85"/>
  <c r="O79" i="85"/>
  <c r="M79" i="85"/>
  <c r="K79" i="85"/>
  <c r="I79" i="85"/>
  <c r="G79" i="85"/>
  <c r="E79" i="85"/>
  <c r="C79" i="85"/>
  <c r="R78" i="85"/>
  <c r="S78" i="85" s="1"/>
  <c r="Q78" i="85"/>
  <c r="O78" i="85"/>
  <c r="M78" i="85"/>
  <c r="K78" i="85"/>
  <c r="I78" i="85"/>
  <c r="G78" i="85"/>
  <c r="E78" i="85"/>
  <c r="C78" i="85"/>
  <c r="R77" i="85"/>
  <c r="S77" i="85" s="1"/>
  <c r="Q77" i="85"/>
  <c r="O77" i="85"/>
  <c r="M77" i="85"/>
  <c r="K77" i="85"/>
  <c r="I77" i="85"/>
  <c r="G77" i="85"/>
  <c r="E77" i="85"/>
  <c r="C77" i="85"/>
  <c r="R76" i="85"/>
  <c r="S76" i="85" s="1"/>
  <c r="Q76" i="85"/>
  <c r="O76" i="85"/>
  <c r="M76" i="85"/>
  <c r="K76" i="85"/>
  <c r="I76" i="85"/>
  <c r="G76" i="85"/>
  <c r="E76" i="85"/>
  <c r="C76" i="85"/>
  <c r="R75" i="85"/>
  <c r="S75" i="85" s="1"/>
  <c r="Q75" i="85"/>
  <c r="O75" i="85"/>
  <c r="M75" i="85"/>
  <c r="K75" i="85"/>
  <c r="I75" i="85"/>
  <c r="G75" i="85"/>
  <c r="E75" i="85"/>
  <c r="C75" i="85"/>
  <c r="R74" i="85"/>
  <c r="S74" i="85" s="1"/>
  <c r="Q74" i="85"/>
  <c r="O74" i="85"/>
  <c r="M74" i="85"/>
  <c r="K74" i="85"/>
  <c r="I74" i="85"/>
  <c r="G74" i="85"/>
  <c r="E74" i="85"/>
  <c r="C74" i="85"/>
  <c r="R73" i="85"/>
  <c r="S73" i="85" s="1"/>
  <c r="Q73" i="85"/>
  <c r="O73" i="85"/>
  <c r="M73" i="85"/>
  <c r="K73" i="85"/>
  <c r="I73" i="85"/>
  <c r="G73" i="85"/>
  <c r="E73" i="85"/>
  <c r="C73" i="85"/>
  <c r="R72" i="85"/>
  <c r="S72" i="85" s="1"/>
  <c r="Q72" i="85"/>
  <c r="O72" i="85"/>
  <c r="M72" i="85"/>
  <c r="K72" i="85"/>
  <c r="I72" i="85"/>
  <c r="G72" i="85"/>
  <c r="E72" i="85"/>
  <c r="C72" i="85"/>
  <c r="R71" i="85"/>
  <c r="S71" i="85" s="1"/>
  <c r="Q71" i="85"/>
  <c r="O71" i="85"/>
  <c r="M71" i="85"/>
  <c r="K71" i="85"/>
  <c r="I71" i="85"/>
  <c r="G71" i="85"/>
  <c r="E71" i="85"/>
  <c r="C71" i="85"/>
  <c r="R70" i="85"/>
  <c r="S70" i="85" s="1"/>
  <c r="Q70" i="85"/>
  <c r="O70" i="85"/>
  <c r="M70" i="85"/>
  <c r="K70" i="85"/>
  <c r="I70" i="85"/>
  <c r="G70" i="85"/>
  <c r="E70" i="85"/>
  <c r="C70" i="85"/>
  <c r="R69" i="85"/>
  <c r="S69" i="85" s="1"/>
  <c r="Q69" i="85"/>
  <c r="O69" i="85"/>
  <c r="M69" i="85"/>
  <c r="K69" i="85"/>
  <c r="I69" i="85"/>
  <c r="G69" i="85"/>
  <c r="E69" i="85"/>
  <c r="C69" i="85"/>
  <c r="R68" i="85"/>
  <c r="S68" i="85" s="1"/>
  <c r="Q68" i="85"/>
  <c r="O68" i="85"/>
  <c r="M68" i="85"/>
  <c r="K68" i="85"/>
  <c r="I68" i="85"/>
  <c r="G68" i="85"/>
  <c r="E68" i="85"/>
  <c r="C68" i="85"/>
  <c r="R67" i="85"/>
  <c r="S67" i="85" s="1"/>
  <c r="Q67" i="85"/>
  <c r="O67" i="85"/>
  <c r="M67" i="85"/>
  <c r="K67" i="85"/>
  <c r="I67" i="85"/>
  <c r="G67" i="85"/>
  <c r="E67" i="85"/>
  <c r="C67" i="85"/>
  <c r="R66" i="85"/>
  <c r="S66" i="85" s="1"/>
  <c r="Q66" i="85"/>
  <c r="O66" i="85"/>
  <c r="M66" i="85"/>
  <c r="K66" i="85"/>
  <c r="I66" i="85"/>
  <c r="G66" i="85"/>
  <c r="E66" i="85"/>
  <c r="C66" i="85"/>
  <c r="R65" i="85"/>
  <c r="S65" i="85" s="1"/>
  <c r="Q65" i="85"/>
  <c r="O65" i="85"/>
  <c r="M65" i="85"/>
  <c r="K65" i="85"/>
  <c r="I65" i="85"/>
  <c r="G65" i="85"/>
  <c r="E65" i="85"/>
  <c r="C65" i="85"/>
  <c r="R64" i="85"/>
  <c r="S64" i="85" s="1"/>
  <c r="Q64" i="85"/>
  <c r="O64" i="85"/>
  <c r="M64" i="85"/>
  <c r="K64" i="85"/>
  <c r="I64" i="85"/>
  <c r="G64" i="85"/>
  <c r="E64" i="85"/>
  <c r="C64" i="85"/>
  <c r="R63" i="85"/>
  <c r="S63" i="85" s="1"/>
  <c r="Q63" i="85"/>
  <c r="O63" i="85"/>
  <c r="M63" i="85"/>
  <c r="K63" i="85"/>
  <c r="I63" i="85"/>
  <c r="G63" i="85"/>
  <c r="E63" i="85"/>
  <c r="C63" i="85"/>
  <c r="R62" i="85"/>
  <c r="S62" i="85" s="1"/>
  <c r="Q62" i="85"/>
  <c r="O62" i="85"/>
  <c r="M62" i="85"/>
  <c r="K62" i="85"/>
  <c r="I62" i="85"/>
  <c r="G62" i="85"/>
  <c r="E62" i="85"/>
  <c r="C62" i="85"/>
  <c r="R61" i="85"/>
  <c r="S61" i="85" s="1"/>
  <c r="Q61" i="85"/>
  <c r="O61" i="85"/>
  <c r="M61" i="85"/>
  <c r="K61" i="85"/>
  <c r="I61" i="85"/>
  <c r="G61" i="85"/>
  <c r="E61" i="85"/>
  <c r="C61" i="85"/>
  <c r="R60" i="85"/>
  <c r="S60" i="85" s="1"/>
  <c r="Q60" i="85"/>
  <c r="O60" i="85"/>
  <c r="M60" i="85"/>
  <c r="K60" i="85"/>
  <c r="I60" i="85"/>
  <c r="G60" i="85"/>
  <c r="E60" i="85"/>
  <c r="C60" i="85"/>
  <c r="R59" i="85"/>
  <c r="S59" i="85" s="1"/>
  <c r="Q59" i="85"/>
  <c r="O59" i="85"/>
  <c r="M59" i="85"/>
  <c r="K59" i="85"/>
  <c r="I59" i="85"/>
  <c r="G59" i="85"/>
  <c r="E59" i="85"/>
  <c r="C59" i="85"/>
  <c r="R58" i="85"/>
  <c r="S58" i="85" s="1"/>
  <c r="Q58" i="85"/>
  <c r="O58" i="85"/>
  <c r="M58" i="85"/>
  <c r="K58" i="85"/>
  <c r="I58" i="85"/>
  <c r="G58" i="85"/>
  <c r="E58" i="85"/>
  <c r="C58" i="85"/>
  <c r="R57" i="85"/>
  <c r="S57" i="85" s="1"/>
  <c r="Q57" i="85"/>
  <c r="O57" i="85"/>
  <c r="M57" i="85"/>
  <c r="K57" i="85"/>
  <c r="I57" i="85"/>
  <c r="G57" i="85"/>
  <c r="E57" i="85"/>
  <c r="C57" i="85"/>
  <c r="R56" i="85"/>
  <c r="S56" i="85" s="1"/>
  <c r="Q56" i="85"/>
  <c r="O56" i="85"/>
  <c r="M56" i="85"/>
  <c r="K56" i="85"/>
  <c r="I56" i="85"/>
  <c r="G56" i="85"/>
  <c r="E56" i="85"/>
  <c r="C56" i="85"/>
  <c r="R55" i="85"/>
  <c r="S55" i="85" s="1"/>
  <c r="Q55" i="85"/>
  <c r="O55" i="85"/>
  <c r="M55" i="85"/>
  <c r="K55" i="85"/>
  <c r="I55" i="85"/>
  <c r="G55" i="85"/>
  <c r="E55" i="85"/>
  <c r="C55" i="85"/>
  <c r="R54" i="85"/>
  <c r="S54" i="85" s="1"/>
  <c r="Q54" i="85"/>
  <c r="O54" i="85"/>
  <c r="M54" i="85"/>
  <c r="K54" i="85"/>
  <c r="I54" i="85"/>
  <c r="G54" i="85"/>
  <c r="E54" i="85"/>
  <c r="C54" i="85"/>
  <c r="R53" i="85"/>
  <c r="S53" i="85" s="1"/>
  <c r="Q53" i="85"/>
  <c r="O53" i="85"/>
  <c r="M53" i="85"/>
  <c r="K53" i="85"/>
  <c r="I53" i="85"/>
  <c r="G53" i="85"/>
  <c r="E53" i="85"/>
  <c r="C53" i="85"/>
  <c r="R52" i="85"/>
  <c r="S52" i="85" s="1"/>
  <c r="Q52" i="85"/>
  <c r="O52" i="85"/>
  <c r="M52" i="85"/>
  <c r="K52" i="85"/>
  <c r="I52" i="85"/>
  <c r="G52" i="85"/>
  <c r="E52" i="85"/>
  <c r="C52" i="85"/>
  <c r="R51" i="85"/>
  <c r="S51" i="85" s="1"/>
  <c r="Q51" i="85"/>
  <c r="O51" i="85"/>
  <c r="M51" i="85"/>
  <c r="K51" i="85"/>
  <c r="I51" i="85"/>
  <c r="G51" i="85"/>
  <c r="E51" i="85"/>
  <c r="C51" i="85"/>
  <c r="R50" i="85"/>
  <c r="S50" i="85" s="1"/>
  <c r="Q50" i="85"/>
  <c r="O50" i="85"/>
  <c r="M50" i="85"/>
  <c r="K50" i="85"/>
  <c r="I50" i="85"/>
  <c r="G50" i="85"/>
  <c r="E50" i="85"/>
  <c r="C50" i="85"/>
  <c r="R49" i="85"/>
  <c r="S49" i="85" s="1"/>
  <c r="Q49" i="85"/>
  <c r="O49" i="85"/>
  <c r="M49" i="85"/>
  <c r="K49" i="85"/>
  <c r="I49" i="85"/>
  <c r="G49" i="85"/>
  <c r="E49" i="85"/>
  <c r="C49" i="85"/>
  <c r="R48" i="85"/>
  <c r="S48" i="85" s="1"/>
  <c r="Q48" i="85"/>
  <c r="O48" i="85"/>
  <c r="M48" i="85"/>
  <c r="K48" i="85"/>
  <c r="I48" i="85"/>
  <c r="G48" i="85"/>
  <c r="E48" i="85"/>
  <c r="C48" i="85"/>
  <c r="R47" i="85"/>
  <c r="S47" i="85" s="1"/>
  <c r="Q47" i="85"/>
  <c r="O47" i="85"/>
  <c r="M47" i="85"/>
  <c r="K47" i="85"/>
  <c r="I47" i="85"/>
  <c r="G47" i="85"/>
  <c r="E47" i="85"/>
  <c r="C47" i="85"/>
  <c r="R46" i="85"/>
  <c r="S46" i="85" s="1"/>
  <c r="Q46" i="85"/>
  <c r="O46" i="85"/>
  <c r="M46" i="85"/>
  <c r="K46" i="85"/>
  <c r="I46" i="85"/>
  <c r="G46" i="85"/>
  <c r="E46" i="85"/>
  <c r="C46" i="85"/>
  <c r="R45" i="85"/>
  <c r="S45" i="85" s="1"/>
  <c r="Q45" i="85"/>
  <c r="O45" i="85"/>
  <c r="M45" i="85"/>
  <c r="K45" i="85"/>
  <c r="I45" i="85"/>
  <c r="G45" i="85"/>
  <c r="E45" i="85"/>
  <c r="C45" i="85"/>
  <c r="R44" i="85"/>
  <c r="S44" i="85" s="1"/>
  <c r="Q44" i="85"/>
  <c r="O44" i="85"/>
  <c r="M44" i="85"/>
  <c r="K44" i="85"/>
  <c r="I44" i="85"/>
  <c r="G44" i="85"/>
  <c r="E44" i="85"/>
  <c r="C44" i="85"/>
  <c r="R43" i="85"/>
  <c r="S43" i="85" s="1"/>
  <c r="Q43" i="85"/>
  <c r="O43" i="85"/>
  <c r="M43" i="85"/>
  <c r="K43" i="85"/>
  <c r="I43" i="85"/>
  <c r="G43" i="85"/>
  <c r="E43" i="85"/>
  <c r="C43" i="85"/>
  <c r="R42" i="85"/>
  <c r="S42" i="85" s="1"/>
  <c r="Q42" i="85"/>
  <c r="O42" i="85"/>
  <c r="M42" i="85"/>
  <c r="K42" i="85"/>
  <c r="I42" i="85"/>
  <c r="G42" i="85"/>
  <c r="E42" i="85"/>
  <c r="C42" i="85"/>
  <c r="R41" i="85"/>
  <c r="S41" i="85" s="1"/>
  <c r="Q41" i="85"/>
  <c r="O41" i="85"/>
  <c r="M41" i="85"/>
  <c r="K41" i="85"/>
  <c r="I41" i="85"/>
  <c r="G41" i="85"/>
  <c r="E41" i="85"/>
  <c r="C41" i="85"/>
  <c r="R40" i="85"/>
  <c r="S40" i="85" s="1"/>
  <c r="Q40" i="85"/>
  <c r="O40" i="85"/>
  <c r="M40" i="85"/>
  <c r="K40" i="85"/>
  <c r="I40" i="85"/>
  <c r="G40" i="85"/>
  <c r="E40" i="85"/>
  <c r="C40" i="85"/>
  <c r="R39" i="85"/>
  <c r="S39" i="85" s="1"/>
  <c r="Q39" i="85"/>
  <c r="O39" i="85"/>
  <c r="M39" i="85"/>
  <c r="K39" i="85"/>
  <c r="I39" i="85"/>
  <c r="G39" i="85"/>
  <c r="E39" i="85"/>
  <c r="C39" i="85"/>
  <c r="R38" i="85"/>
  <c r="S38" i="85" s="1"/>
  <c r="Q38" i="85"/>
  <c r="O38" i="85"/>
  <c r="M38" i="85"/>
  <c r="K38" i="85"/>
  <c r="I38" i="85"/>
  <c r="G38" i="85"/>
  <c r="E38" i="85"/>
  <c r="C38" i="85"/>
  <c r="R37" i="85"/>
  <c r="S37" i="85" s="1"/>
  <c r="Q37" i="85"/>
  <c r="O37" i="85"/>
  <c r="M37" i="85"/>
  <c r="K37" i="85"/>
  <c r="I37" i="85"/>
  <c r="G37" i="85"/>
  <c r="E37" i="85"/>
  <c r="C37" i="85"/>
  <c r="R36" i="85"/>
  <c r="S36" i="85" s="1"/>
  <c r="Q36" i="85"/>
  <c r="O36" i="85"/>
  <c r="M36" i="85"/>
  <c r="K36" i="85"/>
  <c r="I36" i="85"/>
  <c r="G36" i="85"/>
  <c r="E36" i="85"/>
  <c r="C36" i="85"/>
  <c r="R35" i="85"/>
  <c r="S35" i="85" s="1"/>
  <c r="Q35" i="85"/>
  <c r="O35" i="85"/>
  <c r="M35" i="85"/>
  <c r="K35" i="85"/>
  <c r="I35" i="85"/>
  <c r="G35" i="85"/>
  <c r="E35" i="85"/>
  <c r="C35" i="85"/>
  <c r="R34" i="85"/>
  <c r="S34" i="85" s="1"/>
  <c r="Q34" i="85"/>
  <c r="O34" i="85"/>
  <c r="M34" i="85"/>
  <c r="K34" i="85"/>
  <c r="I34" i="85"/>
  <c r="G34" i="85"/>
  <c r="E34" i="85"/>
  <c r="C34" i="85"/>
  <c r="R33" i="85"/>
  <c r="S33" i="85" s="1"/>
  <c r="Q33" i="85"/>
  <c r="O33" i="85"/>
  <c r="M33" i="85"/>
  <c r="K33" i="85"/>
  <c r="I33" i="85"/>
  <c r="G33" i="85"/>
  <c r="E33" i="85"/>
  <c r="C33" i="85"/>
  <c r="R32" i="85"/>
  <c r="S32" i="85" s="1"/>
  <c r="Q32" i="85"/>
  <c r="O32" i="85"/>
  <c r="M32" i="85"/>
  <c r="K32" i="85"/>
  <c r="I32" i="85"/>
  <c r="G32" i="85"/>
  <c r="E32" i="85"/>
  <c r="C32" i="85"/>
  <c r="R31" i="85"/>
  <c r="S31" i="85" s="1"/>
  <c r="Q31" i="85"/>
  <c r="O31" i="85"/>
  <c r="M31" i="85"/>
  <c r="K31" i="85"/>
  <c r="I31" i="85"/>
  <c r="G31" i="85"/>
  <c r="E31" i="85"/>
  <c r="C31" i="85"/>
  <c r="R30" i="85"/>
  <c r="S30" i="85" s="1"/>
  <c r="Q30" i="85"/>
  <c r="O30" i="85"/>
  <c r="M30" i="85"/>
  <c r="K30" i="85"/>
  <c r="I30" i="85"/>
  <c r="G30" i="85"/>
  <c r="E30" i="85"/>
  <c r="C30" i="85"/>
  <c r="R29" i="85"/>
  <c r="S29" i="85" s="1"/>
  <c r="Q29" i="85"/>
  <c r="O29" i="85"/>
  <c r="M29" i="85"/>
  <c r="K29" i="85"/>
  <c r="I29" i="85"/>
  <c r="G29" i="85"/>
  <c r="E29" i="85"/>
  <c r="C29" i="85"/>
  <c r="R28" i="85"/>
  <c r="S28" i="85" s="1"/>
  <c r="Q28" i="85"/>
  <c r="O28" i="85"/>
  <c r="M28" i="85"/>
  <c r="K28" i="85"/>
  <c r="I28" i="85"/>
  <c r="G28" i="85"/>
  <c r="E28" i="85"/>
  <c r="C28" i="85"/>
  <c r="R27" i="85"/>
  <c r="S27" i="85" s="1"/>
  <c r="Q27" i="85"/>
  <c r="O27" i="85"/>
  <c r="M27" i="85"/>
  <c r="K27" i="85"/>
  <c r="I27" i="85"/>
  <c r="G27" i="85"/>
  <c r="E27" i="85"/>
  <c r="C27" i="85"/>
  <c r="Q26" i="85"/>
  <c r="O26" i="85"/>
  <c r="M26" i="85"/>
  <c r="K26" i="85"/>
  <c r="I26" i="85"/>
  <c r="G26" i="85"/>
  <c r="E26" i="85"/>
  <c r="Q25" i="85"/>
  <c r="O25" i="85"/>
  <c r="M25" i="85"/>
  <c r="K25" i="85"/>
  <c r="I25" i="85"/>
  <c r="G25" i="85"/>
  <c r="E25" i="85"/>
  <c r="B22" i="85"/>
  <c r="P23" i="85"/>
  <c r="N23" i="85"/>
  <c r="L23" i="85"/>
  <c r="J23" i="85"/>
  <c r="H23" i="85"/>
  <c r="F23" i="85"/>
  <c r="D23" i="85"/>
  <c r="D12" i="85"/>
  <c r="E12" i="85" s="1"/>
  <c r="F12" i="85" s="1"/>
  <c r="G12" i="85" s="1"/>
  <c r="H12" i="85" s="1"/>
  <c r="I12" i="85" s="1"/>
  <c r="J12" i="85" s="1"/>
  <c r="K12" i="85" s="1"/>
  <c r="L12" i="85" s="1"/>
  <c r="M12" i="85" s="1"/>
  <c r="N12" i="85" s="1"/>
  <c r="O12" i="85" s="1"/>
  <c r="P12" i="85" s="1"/>
  <c r="Q12" i="85" s="1"/>
  <c r="R12" i="85" s="1"/>
  <c r="S12" i="85" s="1"/>
  <c r="D10" i="85"/>
  <c r="E10" i="85" s="1"/>
  <c r="F10" i="85" s="1"/>
  <c r="G10" i="85" s="1"/>
  <c r="H10" i="85" s="1"/>
  <c r="I10" i="85" s="1"/>
  <c r="J10" i="85" s="1"/>
  <c r="K10" i="85" s="1"/>
  <c r="L10" i="85" s="1"/>
  <c r="M10" i="85" s="1"/>
  <c r="N10" i="85" s="1"/>
  <c r="O10" i="85" s="1"/>
  <c r="P10" i="85" s="1"/>
  <c r="Q10" i="85" s="1"/>
  <c r="R10" i="85" s="1"/>
  <c r="S10" i="85" s="1"/>
  <c r="D8" i="85"/>
  <c r="E8" i="85" s="1"/>
  <c r="F8" i="85" s="1"/>
  <c r="G8" i="85" s="1"/>
  <c r="H8" i="85" s="1"/>
  <c r="I8" i="85" s="1"/>
  <c r="J8" i="85" s="1"/>
  <c r="K8" i="85" s="1"/>
  <c r="L8" i="85" s="1"/>
  <c r="M8" i="85" s="1"/>
  <c r="N8" i="85" s="1"/>
  <c r="O8" i="85" s="1"/>
  <c r="P8" i="85" s="1"/>
  <c r="Q8" i="85" s="1"/>
  <c r="R8" i="85" s="1"/>
  <c r="S8" i="85" s="1"/>
  <c r="D6" i="85"/>
  <c r="E6" i="85" s="1"/>
  <c r="F6" i="85" s="1"/>
  <c r="G6" i="85" s="1"/>
  <c r="H6" i="85" s="1"/>
  <c r="I6" i="85" s="1"/>
  <c r="J6" i="85" s="1"/>
  <c r="K6" i="85" s="1"/>
  <c r="L6" i="85" s="1"/>
  <c r="M6" i="85" s="1"/>
  <c r="N6" i="85" s="1"/>
  <c r="O6" i="85" s="1"/>
  <c r="P6" i="85" s="1"/>
  <c r="Q6" i="85" s="1"/>
  <c r="R6" i="85" s="1"/>
  <c r="S6" i="85" s="1"/>
  <c r="S2" i="85"/>
  <c r="R2" i="85"/>
  <c r="Q2" i="85"/>
  <c r="P2" i="85"/>
  <c r="O2" i="85"/>
  <c r="N2" i="85"/>
  <c r="M2" i="85"/>
  <c r="L2" i="85"/>
  <c r="K2" i="85"/>
  <c r="J2" i="85"/>
  <c r="I2" i="85"/>
  <c r="H2" i="85"/>
  <c r="G2" i="85"/>
  <c r="F2" i="85"/>
  <c r="E2" i="85"/>
  <c r="D2" i="85"/>
  <c r="C2" i="85"/>
  <c r="D59" i="33"/>
  <c r="E59" i="33" s="1"/>
  <c r="F59" i="33" s="1"/>
  <c r="G59" i="33" s="1"/>
  <c r="H59" i="33" s="1"/>
  <c r="I59" i="33" s="1"/>
  <c r="J59" i="33" s="1"/>
  <c r="K59" i="33" s="1"/>
  <c r="L59" i="33" s="1"/>
  <c r="M59" i="33" s="1"/>
  <c r="F20" i="85"/>
  <c r="C25" i="85" l="1"/>
  <c r="C26" i="85"/>
  <c r="I5" i="77" l="1"/>
  <c r="I6" i="77"/>
  <c r="B24" i="31" s="1"/>
  <c r="A26" i="31"/>
  <c r="A25" i="31"/>
  <c r="A24" i="31"/>
  <c r="I46" i="39"/>
  <c r="G46" i="39"/>
  <c r="E46" i="39"/>
  <c r="I38" i="39"/>
  <c r="G38" i="39"/>
  <c r="C38" i="39"/>
  <c r="E38" i="39"/>
  <c r="D71" i="39"/>
  <c r="E71" i="39" s="1"/>
  <c r="F71" i="39" s="1"/>
  <c r="G71" i="39" s="1"/>
  <c r="H71" i="39" s="1"/>
  <c r="I71" i="39" s="1"/>
  <c r="J71" i="39" s="1"/>
  <c r="K71" i="39" s="1"/>
  <c r="L71" i="39" s="1"/>
  <c r="M71" i="39" s="1"/>
  <c r="N71" i="39" s="1"/>
  <c r="O71" i="39" s="1"/>
  <c r="I7" i="39"/>
  <c r="G7" i="39"/>
  <c r="E7" i="39"/>
  <c r="I5" i="39"/>
  <c r="G5" i="39"/>
  <c r="E5" i="39"/>
  <c r="B25" i="31" l="1"/>
  <c r="I4" i="77"/>
  <c r="B26" i="31" s="1"/>
  <c r="J52" i="15" l="1"/>
  <c r="N19" i="1" l="1"/>
  <c r="N21" i="1" s="1"/>
  <c r="N6" i="1" s="1"/>
  <c r="C36" i="33" l="1"/>
  <c r="Y6" i="1"/>
  <c r="G7" i="77"/>
  <c r="A3" i="3" s="1"/>
  <c r="G37" i="34" l="1"/>
  <c r="I37" i="34"/>
  <c r="D60" i="34"/>
  <c r="E60" i="34" s="1"/>
  <c r="F60" i="34" s="1"/>
  <c r="G60" i="34" s="1"/>
  <c r="H60" i="34" s="1"/>
  <c r="I60" i="34" s="1"/>
  <c r="C34" i="34"/>
  <c r="J49" i="15"/>
  <c r="C37" i="34" l="1"/>
  <c r="F19" i="6"/>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C7" i="69" s="1"/>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Q21" i="34"/>
  <c r="Z21" i="34" s="1"/>
  <c r="D84" i="34"/>
  <c r="E84" i="34" s="1"/>
  <c r="F84" i="34" s="1"/>
  <c r="G84"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W25" i="40" s="1"/>
  <c r="H29" i="39"/>
  <c r="U29" i="39" s="1"/>
  <c r="J29" i="39"/>
  <c r="W29" i="39" s="1"/>
  <c r="J18" i="36"/>
  <c r="W18" i="36" s="1"/>
  <c r="F68" i="35"/>
  <c r="H18" i="35"/>
  <c r="U18" i="35" s="1"/>
  <c r="S18" i="35"/>
  <c r="G68" i="35"/>
  <c r="J18" i="35"/>
  <c r="F77" i="37"/>
  <c r="G77" i="37" s="1"/>
  <c r="H21" i="37"/>
  <c r="F21" i="37"/>
  <c r="S21" i="37" s="1"/>
  <c r="H21" i="34"/>
  <c r="AB21" i="34" s="1"/>
  <c r="H21" i="33"/>
  <c r="U21" i="33" s="1"/>
  <c r="F21" i="33"/>
  <c r="S21" i="33" s="1"/>
  <c r="E83" i="21"/>
  <c r="S21" i="21"/>
  <c r="H1" i="69"/>
  <c r="AC25" i="40"/>
  <c r="AB25" i="40"/>
  <c r="U25" i="40"/>
  <c r="AB21" i="37"/>
  <c r="U21" i="37"/>
  <c r="AA21" i="37"/>
  <c r="AB18" i="35"/>
  <c r="AC18" i="35"/>
  <c r="W18" i="35"/>
  <c r="J21" i="37"/>
  <c r="J21" i="34"/>
  <c r="W21" i="34" s="1"/>
  <c r="J21" i="33"/>
  <c r="AC21" i="33" s="1"/>
  <c r="F83" i="21"/>
  <c r="H21" i="21"/>
  <c r="AB21" i="21" s="1"/>
  <c r="F38" i="69"/>
  <c r="E37" i="69"/>
  <c r="F36" i="69"/>
  <c r="F35" i="69"/>
  <c r="F21" i="69"/>
  <c r="F40" i="69" s="1"/>
  <c r="F20" i="69"/>
  <c r="F39" i="69" s="1"/>
  <c r="E10" i="69"/>
  <c r="E9" i="69"/>
  <c r="AC21" i="37"/>
  <c r="W21" i="37"/>
  <c r="AC21" i="34"/>
  <c r="U21" i="21"/>
  <c r="G83" i="21"/>
  <c r="J21" i="21"/>
  <c r="AC21" i="21" s="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R100" i="31"/>
  <c r="S100" i="31" s="1"/>
  <c r="R101" i="31"/>
  <c r="R102" i="31"/>
  <c r="R103" i="31"/>
  <c r="R104" i="31"/>
  <c r="S104" i="31" s="1"/>
  <c r="R105" i="31"/>
  <c r="R106" i="31"/>
  <c r="R107" i="31"/>
  <c r="R108" i="31"/>
  <c r="S108" i="31" s="1"/>
  <c r="R109" i="31"/>
  <c r="R110" i="31"/>
  <c r="R111" i="3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R126" i="31"/>
  <c r="R127" i="3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R518" i="31"/>
  <c r="S518" i="31" s="1"/>
  <c r="R519" i="31"/>
  <c r="S519" i="31" s="1"/>
  <c r="R520" i="31"/>
  <c r="S520" i="31" s="1"/>
  <c r="R521" i="31"/>
  <c r="R522" i="31"/>
  <c r="S522" i="31" s="1"/>
  <c r="R523" i="31"/>
  <c r="R524" i="31"/>
  <c r="S524" i="31" s="1"/>
  <c r="C25" i="31"/>
  <c r="C26" i="31"/>
  <c r="C27" i="31"/>
  <c r="C28" i="31"/>
  <c r="C29" i="31"/>
  <c r="C30" i="31"/>
  <c r="C31" i="3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310" i="31"/>
  <c r="S294" i="31"/>
  <c r="S278" i="31"/>
  <c r="S266" i="31"/>
  <c r="S250" i="31"/>
  <c r="S234" i="31"/>
  <c r="S230" i="31"/>
  <c r="S429" i="31"/>
  <c r="S427" i="31"/>
  <c r="S425" i="31"/>
  <c r="S221" i="31"/>
  <c r="S218" i="31"/>
  <c r="S217" i="31"/>
  <c r="S213" i="31"/>
  <c r="S210" i="31"/>
  <c r="S209" i="31"/>
  <c r="S205" i="31"/>
  <c r="S202" i="31"/>
  <c r="S201"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1" i="31"/>
  <c r="S130" i="31"/>
  <c r="S129" i="31"/>
  <c r="S127" i="31"/>
  <c r="S126" i="31"/>
  <c r="S125" i="31"/>
  <c r="S474" i="31"/>
  <c r="S122" i="31"/>
  <c r="S118" i="31"/>
  <c r="S114" i="31"/>
  <c r="S466" i="31"/>
  <c r="S465" i="31"/>
  <c r="S461" i="31"/>
  <c r="S459" i="31"/>
  <c r="S457" i="31"/>
  <c r="S453" i="31"/>
  <c r="S451" i="31"/>
  <c r="S54" i="31"/>
  <c r="S50" i="31"/>
  <c r="S46" i="31"/>
  <c r="S42" i="31"/>
  <c r="S38" i="31"/>
  <c r="S74" i="31"/>
  <c r="S70" i="31"/>
  <c r="S66" i="31"/>
  <c r="S62" i="31"/>
  <c r="S58" i="31"/>
  <c r="S94" i="31"/>
  <c r="S90" i="31"/>
  <c r="S86" i="31"/>
  <c r="S82" i="31"/>
  <c r="S78" i="31"/>
  <c r="S98" i="31"/>
  <c r="S99" i="31"/>
  <c r="S101" i="31"/>
  <c r="S102" i="31"/>
  <c r="S103" i="31"/>
  <c r="S105" i="31"/>
  <c r="S106" i="31"/>
  <c r="S107" i="31"/>
  <c r="S109" i="31"/>
  <c r="S110" i="31"/>
  <c r="S111"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7" i="31"/>
  <c r="S521" i="31"/>
  <c r="S523"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S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AA9" i="39" s="1"/>
  <c r="J8" i="39"/>
  <c r="AC8" i="39" s="1"/>
  <c r="H8" i="39"/>
  <c r="AB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F9" i="34"/>
  <c r="AA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F101" i="33" s="1"/>
  <c r="B92" i="33"/>
  <c r="B90" i="33"/>
  <c r="D87" i="33"/>
  <c r="E87" i="33"/>
  <c r="D85" i="33"/>
  <c r="E85" i="33" s="1"/>
  <c r="D81" i="33"/>
  <c r="E81" i="33" s="1"/>
  <c r="F81" i="33" s="1"/>
  <c r="G81" i="33" s="1"/>
  <c r="D79" i="33"/>
  <c r="E79" i="33" s="1"/>
  <c r="F79" i="33" s="1"/>
  <c r="G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J10" i="33" s="1"/>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U34" i="34"/>
  <c r="H39" i="33"/>
  <c r="AB39" i="33" s="1"/>
  <c r="F26" i="33"/>
  <c r="AA26" i="33" s="1"/>
  <c r="S9" i="33"/>
  <c r="S40"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W27" i="39" s="1"/>
  <c r="F27" i="39"/>
  <c r="S27" i="39" s="1"/>
  <c r="F11" i="21"/>
  <c r="S11" i="21" s="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s="1"/>
  <c r="H23" i="34"/>
  <c r="U23" i="34" s="1"/>
  <c r="J23" i="34"/>
  <c r="F19" i="34"/>
  <c r="S19" i="34" s="1"/>
  <c r="H17" i="34"/>
  <c r="U17" i="34" s="1"/>
  <c r="F15" i="34"/>
  <c r="J15" i="34"/>
  <c r="AC15" i="34" s="1"/>
  <c r="H15" i="34"/>
  <c r="AB15" i="34" s="1"/>
  <c r="S9" i="34"/>
  <c r="W8" i="34"/>
  <c r="J28" i="34"/>
  <c r="W28" i="34" s="1"/>
  <c r="S38"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W14" i="39"/>
  <c r="J19" i="40"/>
  <c r="AC19" i="40"/>
  <c r="J50" i="40"/>
  <c r="H103" i="9"/>
  <c r="D8" i="53" s="1"/>
  <c r="B16" i="53"/>
  <c r="B33" i="72" s="1"/>
  <c r="C7" i="37"/>
  <c r="C7" i="34"/>
  <c r="C7" i="36"/>
  <c r="W35" i="40"/>
  <c r="A118" i="9"/>
  <c r="A4" i="52"/>
  <c r="B41" i="72"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G29" i="6" s="1"/>
  <c r="AZ343" i="3"/>
  <c r="BK5" i="3"/>
  <c r="BI5" i="3"/>
  <c r="BG5" i="3"/>
  <c r="BE5" i="3"/>
  <c r="BC5" i="3"/>
  <c r="G17" i="3"/>
  <c r="BA17" i="3"/>
  <c r="BT5" i="3"/>
  <c r="AZ350" i="3"/>
  <c r="AZ352" i="3"/>
  <c r="AZ356" i="3"/>
  <c r="AZ364" i="3"/>
  <c r="AZ368" i="3"/>
  <c r="BA15" i="3"/>
  <c r="BB5" i="3"/>
  <c r="E13" i="6"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E15" i="6"/>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T9" i="1" s="1"/>
  <c r="R9" i="1"/>
  <c r="J51" i="67"/>
  <c r="C42" i="1"/>
  <c r="H100" i="43"/>
  <c r="C30" i="66"/>
  <c r="E26" i="66"/>
  <c r="AC34" i="33"/>
  <c r="B41" i="1"/>
  <c r="F48" i="9" s="1"/>
  <c r="O52" i="9" s="1"/>
  <c r="J100" i="43"/>
  <c r="AB37" i="40"/>
  <c r="S35" i="40"/>
  <c r="U35" i="40"/>
  <c r="AC36" i="40"/>
  <c r="AA32" i="40"/>
  <c r="S17" i="40"/>
  <c r="S23" i="40"/>
  <c r="AC17" i="40"/>
  <c r="AC15" i="40"/>
  <c r="S30" i="40"/>
  <c r="AA19" i="40"/>
  <c r="S28" i="40"/>
  <c r="U21" i="40"/>
  <c r="AB19" i="40"/>
  <c r="U37" i="39"/>
  <c r="S43" i="39"/>
  <c r="S37" i="39"/>
  <c r="U35" i="39"/>
  <c r="F32" i="39"/>
  <c r="F107" i="39"/>
  <c r="G107" i="39"/>
  <c r="U31" i="39"/>
  <c r="S25" i="39"/>
  <c r="J21" i="39"/>
  <c r="AC21" i="39" s="1"/>
  <c r="F21" i="39"/>
  <c r="AA21" i="39" s="1"/>
  <c r="H21" i="39"/>
  <c r="AB21" i="39" s="1"/>
  <c r="W19" i="39"/>
  <c r="U19"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42" i="34"/>
  <c r="AB35" i="34"/>
  <c r="U39" i="34"/>
  <c r="S43" i="34"/>
  <c r="AB41" i="34"/>
  <c r="AA45" i="34"/>
  <c r="AA25" i="34"/>
  <c r="U28" i="34"/>
  <c r="AA29" i="34"/>
  <c r="U15" i="34"/>
  <c r="S10" i="34"/>
  <c r="S13" i="34"/>
  <c r="H10" i="34"/>
  <c r="AB10" i="34" s="1"/>
  <c r="F11" i="34"/>
  <c r="S11" i="34"/>
  <c r="F70" i="34"/>
  <c r="AA29" i="33"/>
  <c r="AB29" i="33"/>
  <c r="W38" i="33"/>
  <c r="J35" i="33"/>
  <c r="W35" i="33" s="1"/>
  <c r="S37" i="33"/>
  <c r="AA37" i="33"/>
  <c r="S39" i="33"/>
  <c r="S46" i="33"/>
  <c r="W43" i="33"/>
  <c r="S43" i="33"/>
  <c r="H27" i="33"/>
  <c r="U27" i="33" s="1"/>
  <c r="F87" i="33"/>
  <c r="H25" i="33"/>
  <c r="F25" i="33"/>
  <c r="F19" i="33"/>
  <c r="S19" i="33" s="1"/>
  <c r="J17" i="33"/>
  <c r="AC17" i="33" s="1"/>
  <c r="S15" i="33"/>
  <c r="W15" i="33"/>
  <c r="U9"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BA13" i="3"/>
  <c r="BL17" i="3"/>
  <c r="AZ17" i="3"/>
  <c r="BL13" i="3"/>
  <c r="J56" i="9"/>
  <c r="J57" i="9" s="1"/>
  <c r="J59" i="9" s="1"/>
  <c r="J61" i="9" s="1"/>
  <c r="A24" i="51"/>
  <c r="B18" i="72" s="1"/>
  <c r="U29" i="34"/>
  <c r="E5" i="6"/>
  <c r="E32" i="6"/>
  <c r="L19" i="6"/>
  <c r="G1" i="68"/>
  <c r="K1" i="12"/>
  <c r="AQ12" i="1"/>
  <c r="T10" i="1"/>
  <c r="E19" i="11"/>
  <c r="E1" i="73"/>
  <c r="G22" i="69"/>
  <c r="G22" i="68"/>
  <c r="G26" i="12"/>
  <c r="G22" i="11"/>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AA27"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AA11" i="34"/>
  <c r="W23" i="34"/>
  <c r="AC23" i="34"/>
  <c r="AC35" i="34"/>
  <c r="W35" i="34"/>
  <c r="U12" i="34"/>
  <c r="AB12" i="34"/>
  <c r="AB28" i="33"/>
  <c r="AC37" i="33"/>
  <c r="W46" i="33"/>
  <c r="U39" i="33"/>
  <c r="AB34" i="33"/>
  <c r="U44" i="33"/>
  <c r="AB44" i="33"/>
  <c r="S30" i="33"/>
  <c r="AA30" i="33"/>
  <c r="AC14" i="33"/>
  <c r="W14" i="33"/>
  <c r="AC30" i="33"/>
  <c r="W30" i="33"/>
  <c r="S31" i="33"/>
  <c r="AA31" i="33"/>
  <c r="W13" i="33"/>
  <c r="AC13" i="33"/>
  <c r="S11" i="33"/>
  <c r="U37" i="33"/>
  <c r="AC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D19" i="12"/>
  <c r="C19" i="12" s="1"/>
  <c r="AR11" i="1"/>
  <c r="S7" i="1"/>
  <c r="AQ7" i="1" s="1"/>
  <c r="E7" i="70"/>
  <c r="AA39" i="40"/>
  <c r="S39" i="40"/>
  <c r="S12" i="33"/>
  <c r="AA12" i="33"/>
  <c r="J32" i="39"/>
  <c r="H107" i="39"/>
  <c r="I107" i="39" s="1"/>
  <c r="J107" i="39" s="1"/>
  <c r="K107" i="39" s="1"/>
  <c r="L107" i="39" s="1"/>
  <c r="M107"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W10" i="34" s="1"/>
  <c r="H36" i="33"/>
  <c r="U36" i="33" s="1"/>
  <c r="J27" i="33"/>
  <c r="AC27" i="33" s="1"/>
  <c r="U25" i="33"/>
  <c r="AB25" i="33"/>
  <c r="S25" i="33"/>
  <c r="AA25" i="33"/>
  <c r="G87" i="33"/>
  <c r="H87" i="33"/>
  <c r="I87" i="33" s="1"/>
  <c r="J87" i="33" s="1"/>
  <c r="K87" i="33" s="1"/>
  <c r="L87" i="33" s="1"/>
  <c r="M87" i="33" s="1"/>
  <c r="J25" i="33"/>
  <c r="H19" i="33"/>
  <c r="AB19" i="33" s="1"/>
  <c r="H17" i="33"/>
  <c r="U17" i="33" s="1"/>
  <c r="F17" i="33"/>
  <c r="AA17" i="33" s="1"/>
  <c r="W17"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s="1"/>
  <c r="J63" i="37" s="1"/>
  <c r="K63" i="37" s="1"/>
  <c r="L63" i="37" s="1"/>
  <c r="M63" i="37" s="1"/>
  <c r="J11" i="37"/>
  <c r="AC11" i="37" s="1"/>
  <c r="W10" i="37"/>
  <c r="AC10" i="37"/>
  <c r="U11" i="34"/>
  <c r="H70" i="34"/>
  <c r="I70" i="34" s="1"/>
  <c r="J70" i="34" s="1"/>
  <c r="K70" i="34" s="1"/>
  <c r="L70" i="34" s="1"/>
  <c r="M70" i="34" s="1"/>
  <c r="J11" i="34"/>
  <c r="W11" i="34" s="1"/>
  <c r="W25" i="33"/>
  <c r="AC25" i="33"/>
  <c r="U23" i="21"/>
  <c r="AB23" i="21"/>
  <c r="AC23" i="21"/>
  <c r="W23" i="21"/>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F17" i="71"/>
  <c r="F16" i="71"/>
  <c r="F15" i="71" s="1"/>
  <c r="F14" i="71" s="1"/>
  <c r="F13" i="71" s="1"/>
  <c r="Y16" i="71"/>
  <c r="Z16" i="71" s="1"/>
  <c r="X3" i="71"/>
  <c r="E17" i="71"/>
  <c r="E16" i="71" s="1"/>
  <c r="G20" i="43"/>
  <c r="E41" i="43" s="1"/>
  <c r="C41" i="43" s="1"/>
  <c r="I59" i="34"/>
  <c r="J59" i="34" s="1"/>
  <c r="AO12" i="1"/>
  <c r="E7" i="76"/>
  <c r="D6" i="73"/>
  <c r="F37" i="67"/>
  <c r="AO13" i="1"/>
  <c r="M27" i="15"/>
  <c r="F9" i="15"/>
  <c r="F36" i="67"/>
  <c r="AO8" i="1"/>
  <c r="F16" i="15"/>
  <c r="L47" i="67"/>
  <c r="F7" i="15"/>
  <c r="F41" i="67"/>
  <c r="M8" i="67"/>
  <c r="L48" i="67"/>
  <c r="D2" i="21"/>
  <c r="F37" i="15"/>
  <c r="M28" i="15"/>
  <c r="F26" i="67"/>
  <c r="M9" i="67"/>
  <c r="B13" i="76"/>
  <c r="M8" i="15"/>
  <c r="M26" i="15"/>
  <c r="D2" i="34"/>
  <c r="F7" i="67"/>
  <c r="M28" i="67"/>
  <c r="M22" i="67"/>
  <c r="B10" i="76"/>
  <c r="F8" i="15"/>
  <c r="AO10" i="1"/>
  <c r="F4" i="73"/>
  <c r="M29" i="67"/>
  <c r="F6" i="73"/>
  <c r="L47" i="15"/>
  <c r="F3" i="73"/>
  <c r="F40" i="67"/>
  <c r="F5" i="73"/>
  <c r="M29" i="15"/>
  <c r="M27" i="67"/>
  <c r="F42" i="67"/>
  <c r="D2" i="37"/>
  <c r="D4" i="73"/>
  <c r="M23" i="67"/>
  <c r="F43" i="15"/>
  <c r="E8" i="76"/>
  <c r="E12" i="76"/>
  <c r="F7" i="73"/>
  <c r="D2" i="35"/>
  <c r="E2" i="69"/>
  <c r="M6" i="67"/>
  <c r="F6" i="15"/>
  <c r="F26" i="15"/>
  <c r="AO9" i="1"/>
  <c r="M26" i="67"/>
  <c r="D9" i="68"/>
  <c r="C76" i="15"/>
  <c r="F43" i="67"/>
  <c r="F16" i="67"/>
  <c r="E10" i="76"/>
  <c r="D2" i="33"/>
  <c r="AO11" i="1"/>
  <c r="F6" i="67"/>
  <c r="AO7" i="1"/>
  <c r="J15" i="15"/>
  <c r="C76" i="67"/>
  <c r="F13" i="15"/>
  <c r="F42" i="15"/>
  <c r="E13" i="76"/>
  <c r="D5" i="73"/>
  <c r="M6" i="15"/>
  <c r="F38" i="15"/>
  <c r="B11" i="76"/>
  <c r="M9" i="15"/>
  <c r="M24" i="15"/>
  <c r="B8" i="76"/>
  <c r="D3" i="73"/>
  <c r="M22" i="15"/>
  <c r="F9" i="67"/>
  <c r="B12" i="76"/>
  <c r="F36" i="15"/>
  <c r="M24" i="67"/>
  <c r="D7" i="73"/>
  <c r="L48" i="15"/>
  <c r="M21" i="67"/>
  <c r="D2" i="36"/>
  <c r="F20" i="31"/>
  <c r="F35" i="67"/>
  <c r="F40" i="15"/>
  <c r="E11" i="76"/>
  <c r="F38" i="67"/>
  <c r="E9" i="76"/>
  <c r="F13" i="67"/>
  <c r="B7" i="76"/>
  <c r="J15" i="67"/>
  <c r="M23" i="15"/>
  <c r="B9" i="76"/>
  <c r="E2" i="68"/>
  <c r="F8" i="67"/>
  <c r="AZ382" i="3" l="1"/>
  <c r="AZ351" i="3"/>
  <c r="AZ347" i="3"/>
  <c r="AZ380" i="3"/>
  <c r="AZ378" i="3"/>
  <c r="AZ360" i="3"/>
  <c r="AZ327" i="3"/>
  <c r="AZ511" i="3"/>
  <c r="AZ515" i="3"/>
  <c r="AZ519" i="3"/>
  <c r="AZ565" i="3"/>
  <c r="AZ569" i="3"/>
  <c r="AZ573" i="3"/>
  <c r="AZ577" i="3"/>
  <c r="AZ583" i="3"/>
  <c r="AZ508" i="3"/>
  <c r="AZ520" i="3"/>
  <c r="AZ558" i="3"/>
  <c r="BL586" i="3"/>
  <c r="AZ586" i="3" s="1"/>
  <c r="E121" i="33"/>
  <c r="F121" i="33" s="1"/>
  <c r="J41" i="33"/>
  <c r="AC41" i="33" s="1"/>
  <c r="BA551" i="3"/>
  <c r="AZ551" i="3" s="1"/>
  <c r="G551" i="3"/>
  <c r="BL550" i="3"/>
  <c r="BA550" i="3"/>
  <c r="BL548" i="3"/>
  <c r="AZ548" i="3" s="1"/>
  <c r="I4" i="6"/>
  <c r="G3" i="43" s="1"/>
  <c r="H5" i="3"/>
  <c r="BL16" i="3"/>
  <c r="AZ16" i="3" s="1"/>
  <c r="BL15" i="3"/>
  <c r="AZ15" i="3" s="1"/>
  <c r="X21" i="71"/>
  <c r="X27" i="71"/>
  <c r="AA31" i="71"/>
  <c r="W26" i="33"/>
  <c r="AB26" i="33"/>
  <c r="S26" i="33"/>
  <c r="H32" i="33"/>
  <c r="AB32" i="33" s="1"/>
  <c r="F32" i="33"/>
  <c r="AA32" i="33" s="1"/>
  <c r="J32" i="33"/>
  <c r="W32" i="33" s="1"/>
  <c r="G101" i="33"/>
  <c r="H101" i="33" s="1"/>
  <c r="I101" i="33" s="1"/>
  <c r="J101" i="33" s="1"/>
  <c r="K101" i="33" s="1"/>
  <c r="L101" i="33" s="1"/>
  <c r="M101" i="33" s="1"/>
  <c r="F36" i="33"/>
  <c r="J36" i="33"/>
  <c r="AB36" i="33"/>
  <c r="AC35" i="33"/>
  <c r="U35" i="33"/>
  <c r="S33" i="33"/>
  <c r="U33" i="33"/>
  <c r="W41" i="33"/>
  <c r="W33" i="33"/>
  <c r="U32" i="33"/>
  <c r="AC32" i="33"/>
  <c r="AA34" i="33"/>
  <c r="W42" i="33"/>
  <c r="U42" i="33"/>
  <c r="S42" i="33"/>
  <c r="U38" i="33"/>
  <c r="W39" i="33"/>
  <c r="AA28" i="33"/>
  <c r="W27" i="33"/>
  <c r="AB27" i="33"/>
  <c r="S27" i="33"/>
  <c r="F85" i="33"/>
  <c r="G85" i="33" s="1"/>
  <c r="F23" i="33"/>
  <c r="AA23" i="33" s="1"/>
  <c r="H23" i="33"/>
  <c r="J23" i="33"/>
  <c r="W23" i="33" s="1"/>
  <c r="AB21" i="33"/>
  <c r="W19" i="33"/>
  <c r="U19" i="33"/>
  <c r="AA19" i="33"/>
  <c r="S17" i="33"/>
  <c r="AB17" i="33"/>
  <c r="U15" i="33"/>
  <c r="H10" i="33"/>
  <c r="U10" i="33" s="1"/>
  <c r="F10" i="33"/>
  <c r="S10" i="33" s="1"/>
  <c r="W10" i="33"/>
  <c r="U8" i="33"/>
  <c r="S8" i="33"/>
  <c r="AC45" i="39"/>
  <c r="AC38" i="39"/>
  <c r="W39" i="39"/>
  <c r="AB39" i="39"/>
  <c r="AA39" i="39"/>
  <c r="U41" i="39"/>
  <c r="AA41" i="39"/>
  <c r="W42" i="39"/>
  <c r="AA38" i="39"/>
  <c r="U38" i="39"/>
  <c r="AB29" i="39"/>
  <c r="AC29" i="39"/>
  <c r="AC27" i="39"/>
  <c r="AB27" i="39"/>
  <c r="AC25" i="39"/>
  <c r="U25" i="39"/>
  <c r="AC23" i="39"/>
  <c r="S23" i="39"/>
  <c r="AB23" i="39"/>
  <c r="S21" i="39"/>
  <c r="W21" i="39"/>
  <c r="U21" i="39"/>
  <c r="S17" i="39"/>
  <c r="U17" i="39"/>
  <c r="AC9" i="39"/>
  <c r="U9" i="39"/>
  <c r="W8" i="39"/>
  <c r="U8" i="39"/>
  <c r="G17" i="43"/>
  <c r="C16" i="43" s="1"/>
  <c r="D5" i="43" s="1"/>
  <c r="C9" i="68"/>
  <c r="E19" i="69"/>
  <c r="D68" i="9"/>
  <c r="F31" i="12"/>
  <c r="F30" i="69"/>
  <c r="F48" i="69" s="1"/>
  <c r="M18" i="15"/>
  <c r="F30" i="11"/>
  <c r="C48" i="11" s="1"/>
  <c r="M18" i="67"/>
  <c r="F54" i="9"/>
  <c r="F28" i="15"/>
  <c r="F32" i="15"/>
  <c r="F60" i="15" s="1"/>
  <c r="F32" i="67"/>
  <c r="F60" i="67" s="1"/>
  <c r="F52" i="9"/>
  <c r="F28" i="67"/>
  <c r="C28" i="67" s="1"/>
  <c r="F30" i="68"/>
  <c r="AC43" i="34"/>
  <c r="Q16" i="1"/>
  <c r="F27" i="11" s="1"/>
  <c r="C47" i="11" s="1"/>
  <c r="D45" i="11" s="1"/>
  <c r="AQ8" i="1"/>
  <c r="AR8" i="1"/>
  <c r="T8" i="1"/>
  <c r="B113" i="43"/>
  <c r="I118" i="43" s="1"/>
  <c r="J118" i="43" s="1"/>
  <c r="K118" i="43" s="1"/>
  <c r="L118" i="43" s="1"/>
  <c r="M118" i="43" s="1"/>
  <c r="E22" i="43"/>
  <c r="N104" i="46"/>
  <c r="D101" i="43"/>
  <c r="G22" i="43"/>
  <c r="AH11" i="43"/>
  <c r="Z11" i="43"/>
  <c r="AG11" i="43"/>
  <c r="Y11" i="43"/>
  <c r="Y13" i="43" s="1"/>
  <c r="C36" i="69"/>
  <c r="AC11" i="43"/>
  <c r="AD11" i="43"/>
  <c r="L101" i="43"/>
  <c r="L105" i="43" s="1"/>
  <c r="G13" i="3"/>
  <c r="AR12" i="1"/>
  <c r="T12" i="1"/>
  <c r="F101" i="43"/>
  <c r="F103" i="43" s="1"/>
  <c r="G5" i="3"/>
  <c r="B3" i="3" s="1"/>
  <c r="C5" i="11"/>
  <c r="L109" i="43"/>
  <c r="F107" i="43"/>
  <c r="E58" i="40"/>
  <c r="E63" i="39"/>
  <c r="E60" i="40"/>
  <c r="E65" i="39"/>
  <c r="E8" i="6"/>
  <c r="F27" i="6" s="1"/>
  <c r="E10" i="6"/>
  <c r="E11" i="6"/>
  <c r="E14" i="6"/>
  <c r="Q6" i="3"/>
  <c r="E560" i="3"/>
  <c r="E437" i="3"/>
  <c r="E472" i="3"/>
  <c r="E481" i="3"/>
  <c r="E406" i="3"/>
  <c r="E424" i="3"/>
  <c r="E465" i="3"/>
  <c r="E564" i="3"/>
  <c r="E427" i="3"/>
  <c r="E507" i="3"/>
  <c r="E440" i="3"/>
  <c r="E344" i="3"/>
  <c r="E587" i="3"/>
  <c r="AE6" i="3"/>
  <c r="E577" i="3"/>
  <c r="E429" i="3"/>
  <c r="E468" i="3"/>
  <c r="E496" i="3"/>
  <c r="E454" i="3"/>
  <c r="E55" i="3"/>
  <c r="E106" i="3"/>
  <c r="E73" i="3"/>
  <c r="E146" i="3"/>
  <c r="E203" i="3"/>
  <c r="E171" i="3"/>
  <c r="E256" i="3"/>
  <c r="E214" i="3"/>
  <c r="E259" i="3"/>
  <c r="E292" i="3"/>
  <c r="E348" i="3"/>
  <c r="E363" i="3"/>
  <c r="E378" i="3"/>
  <c r="E349" i="3"/>
  <c r="E375" i="3"/>
  <c r="E389" i="3"/>
  <c r="E504" i="3"/>
  <c r="E544" i="3"/>
  <c r="E58" i="3"/>
  <c r="E76" i="3"/>
  <c r="E110" i="3"/>
  <c r="D103" i="43"/>
  <c r="D9" i="11"/>
  <c r="C9" i="11" s="1"/>
  <c r="D9" i="69"/>
  <c r="C9" i="69" s="1"/>
  <c r="AR9" i="1"/>
  <c r="AQ9" i="1"/>
  <c r="AR13" i="1"/>
  <c r="AQ13" i="1"/>
  <c r="T13" i="1"/>
  <c r="AQ10" i="1"/>
  <c r="AR10" i="1"/>
  <c r="B115" i="43"/>
  <c r="B116" i="43"/>
  <c r="C116" i="43" s="1"/>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J22" i="43"/>
  <c r="C5" i="43"/>
  <c r="E15" i="71"/>
  <c r="E14" i="71" s="1"/>
  <c r="E13" i="71" s="1"/>
  <c r="E12" i="71" s="1"/>
  <c r="V16" i="71"/>
  <c r="C20" i="43"/>
  <c r="D17" i="53"/>
  <c r="B36" i="72" s="1"/>
  <c r="AC11" i="34"/>
  <c r="BL5" i="3"/>
  <c r="AZ495" i="3"/>
  <c r="AZ521" i="3"/>
  <c r="AA12" i="21"/>
  <c r="S12" i="21"/>
  <c r="E56" i="39"/>
  <c r="E29" i="6"/>
  <c r="G30" i="6"/>
  <c r="G31" i="6" s="1"/>
  <c r="E28" i="6"/>
  <c r="K14" i="1" s="1"/>
  <c r="M14" i="1" s="1"/>
  <c r="F30" i="6"/>
  <c r="E322" i="3"/>
  <c r="AJ6" i="3"/>
  <c r="E539" i="3"/>
  <c r="E567" i="3"/>
  <c r="E461" i="3"/>
  <c r="E227" i="3"/>
  <c r="E165" i="3"/>
  <c r="E353" i="3"/>
  <c r="E495" i="3"/>
  <c r="AN6" i="3"/>
  <c r="E578" i="3"/>
  <c r="E423" i="3"/>
  <c r="E382" i="3"/>
  <c r="E263" i="3"/>
  <c r="E245" i="3"/>
  <c r="E191" i="3"/>
  <c r="E236" i="3"/>
  <c r="E148" i="3"/>
  <c r="E269" i="3"/>
  <c r="E122" i="3"/>
  <c r="E89" i="3"/>
  <c r="E120" i="3"/>
  <c r="E45" i="3"/>
  <c r="E277" i="3"/>
  <c r="E224" i="3"/>
  <c r="E177" i="3"/>
  <c r="E193" i="3"/>
  <c r="E133" i="3"/>
  <c r="E286" i="3"/>
  <c r="E312" i="3"/>
  <c r="E575" i="3"/>
  <c r="AD6"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E585" i="3"/>
  <c r="AB13" i="21"/>
  <c r="U13" i="21"/>
  <c r="AC27" i="21"/>
  <c r="W27" i="21"/>
  <c r="AC29" i="21"/>
  <c r="W29" i="21"/>
  <c r="J9" i="34"/>
  <c r="H36" i="35"/>
  <c r="J36" i="35"/>
  <c r="AZ399" i="3"/>
  <c r="AZ404" i="3"/>
  <c r="AZ410" i="3"/>
  <c r="AZ415" i="3"/>
  <c r="AZ420" i="3"/>
  <c r="AZ426" i="3"/>
  <c r="AZ431" i="3"/>
  <c r="AZ448" i="3"/>
  <c r="AZ452" i="3"/>
  <c r="AZ461" i="3"/>
  <c r="AZ463" i="3"/>
  <c r="AZ468" i="3"/>
  <c r="AZ470" i="3"/>
  <c r="AZ479" i="3"/>
  <c r="L27" i="6"/>
  <c r="AA35" i="33"/>
  <c r="U12" i="39"/>
  <c r="AA27" i="40"/>
  <c r="AB27" i="40"/>
  <c r="F53" i="9"/>
  <c r="E12" i="6"/>
  <c r="H50" i="43"/>
  <c r="K5" i="4"/>
  <c r="B47" i="48" s="1"/>
  <c r="U12" i="37"/>
  <c r="AC28" i="21"/>
  <c r="U31" i="34"/>
  <c r="W33" i="37"/>
  <c r="J34" i="35"/>
  <c r="H34" i="35"/>
  <c r="F34" i="35"/>
  <c r="AZ475" i="3"/>
  <c r="H38" i="40"/>
  <c r="J38" i="40"/>
  <c r="H39" i="40"/>
  <c r="A15" i="62"/>
  <c r="B61" i="72" s="1"/>
  <c r="AZ484" i="3"/>
  <c r="AZ230" i="3"/>
  <c r="AZ242" i="3"/>
  <c r="AZ246" i="3"/>
  <c r="AZ258" i="3"/>
  <c r="AZ262" i="3"/>
  <c r="AZ267" i="3"/>
  <c r="E90" i="34"/>
  <c r="AZ208" i="3"/>
  <c r="AZ211" i="3"/>
  <c r="AZ219" i="3"/>
  <c r="AZ285" i="3"/>
  <c r="AZ290" i="3"/>
  <c r="AZ293" i="3"/>
  <c r="AZ153" i="3"/>
  <c r="AZ169" i="3"/>
  <c r="AZ185" i="3"/>
  <c r="AZ201" i="3"/>
  <c r="AZ207" i="3"/>
  <c r="AZ25" i="3"/>
  <c r="AZ30" i="3"/>
  <c r="AZ36" i="3"/>
  <c r="AZ40" i="3"/>
  <c r="AZ46" i="3"/>
  <c r="AZ49" i="3"/>
  <c r="AZ62" i="3"/>
  <c r="AZ65" i="3"/>
  <c r="AZ76" i="3"/>
  <c r="AZ81" i="3"/>
  <c r="AZ90" i="3"/>
  <c r="AZ96" i="3"/>
  <c r="AZ99" i="3"/>
  <c r="AZ270" i="3"/>
  <c r="AZ277" i="3"/>
  <c r="AZ108" i="3"/>
  <c r="F3" i="35"/>
  <c r="F40" i="68"/>
  <c r="C21" i="68"/>
  <c r="T40" i="71"/>
  <c r="D40" i="71"/>
  <c r="C23" i="71"/>
  <c r="T24" i="71"/>
  <c r="D24" i="71"/>
  <c r="U24" i="71" s="1"/>
  <c r="D50" i="71"/>
  <c r="C51" i="71"/>
  <c r="D58" i="71"/>
  <c r="C59" i="71"/>
  <c r="J51" i="15"/>
  <c r="J57" i="15" s="1"/>
  <c r="J55" i="15" s="1"/>
  <c r="J58" i="15" s="1"/>
  <c r="Q50" i="15" s="1"/>
  <c r="W21" i="21"/>
  <c r="W21" i="33"/>
  <c r="AA21" i="33"/>
  <c r="AC18" i="36"/>
  <c r="T36" i="71"/>
  <c r="D36" i="71"/>
  <c r="T32" i="71"/>
  <c r="D32" i="71"/>
  <c r="Q62" i="71"/>
  <c r="Q61" i="71"/>
  <c r="AB23" i="71"/>
  <c r="S24" i="71"/>
  <c r="X23" i="71"/>
  <c r="AA32" i="71"/>
  <c r="AB29" i="71"/>
  <c r="Y29" i="71"/>
  <c r="Z29" i="71" s="1"/>
  <c r="X28" i="71"/>
  <c r="N64" i="71"/>
  <c r="X33" i="71"/>
  <c r="AA25" i="71"/>
  <c r="Y5" i="71"/>
  <c r="Z5" i="71" s="1"/>
  <c r="Y6" i="71"/>
  <c r="Z6" i="71" s="1"/>
  <c r="AA5" i="71"/>
  <c r="AA6" i="71"/>
  <c r="B63" i="71"/>
  <c r="AF10" i="43"/>
  <c r="AC12" i="43"/>
  <c r="AC10" i="43"/>
  <c r="AG12" i="43"/>
  <c r="AG13" i="43" s="1"/>
  <c r="AG10" i="43"/>
  <c r="X20" i="71"/>
  <c r="Y20" i="71"/>
  <c r="Z20" i="71" s="1"/>
  <c r="AA18" i="71"/>
  <c r="X17" i="71"/>
  <c r="Y14" i="71"/>
  <c r="Z14" i="71" s="1"/>
  <c r="X13" i="71"/>
  <c r="Y13" i="71"/>
  <c r="Z13" i="71" s="1"/>
  <c r="AA13" i="71"/>
  <c r="AB14" i="71"/>
  <c r="Y10" i="71"/>
  <c r="Z10" i="71" s="1"/>
  <c r="F21" i="34"/>
  <c r="AA21" i="34" s="1"/>
  <c r="X5" i="71"/>
  <c r="X6" i="71"/>
  <c r="AB6" i="71"/>
  <c r="AB5" i="71"/>
  <c r="Z12" i="43"/>
  <c r="Z10" i="43"/>
  <c r="AD12" i="43"/>
  <c r="AD13" i="43" s="1"/>
  <c r="AD10" i="43"/>
  <c r="AH12" i="43"/>
  <c r="AH13" i="43" s="1"/>
  <c r="AH10" i="43"/>
  <c r="Y17" i="71"/>
  <c r="Z17" i="71" s="1"/>
  <c r="AB17" i="71"/>
  <c r="AA17" i="71"/>
  <c r="X14" i="71"/>
  <c r="AA14" i="71"/>
  <c r="X9" i="71"/>
  <c r="AA10" i="71"/>
  <c r="AA20" i="71"/>
  <c r="AB20" i="71"/>
  <c r="B20" i="71"/>
  <c r="C20" i="71"/>
  <c r="Y19" i="71"/>
  <c r="Z19" i="71" s="1"/>
  <c r="Y18" i="71"/>
  <c r="Z18" i="71" s="1"/>
  <c r="AA19" i="71"/>
  <c r="AB19" i="71"/>
  <c r="X18" i="71"/>
  <c r="AB11" i="71"/>
  <c r="AB13" i="71"/>
  <c r="AB7" i="71"/>
  <c r="AB10" i="71"/>
  <c r="Y8" i="71"/>
  <c r="Z8" i="71" s="1"/>
  <c r="Y9" i="71"/>
  <c r="Z9" i="71" s="1"/>
  <c r="AA7" i="71"/>
  <c r="AA9" i="71"/>
  <c r="X8" i="71"/>
  <c r="X11" i="71"/>
  <c r="AA11" i="71"/>
  <c r="AB8" i="71"/>
  <c r="AB9" i="71"/>
  <c r="Y7" i="71"/>
  <c r="Z7" i="71" s="1"/>
  <c r="AA8" i="71"/>
  <c r="X7" i="71"/>
  <c r="X10" i="71"/>
  <c r="U27" i="34"/>
  <c r="S27" i="34"/>
  <c r="U10" i="34"/>
  <c r="AA41" i="34"/>
  <c r="AC10" i="34"/>
  <c r="W33" i="34"/>
  <c r="S35" i="34"/>
  <c r="AC36" i="34"/>
  <c r="W41" i="34"/>
  <c r="W34" i="34"/>
  <c r="S34" i="34"/>
  <c r="S23" i="34"/>
  <c r="U21" i="34"/>
  <c r="S21" i="34"/>
  <c r="AA19" i="34"/>
  <c r="S17" i="34"/>
  <c r="AB17" i="34"/>
  <c r="W15" i="34"/>
  <c r="AC39" i="34"/>
  <c r="AA39" i="34"/>
  <c r="U25" i="34"/>
  <c r="AB23" i="34"/>
  <c r="U19" i="34"/>
  <c r="AC17" i="34"/>
  <c r="C70" i="39"/>
  <c r="D68" i="39"/>
  <c r="C92" i="9"/>
  <c r="C94" i="9"/>
  <c r="C31" i="12"/>
  <c r="C30" i="69"/>
  <c r="C24" i="12"/>
  <c r="C30" i="68"/>
  <c r="C77" i="9"/>
  <c r="C74" i="9" s="1"/>
  <c r="C13" i="12"/>
  <c r="C30" i="11"/>
  <c r="C28" i="15"/>
  <c r="C48" i="69"/>
  <c r="C21" i="69"/>
  <c r="D22" i="67"/>
  <c r="AR7" i="1"/>
  <c r="T7" i="1"/>
  <c r="D102" i="43"/>
  <c r="D106" i="43"/>
  <c r="D105" i="43"/>
  <c r="O7" i="1"/>
  <c r="P7" i="1" s="1"/>
  <c r="H16" i="1"/>
  <c r="E53" i="3"/>
  <c r="E125" i="3"/>
  <c r="E175" i="3"/>
  <c r="E217" i="3"/>
  <c r="E319" i="3"/>
  <c r="E366" i="3"/>
  <c r="E530" i="3"/>
  <c r="E526" i="3"/>
  <c r="E501" i="3"/>
  <c r="E553" i="3"/>
  <c r="E343" i="3"/>
  <c r="E26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O11" i="1"/>
  <c r="P11" i="1" s="1"/>
  <c r="M16" i="1"/>
  <c r="C36" i="11"/>
  <c r="E30" i="6"/>
  <c r="K15" i="1"/>
  <c r="O9" i="1"/>
  <c r="P9" i="1" s="1"/>
  <c r="O14" i="1"/>
  <c r="P14" i="1" s="1"/>
  <c r="C115" i="43"/>
  <c r="O8" i="1"/>
  <c r="P8" i="1" s="1"/>
  <c r="D12" i="52"/>
  <c r="D127" i="9"/>
  <c r="D13" i="52"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T10" i="43"/>
  <c r="V10" i="43" s="1"/>
  <c r="C6" i="67"/>
  <c r="B10" i="70"/>
  <c r="Q71" i="15"/>
  <c r="J53" i="15"/>
  <c r="L56" i="15" s="1"/>
  <c r="K1" i="73"/>
  <c r="I1" i="73"/>
  <c r="B39" i="1" s="1"/>
  <c r="F51" i="67"/>
  <c r="F65" i="67"/>
  <c r="J20" i="67"/>
  <c r="B12" i="70"/>
  <c r="J53" i="67"/>
  <c r="J57" i="67"/>
  <c r="J55" i="67" s="1"/>
  <c r="J58" i="67" s="1"/>
  <c r="Q50" i="67" s="1"/>
  <c r="L56" i="67"/>
  <c r="I54" i="67"/>
  <c r="M7" i="15"/>
  <c r="J6" i="15" s="1"/>
  <c r="F50" i="15"/>
  <c r="F51" i="15"/>
  <c r="F71" i="15"/>
  <c r="B7" i="70"/>
  <c r="C6" i="15"/>
  <c r="F69" i="67"/>
  <c r="F66" i="67"/>
  <c r="B11" i="70"/>
  <c r="L58"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36" i="68"/>
  <c r="F27" i="68"/>
  <c r="C17" i="67"/>
  <c r="C16" i="67"/>
  <c r="C14" i="67"/>
  <c r="G1" i="73"/>
  <c r="T12" i="43" l="1"/>
  <c r="V12" i="43" s="1"/>
  <c r="F31" i="6"/>
  <c r="U19" i="1"/>
  <c r="C101" i="43"/>
  <c r="I101" i="43"/>
  <c r="AZ550" i="3"/>
  <c r="AZ5" i="3" s="1"/>
  <c r="BA5" i="3"/>
  <c r="E27" i="6" s="1"/>
  <c r="G121" i="33"/>
  <c r="H121" i="33" s="1"/>
  <c r="I121" i="33" s="1"/>
  <c r="J121" i="33" s="1"/>
  <c r="K121" i="33" s="1"/>
  <c r="L121" i="33" s="1"/>
  <c r="M121" i="33" s="1"/>
  <c r="F41" i="33"/>
  <c r="H41" i="33"/>
  <c r="S32" i="33"/>
  <c r="S36" i="33"/>
  <c r="AA36" i="33"/>
  <c r="W36" i="33"/>
  <c r="AC36" i="33"/>
  <c r="AB23" i="33"/>
  <c r="U23" i="33"/>
  <c r="S23" i="33"/>
  <c r="AC23" i="33"/>
  <c r="T8" i="43"/>
  <c r="V8" i="43" s="1"/>
  <c r="T9" i="43"/>
  <c r="V9" i="43" s="1"/>
  <c r="T16" i="43"/>
  <c r="V16" i="43" s="1"/>
  <c r="T11" i="43"/>
  <c r="V11" i="43" s="1"/>
  <c r="AA10" i="33"/>
  <c r="AB10" i="33"/>
  <c r="C35" i="43"/>
  <c r="E35" i="43" s="1"/>
  <c r="C37" i="43"/>
  <c r="E37" i="43" s="1"/>
  <c r="C36" i="43"/>
  <c r="E36" i="43" s="1"/>
  <c r="C33" i="43"/>
  <c r="C38" i="43"/>
  <c r="C39" i="43"/>
  <c r="E39" i="43" s="1"/>
  <c r="C34" i="43"/>
  <c r="T13" i="43"/>
  <c r="V13" i="43" s="1"/>
  <c r="T15" i="43"/>
  <c r="V15" i="43" s="1"/>
  <c r="F45" i="68"/>
  <c r="N59" i="15"/>
  <c r="L59" i="15"/>
  <c r="Q74" i="15" s="1"/>
  <c r="I54" i="15"/>
  <c r="M59" i="15"/>
  <c r="I116" i="43"/>
  <c r="J116" i="43" s="1"/>
  <c r="K116" i="43" s="1"/>
  <c r="L116" i="43" s="1"/>
  <c r="M116" i="43" s="1"/>
  <c r="F48" i="68"/>
  <c r="C48" i="68"/>
  <c r="L107" i="43"/>
  <c r="F109" i="43"/>
  <c r="AC13" i="43"/>
  <c r="F105" i="43"/>
  <c r="L104" i="43"/>
  <c r="L102" i="43"/>
  <c r="F27" i="69"/>
  <c r="F28" i="12"/>
  <c r="C29" i="12" s="1"/>
  <c r="D28" i="12" s="1"/>
  <c r="C47" i="68"/>
  <c r="D45" i="68" s="1"/>
  <c r="C29" i="68"/>
  <c r="D27" i="68" s="1"/>
  <c r="E573" i="3"/>
  <c r="E529" i="3"/>
  <c r="E458" i="3"/>
  <c r="E474" i="3"/>
  <c r="E527" i="3"/>
  <c r="E438" i="3"/>
  <c r="E457" i="3"/>
  <c r="E288" i="3"/>
  <c r="E543" i="3"/>
  <c r="E486" i="3"/>
  <c r="E422" i="3"/>
  <c r="E490" i="3"/>
  <c r="E562" i="3"/>
  <c r="W6" i="3"/>
  <c r="E571" i="3"/>
  <c r="E537" i="3"/>
  <c r="E450" i="3"/>
  <c r="E471" i="3"/>
  <c r="E433" i="3"/>
  <c r="E475" i="3"/>
  <c r="E72" i="3"/>
  <c r="E54" i="3"/>
  <c r="E111" i="3"/>
  <c r="E168" i="3"/>
  <c r="E150" i="3"/>
  <c r="E208" i="3"/>
  <c r="E279" i="3"/>
  <c r="E257" i="3"/>
  <c r="E291" i="3"/>
  <c r="E316" i="3"/>
  <c r="E331" i="3"/>
  <c r="E377" i="3"/>
  <c r="E317" i="3"/>
  <c r="E334" i="3"/>
  <c r="E384" i="3"/>
  <c r="E572" i="3"/>
  <c r="AM6" i="3"/>
  <c r="E30" i="3"/>
  <c r="E44" i="3"/>
  <c r="E109" i="3"/>
  <c r="E586" i="3"/>
  <c r="E282" i="3"/>
  <c r="N6" i="3"/>
  <c r="E329" i="3"/>
  <c r="E545" i="3"/>
  <c r="E510" i="3"/>
  <c r="E352" i="3"/>
  <c r="E205" i="3"/>
  <c r="E128" i="3"/>
  <c r="E385" i="3"/>
  <c r="E518" i="3"/>
  <c r="AI6" i="3"/>
  <c r="E402" i="3"/>
  <c r="E350" i="3"/>
  <c r="E303" i="3"/>
  <c r="E301" i="3"/>
  <c r="E159" i="3"/>
  <c r="E99" i="3"/>
  <c r="E188" i="3"/>
  <c r="E228" i="3"/>
  <c r="E181" i="3"/>
  <c r="E157" i="3"/>
  <c r="E140" i="3"/>
  <c r="E85" i="3"/>
  <c r="E223" i="3"/>
  <c r="E238" i="3"/>
  <c r="E197" i="3"/>
  <c r="E116" i="3"/>
  <c r="E173" i="3"/>
  <c r="E105" i="3"/>
  <c r="E327" i="3"/>
  <c r="E379" i="3"/>
  <c r="E576" i="3"/>
  <c r="E499" i="3"/>
  <c r="E542" i="3"/>
  <c r="R6" i="3"/>
  <c r="E552" i="3"/>
  <c r="E502" i="3"/>
  <c r="E421" i="3"/>
  <c r="E442" i="3"/>
  <c r="E464" i="3"/>
  <c r="E466" i="3"/>
  <c r="D104" i="43"/>
  <c r="D109" i="43"/>
  <c r="D107" i="43"/>
  <c r="D22" i="43"/>
  <c r="D116" i="43"/>
  <c r="E116" i="43" s="1"/>
  <c r="F116" i="43" s="1"/>
  <c r="G116" i="43" s="1"/>
  <c r="H116" i="43" s="1"/>
  <c r="B118" i="43"/>
  <c r="C118" i="43" s="1"/>
  <c r="D115" i="43"/>
  <c r="E115" i="43" s="1"/>
  <c r="F115" i="43" s="1"/>
  <c r="G115" i="43" s="1"/>
  <c r="H115" i="43" s="1"/>
  <c r="B117" i="43"/>
  <c r="C117" i="43" s="1"/>
  <c r="G118" i="43"/>
  <c r="H118" i="43" s="1"/>
  <c r="L106" i="43"/>
  <c r="L103" i="43"/>
  <c r="Z13" i="43"/>
  <c r="D117" i="43"/>
  <c r="E117" i="43" s="1"/>
  <c r="F117" i="43" s="1"/>
  <c r="G117" i="43" s="1"/>
  <c r="H117" i="43" s="1"/>
  <c r="I117" i="43"/>
  <c r="J117" i="43" s="1"/>
  <c r="K117" i="43" s="1"/>
  <c r="L117" i="43" s="1"/>
  <c r="M117" i="43" s="1"/>
  <c r="D118" i="43"/>
  <c r="E118" i="43" s="1"/>
  <c r="F118" i="43" s="1"/>
  <c r="I115" i="43"/>
  <c r="J115" i="43" s="1"/>
  <c r="K115" i="43" s="1"/>
  <c r="L115" i="43" s="1"/>
  <c r="M115" i="43" s="1"/>
  <c r="F102" i="43"/>
  <c r="F106" i="43"/>
  <c r="F104" i="43"/>
  <c r="T6" i="3"/>
  <c r="E456" i="3"/>
  <c r="E512" i="3"/>
  <c r="E451" i="3"/>
  <c r="E376" i="3"/>
  <c r="AH6" i="3"/>
  <c r="J6" i="3"/>
  <c r="E498" i="3"/>
  <c r="E419" i="3"/>
  <c r="E483" i="3"/>
  <c r="E401" i="3"/>
  <c r="E463" i="3"/>
  <c r="E40" i="3"/>
  <c r="E25" i="3"/>
  <c r="E108" i="3"/>
  <c r="E178" i="3"/>
  <c r="E119" i="3"/>
  <c r="E202" i="3"/>
  <c r="E242" i="3"/>
  <c r="E226" i="3"/>
  <c r="E274" i="3"/>
  <c r="E351" i="3"/>
  <c r="E315" i="3"/>
  <c r="E357" i="3"/>
  <c r="E394" i="3"/>
  <c r="E318" i="3"/>
  <c r="E362" i="3"/>
  <c r="E14" i="3"/>
  <c r="E580" i="3"/>
  <c r="E31" i="3"/>
  <c r="E74" i="3"/>
  <c r="E93"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469" i="3"/>
  <c r="E360" i="3"/>
  <c r="E497" i="3"/>
  <c r="E494" i="3"/>
  <c r="E470" i="3"/>
  <c r="E26" i="3"/>
  <c r="E41" i="3"/>
  <c r="E198" i="3"/>
  <c r="E225" i="3"/>
  <c r="E243" i="3"/>
  <c r="E332" i="3"/>
  <c r="E391" i="3"/>
  <c r="E356" i="3"/>
  <c r="AL6" i="3"/>
  <c r="E42" i="3"/>
  <c r="E94"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405" i="3"/>
  <c r="E556" i="3"/>
  <c r="E452" i="3"/>
  <c r="E104" i="3"/>
  <c r="E139" i="3"/>
  <c r="E276" i="3"/>
  <c r="E333" i="3"/>
  <c r="L6" i="3"/>
  <c r="E29" i="3"/>
  <c r="E441" i="3"/>
  <c r="E425" i="3"/>
  <c r="E64" i="3"/>
  <c r="E103" i="3"/>
  <c r="E142" i="3"/>
  <c r="E267" i="3"/>
  <c r="E300" i="3"/>
  <c r="E325" i="3"/>
  <c r="E392" i="3"/>
  <c r="AQ6" i="3"/>
  <c r="E52" i="3"/>
  <c r="E36" i="3"/>
  <c r="E112" i="3"/>
  <c r="E123" i="3"/>
  <c r="E147" i="3"/>
  <c r="E289" i="3"/>
  <c r="E340" i="3"/>
  <c r="E364" i="3"/>
  <c r="E50" i="3"/>
  <c r="E20" i="3"/>
  <c r="E62" i="3"/>
  <c r="E176" i="3"/>
  <c r="E218" i="3"/>
  <c r="E265" i="3"/>
  <c r="E365" i="3"/>
  <c r="E524" i="3"/>
  <c r="E101" i="3"/>
  <c r="E408" i="3"/>
  <c r="E420" i="3"/>
  <c r="E115" i="3"/>
  <c r="E281" i="3"/>
  <c r="E346" i="3"/>
  <c r="E372" i="3"/>
  <c r="E60" i="3"/>
  <c r="E480" i="3"/>
  <c r="E484" i="3"/>
  <c r="E467" i="3"/>
  <c r="E46" i="3"/>
  <c r="E160" i="3"/>
  <c r="E200" i="3"/>
  <c r="E249" i="3"/>
  <c r="E371" i="3"/>
  <c r="E342" i="3"/>
  <c r="E522" i="3"/>
  <c r="E35" i="3"/>
  <c r="E86" i="3"/>
  <c r="E34" i="3"/>
  <c r="E49" i="3"/>
  <c r="E206" i="3"/>
  <c r="E232" i="3"/>
  <c r="E251" i="3"/>
  <c r="E370" i="3"/>
  <c r="AF6" i="3"/>
  <c r="E102" i="3"/>
  <c r="E80" i="3"/>
  <c r="E113" i="3"/>
  <c r="E158" i="3"/>
  <c r="E287" i="3"/>
  <c r="E308" i="3"/>
  <c r="E326" i="3"/>
  <c r="E22" i="3"/>
  <c r="E83" i="3"/>
  <c r="E13" i="3"/>
  <c r="E104" i="43"/>
  <c r="E107" i="43"/>
  <c r="E105" i="43"/>
  <c r="E106" i="43"/>
  <c r="E109" i="43"/>
  <c r="E103" i="43"/>
  <c r="E102" i="43"/>
  <c r="S5" i="43" s="1"/>
  <c r="T5" i="43" s="1"/>
  <c r="V5" i="43" s="1"/>
  <c r="H107" i="43"/>
  <c r="H106" i="43"/>
  <c r="H105" i="43"/>
  <c r="H109" i="43"/>
  <c r="H103" i="43"/>
  <c r="H102" i="43"/>
  <c r="H104" i="43"/>
  <c r="J104" i="43"/>
  <c r="J103" i="43"/>
  <c r="J107" i="43"/>
  <c r="J106" i="43"/>
  <c r="J109" i="43"/>
  <c r="J105" i="43"/>
  <c r="J102" i="43"/>
  <c r="N102" i="43"/>
  <c r="N103" i="43"/>
  <c r="N106" i="43"/>
  <c r="N104" i="43"/>
  <c r="N109" i="43"/>
  <c r="N105" i="43"/>
  <c r="N107" i="43"/>
  <c r="E61" i="39"/>
  <c r="E56" i="40"/>
  <c r="K16" i="1"/>
  <c r="C34" i="69"/>
  <c r="C35" i="69" s="1"/>
  <c r="C29" i="11"/>
  <c r="D27" i="11" s="1"/>
  <c r="E51" i="40"/>
  <c r="M109" i="43"/>
  <c r="M104" i="43"/>
  <c r="M107" i="43"/>
  <c r="M105" i="43"/>
  <c r="M102" i="43"/>
  <c r="M103" i="43"/>
  <c r="M106" i="43"/>
  <c r="G105" i="43"/>
  <c r="G103" i="43"/>
  <c r="G106" i="43"/>
  <c r="G109" i="43"/>
  <c r="G102" i="43"/>
  <c r="G107" i="43"/>
  <c r="G104" i="43"/>
  <c r="K103" i="43"/>
  <c r="K107" i="43"/>
  <c r="K104" i="43"/>
  <c r="K105" i="43"/>
  <c r="K109" i="43"/>
  <c r="K102" i="43"/>
  <c r="K106" i="43"/>
  <c r="E64" i="39"/>
  <c r="E59" i="40"/>
  <c r="AY6" i="3"/>
  <c r="E3" i="6"/>
  <c r="C19" i="71"/>
  <c r="T20" i="71"/>
  <c r="D20" i="71"/>
  <c r="U20" i="71" s="1"/>
  <c r="C60" i="71"/>
  <c r="D59" i="71"/>
  <c r="D51" i="71"/>
  <c r="C52" i="71"/>
  <c r="C22" i="71"/>
  <c r="D22" i="71" s="1"/>
  <c r="D23" i="71"/>
  <c r="F90" i="34"/>
  <c r="G90" i="34" s="1"/>
  <c r="H90" i="34" s="1"/>
  <c r="I90" i="34" s="1"/>
  <c r="J90" i="34" s="1"/>
  <c r="K90" i="34" s="1"/>
  <c r="L90" i="34" s="1"/>
  <c r="M90" i="34" s="1"/>
  <c r="AC38" i="40"/>
  <c r="W38" i="40"/>
  <c r="U34" i="35"/>
  <c r="AB34" i="35"/>
  <c r="E57" i="40"/>
  <c r="E62" i="39"/>
  <c r="AB36" i="35"/>
  <c r="U36" i="35"/>
  <c r="E16" i="6"/>
  <c r="B19" i="71"/>
  <c r="B18" i="71" s="1"/>
  <c r="B17" i="71" s="1"/>
  <c r="B16" i="71" s="1"/>
  <c r="S20" i="71"/>
  <c r="B62" i="71"/>
  <c r="N63" i="71"/>
  <c r="U39" i="40"/>
  <c r="AB39" i="40"/>
  <c r="AB38" i="40"/>
  <c r="U38" i="40"/>
  <c r="AA34" i="35"/>
  <c r="S34" i="35"/>
  <c r="AC34" i="35"/>
  <c r="W34" i="35"/>
  <c r="AC36" i="35"/>
  <c r="W36" i="35"/>
  <c r="AC9" i="34"/>
  <c r="W9" i="34"/>
  <c r="E11" i="71"/>
  <c r="E10" i="71" s="1"/>
  <c r="E9" i="71" s="1"/>
  <c r="E8" i="71" s="1"/>
  <c r="V12" i="71"/>
  <c r="D70" i="39"/>
  <c r="E68" i="39"/>
  <c r="J10" i="40"/>
  <c r="W10" i="40" s="1"/>
  <c r="H10" i="39"/>
  <c r="AB10" i="39" s="1"/>
  <c r="F10" i="40"/>
  <c r="AA10" i="40" s="1"/>
  <c r="C34" i="11"/>
  <c r="N16" i="1"/>
  <c r="L16" i="1"/>
  <c r="O16" i="1"/>
  <c r="P16" i="1"/>
  <c r="C11" i="12"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AE6" i="1"/>
  <c r="AB41" i="33" l="1"/>
  <c r="U41" i="33"/>
  <c r="AA41" i="33"/>
  <c r="S41" i="33"/>
  <c r="K20" i="6"/>
  <c r="M20" i="6" s="1"/>
  <c r="I20" i="6" s="1"/>
  <c r="S20" i="6" s="1"/>
  <c r="K24" i="6"/>
  <c r="M24" i="6" s="1"/>
  <c r="I24" i="6" s="1"/>
  <c r="S24" i="6" s="1"/>
  <c r="K26" i="6"/>
  <c r="M26" i="6" s="1"/>
  <c r="I26" i="6" s="1"/>
  <c r="S26" i="6" s="1"/>
  <c r="K19" i="6"/>
  <c r="K21" i="6"/>
  <c r="M21" i="6" s="1"/>
  <c r="I21" i="6" s="1"/>
  <c r="S21" i="6" s="1"/>
  <c r="K22" i="6"/>
  <c r="M22" i="6" s="1"/>
  <c r="I22" i="6" s="1"/>
  <c r="S22" i="6" s="1"/>
  <c r="K25" i="6"/>
  <c r="M25" i="6" s="1"/>
  <c r="I25" i="6" s="1"/>
  <c r="S25" i="6" s="1"/>
  <c r="K23" i="6"/>
  <c r="M23" i="6" s="1"/>
  <c r="I23" i="6" s="1"/>
  <c r="S23" i="6" s="1"/>
  <c r="E31" i="6"/>
  <c r="I109" i="43"/>
  <c r="I106" i="43"/>
  <c r="I103" i="43"/>
  <c r="I102" i="43"/>
  <c r="I105" i="43"/>
  <c r="I107" i="43"/>
  <c r="I104" i="43"/>
  <c r="C107" i="43"/>
  <c r="C104" i="43"/>
  <c r="C105" i="43"/>
  <c r="C109" i="43"/>
  <c r="C103" i="43"/>
  <c r="C102" i="43"/>
  <c r="C106" i="43"/>
  <c r="G39" i="43"/>
  <c r="I39" i="43" s="1"/>
  <c r="G37" i="43"/>
  <c r="I37" i="43" s="1"/>
  <c r="Q61" i="15"/>
  <c r="G36" i="43"/>
  <c r="I36" i="43" s="1"/>
  <c r="S7" i="43"/>
  <c r="T7" i="43" s="1"/>
  <c r="V7" i="43" s="1"/>
  <c r="S4" i="43"/>
  <c r="T4" i="43" s="1"/>
  <c r="V4" i="43" s="1"/>
  <c r="D113" i="43"/>
  <c r="C23" i="43"/>
  <c r="C21" i="43" s="1"/>
  <c r="C29" i="43" s="1"/>
  <c r="S6" i="43"/>
  <c r="T6" i="43" s="1"/>
  <c r="V6" i="43" s="1"/>
  <c r="S3" i="43"/>
  <c r="T3" i="43" s="1"/>
  <c r="V3" i="43" s="1"/>
  <c r="S2" i="43"/>
  <c r="T2" i="43" s="1"/>
  <c r="V2" i="43" s="1"/>
  <c r="C26" i="43" s="1"/>
  <c r="S10" i="40"/>
  <c r="U7" i="37"/>
  <c r="C38" i="69"/>
  <c r="E66" i="39"/>
  <c r="AC6" i="3"/>
  <c r="E6" i="3" s="1"/>
  <c r="C29" i="69"/>
  <c r="D27" i="69" s="1"/>
  <c r="C47" i="69"/>
  <c r="D45" i="69" s="1"/>
  <c r="F45" i="69"/>
  <c r="U10" i="39"/>
  <c r="U10" i="40"/>
  <c r="E7" i="71"/>
  <c r="E6" i="71" s="1"/>
  <c r="E5" i="71" s="1"/>
  <c r="V8" i="71"/>
  <c r="N61" i="71"/>
  <c r="N62" i="71"/>
  <c r="B15" i="71"/>
  <c r="B14" i="71" s="1"/>
  <c r="B13" i="71" s="1"/>
  <c r="B12" i="71" s="1"/>
  <c r="S16" i="71"/>
  <c r="T52" i="71"/>
  <c r="D52" i="71"/>
  <c r="C18" i="71"/>
  <c r="D19" i="71"/>
  <c r="D3" i="21"/>
  <c r="D19" i="11"/>
  <c r="C19" i="11" s="1"/>
  <c r="C20" i="11" s="1"/>
  <c r="C28" i="11" s="1"/>
  <c r="C27" i="11" s="1"/>
  <c r="C17" i="4"/>
  <c r="B4" i="52" s="1"/>
  <c r="B43" i="72" s="1"/>
  <c r="D37" i="11"/>
  <c r="C37" i="11" s="1"/>
  <c r="D14" i="12"/>
  <c r="M18" i="9"/>
  <c r="B118" i="9" s="1"/>
  <c r="B14" i="74" s="1"/>
  <c r="B1" i="74" s="1"/>
  <c r="D3" i="33"/>
  <c r="E6" i="6"/>
  <c r="L18" i="9"/>
  <c r="D3" i="37"/>
  <c r="T60" i="71"/>
  <c r="D60" i="71"/>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F68" i="39"/>
  <c r="E70" i="39"/>
  <c r="C38" i="11"/>
  <c r="C35" i="11"/>
  <c r="F50" i="68"/>
  <c r="F50" i="11"/>
  <c r="F50" i="69"/>
  <c r="C15" i="12"/>
  <c r="C12" i="12"/>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0" i="43"/>
  <c r="E30" i="43" s="1"/>
  <c r="C27" i="43" s="1"/>
  <c r="E29" i="43"/>
  <c r="D20" i="12"/>
  <c r="C20" i="12" s="1"/>
  <c r="D10" i="11"/>
  <c r="C10" i="11" s="1"/>
  <c r="D10" i="69"/>
  <c r="C8" i="74"/>
  <c r="C7" i="74"/>
  <c r="D19" i="6"/>
  <c r="D26" i="6"/>
  <c r="C18" i="4"/>
  <c r="D8" i="6"/>
  <c r="D23" i="6"/>
  <c r="D20" i="6"/>
  <c r="D5" i="6"/>
  <c r="D12" i="6"/>
  <c r="D11" i="6"/>
  <c r="D13" i="6"/>
  <c r="D28" i="6"/>
  <c r="E61" i="40"/>
  <c r="M19" i="9"/>
  <c r="C118" i="9" s="1"/>
  <c r="C14" i="74" s="1"/>
  <c r="B2" i="74" s="1"/>
  <c r="D25" i="6"/>
  <c r="D15" i="6"/>
  <c r="D22" i="6"/>
  <c r="D21" i="6"/>
  <c r="D24" i="6"/>
  <c r="D6" i="6"/>
  <c r="D9" i="6"/>
  <c r="D10" i="6"/>
  <c r="L19" i="9"/>
  <c r="D29" i="6"/>
  <c r="D14" i="6"/>
  <c r="H25" i="6"/>
  <c r="H21" i="6"/>
  <c r="H24" i="6"/>
  <c r="H23" i="6"/>
  <c r="H22" i="6"/>
  <c r="H26" i="6"/>
  <c r="R26" i="6" s="1"/>
  <c r="H20" i="6"/>
  <c r="D17" i="12"/>
  <c r="C17" i="12" s="1"/>
  <c r="C14" i="12"/>
  <c r="C16" i="12" s="1"/>
  <c r="C17" i="71"/>
  <c r="D18" i="71"/>
  <c r="B11" i="71"/>
  <c r="B10" i="71" s="1"/>
  <c r="B9" i="71" s="1"/>
  <c r="B8" i="71" s="1"/>
  <c r="S12" i="71"/>
  <c r="F69" i="15"/>
  <c r="J29" i="15"/>
  <c r="F70" i="39"/>
  <c r="G68" i="39"/>
  <c r="C33" i="11"/>
  <c r="C39" i="11" s="1"/>
  <c r="C46" i="11" s="1"/>
  <c r="C45" i="11"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D10" i="68"/>
  <c r="B6" i="76"/>
  <c r="I19" i="6" l="1"/>
  <c r="M27" i="6"/>
  <c r="E6" i="70"/>
  <c r="E2" i="70" s="1"/>
  <c r="AR6" i="1"/>
  <c r="S16" i="1"/>
  <c r="AQ6" i="1"/>
  <c r="T6" i="1"/>
  <c r="E2" i="76"/>
  <c r="R20" i="6"/>
  <c r="R22" i="6"/>
  <c r="R24" i="6"/>
  <c r="R25" i="6"/>
  <c r="B7" i="71"/>
  <c r="B6" i="71" s="1"/>
  <c r="B5" i="71" s="1"/>
  <c r="S8" i="71"/>
  <c r="D17" i="71"/>
  <c r="C16" i="71"/>
  <c r="R23" i="6"/>
  <c r="R21" i="6"/>
  <c r="D16" i="6"/>
  <c r="C10" i="69"/>
  <c r="C8" i="69" s="1"/>
  <c r="C5" i="69" s="1"/>
  <c r="D19" i="69"/>
  <c r="D8" i="74"/>
  <c r="D7" i="74"/>
  <c r="D30" i="6"/>
  <c r="A7" i="51"/>
  <c r="B7" i="72" s="1"/>
  <c r="A10" i="51"/>
  <c r="B9" i="72" s="1"/>
  <c r="C4" i="52"/>
  <c r="B45" i="72" s="1"/>
  <c r="D27" i="6"/>
  <c r="D31" i="6" s="1"/>
  <c r="C10" i="68"/>
  <c r="D19" i="68"/>
  <c r="R30" i="31"/>
  <c r="S30" i="31" s="1"/>
  <c r="R29" i="31"/>
  <c r="S29" i="31" s="1"/>
  <c r="R28" i="31"/>
  <c r="S28" i="31" s="1"/>
  <c r="R31" i="31"/>
  <c r="S31" i="31" s="1"/>
  <c r="R27" i="31"/>
  <c r="S27" i="31" s="1"/>
  <c r="H68" i="39"/>
  <c r="G70" i="39"/>
  <c r="B3" i="34"/>
  <c r="C42" i="11"/>
  <c r="C43" i="11"/>
  <c r="G65" i="40"/>
  <c r="H63" i="40"/>
  <c r="C43" i="37"/>
  <c r="B2" i="37" s="1"/>
  <c r="B3" i="37" s="1"/>
  <c r="C42" i="37"/>
  <c r="I48" i="35"/>
  <c r="C48" i="33"/>
  <c r="C49" i="33"/>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7" i="15"/>
  <c r="B2" i="33" l="1"/>
  <c r="B3" i="33" s="1"/>
  <c r="R24" i="85"/>
  <c r="T16" i="1"/>
  <c r="H19" i="6"/>
  <c r="S19" i="6"/>
  <c r="S27" i="6" s="1"/>
  <c r="I27" i="6"/>
  <c r="C8" i="68"/>
  <c r="B29" i="1"/>
  <c r="C18" i="12" s="1"/>
  <c r="C21" i="12" s="1"/>
  <c r="C22" i="12" s="1"/>
  <c r="C27" i="12" s="1"/>
  <c r="C25" i="12" s="1"/>
  <c r="B3" i="76"/>
  <c r="C19" i="68"/>
  <c r="D37" i="68"/>
  <c r="C37" i="68" s="1"/>
  <c r="I6" i="6"/>
  <c r="C11" i="39" s="1"/>
  <c r="I5" i="6"/>
  <c r="C23" i="69"/>
  <c r="C15" i="71"/>
  <c r="T16" i="71"/>
  <c r="D16" i="71"/>
  <c r="U16" i="71" s="1"/>
  <c r="C19" i="69"/>
  <c r="C24" i="69" s="1"/>
  <c r="D37" i="69"/>
  <c r="C37" i="69" s="1"/>
  <c r="C33" i="69" s="1"/>
  <c r="H70" i="39"/>
  <c r="I68" i="39"/>
  <c r="C41" i="11"/>
  <c r="C49" i="11" s="1"/>
  <c r="C51" i="11" s="1"/>
  <c r="C52" i="11" s="1"/>
  <c r="B2" i="11" s="1"/>
  <c r="B3" i="11" s="1"/>
  <c r="C30" i="12"/>
  <c r="C28" i="12" s="1"/>
  <c r="C32" i="12" s="1"/>
  <c r="B2" i="12" s="1"/>
  <c r="B3" i="12" s="1"/>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C34" i="68"/>
  <c r="C14" i="15"/>
  <c r="L51" i="67"/>
  <c r="H11" i="39" l="1"/>
  <c r="J11" i="39"/>
  <c r="F11" i="39"/>
  <c r="R19" i="6"/>
  <c r="H27" i="6"/>
  <c r="C15" i="15"/>
  <c r="C18" i="15"/>
  <c r="C19" i="15" s="1"/>
  <c r="C35" i="68"/>
  <c r="C38" i="68"/>
  <c r="S24" i="85"/>
  <c r="R26" i="85"/>
  <c r="S26" i="85" s="1"/>
  <c r="R25" i="85"/>
  <c r="S25" i="85" s="1"/>
  <c r="C39" i="69"/>
  <c r="C43" i="69" s="1"/>
  <c r="C42" i="69"/>
  <c r="C14" i="71"/>
  <c r="D15" i="71"/>
  <c r="C20" i="69"/>
  <c r="C24" i="68"/>
  <c r="J68" i="39"/>
  <c r="I70"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S22" i="85" l="1"/>
  <c r="C33" i="68"/>
  <c r="C20" i="15"/>
  <c r="C26" i="15" s="1"/>
  <c r="R27" i="6"/>
  <c r="R6" i="1"/>
  <c r="AA11" i="39"/>
  <c r="S11" i="39"/>
  <c r="W11" i="39"/>
  <c r="AC11" i="39"/>
  <c r="AB11" i="39"/>
  <c r="U11" i="39"/>
  <c r="C41" i="69"/>
  <c r="C46" i="69"/>
  <c r="C45" i="69" s="1"/>
  <c r="C28" i="69"/>
  <c r="C27" i="69" s="1"/>
  <c r="C25" i="69"/>
  <c r="C22" i="69" s="1"/>
  <c r="C13" i="71"/>
  <c r="D14" i="71"/>
  <c r="J7" i="35"/>
  <c r="AC7" i="35" s="1"/>
  <c r="V38" i="35" s="1"/>
  <c r="I38" i="35" s="1"/>
  <c r="K68" i="39"/>
  <c r="J70"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23" i="15" l="1"/>
  <c r="C29" i="15" s="1"/>
  <c r="J59" i="15" s="1"/>
  <c r="J60" i="15" s="1"/>
  <c r="R16" i="1"/>
  <c r="C39" i="68"/>
  <c r="C42" i="68"/>
  <c r="R22" i="85"/>
  <c r="B20" i="85"/>
  <c r="B21" i="85" s="1"/>
  <c r="C49" i="69"/>
  <c r="C51" i="69" s="1"/>
  <c r="W7" i="35"/>
  <c r="C31" i="69"/>
  <c r="D13" i="71"/>
  <c r="C12" i="71"/>
  <c r="L68" i="39"/>
  <c r="K70"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M21" i="15"/>
  <c r="F35" i="15"/>
  <c r="J20" i="15" l="1"/>
  <c r="C36" i="15"/>
  <c r="J19" i="15"/>
  <c r="J17" i="15" s="1"/>
  <c r="Q49" i="15"/>
  <c r="J14" i="15"/>
  <c r="J22" i="15" s="1"/>
  <c r="C13" i="15"/>
  <c r="C57" i="15"/>
  <c r="C61" i="15" s="1"/>
  <c r="C46" i="68"/>
  <c r="C45" i="68" s="1"/>
  <c r="C43" i="68"/>
  <c r="C41" i="68" s="1"/>
  <c r="C49" i="68" s="1"/>
  <c r="C51" i="68" s="1"/>
  <c r="C56" i="15"/>
  <c r="C65" i="15" s="1"/>
  <c r="C75" i="15"/>
  <c r="Q70" i="15"/>
  <c r="C37" i="15"/>
  <c r="Q48" i="15"/>
  <c r="L46" i="15"/>
  <c r="C34" i="15"/>
  <c r="C31" i="15" s="1"/>
  <c r="F63" i="15"/>
  <c r="C62" i="15" s="1"/>
  <c r="C52" i="69"/>
  <c r="B2" i="69" s="1"/>
  <c r="B3" i="69" s="1"/>
  <c r="C11" i="71"/>
  <c r="T12" i="71"/>
  <c r="D12" i="71"/>
  <c r="U12" i="71" s="1"/>
  <c r="L70" i="39"/>
  <c r="M68" i="39"/>
  <c r="R39" i="35"/>
  <c r="E38" i="35"/>
  <c r="M63" i="40"/>
  <c r="L65" i="40"/>
  <c r="C19" i="9"/>
  <c r="J13" i="15" l="1"/>
  <c r="J23" i="15" s="1"/>
  <c r="C64" i="15"/>
  <c r="J16" i="15"/>
  <c r="J25" i="15" s="1"/>
  <c r="C59" i="15"/>
  <c r="C58" i="15" s="1"/>
  <c r="C67" i="15" s="1"/>
  <c r="C68" i="15" s="1"/>
  <c r="C30" i="15"/>
  <c r="C39" i="15" s="1"/>
  <c r="C71" i="15"/>
  <c r="C40" i="15"/>
  <c r="Q69" i="15"/>
  <c r="Q68" i="15" s="1"/>
  <c r="C102" i="9"/>
  <c r="C21" i="9"/>
  <c r="C57" i="69"/>
  <c r="C56" i="69" s="1"/>
  <c r="D11" i="71"/>
  <c r="C10" i="71"/>
  <c r="M70" i="39"/>
  <c r="N68" i="39"/>
  <c r="C39" i="35"/>
  <c r="B2" i="35" s="1"/>
  <c r="B3" i="35" s="1"/>
  <c r="C38" i="35"/>
  <c r="N63" i="40"/>
  <c r="M65" i="40"/>
  <c r="E43" i="35"/>
  <c r="F43" i="35" s="1"/>
  <c r="E42" i="35"/>
  <c r="F42" i="35" s="1"/>
  <c r="I43" i="35"/>
  <c r="J43" i="35" s="1"/>
  <c r="C20" i="9"/>
  <c r="L51" i="15"/>
  <c r="Q67" i="15" l="1"/>
  <c r="C80" i="15"/>
  <c r="C79" i="15" s="1"/>
  <c r="Q56" i="15"/>
  <c r="Q62" i="15" s="1"/>
  <c r="C43" i="15"/>
  <c r="C83" i="15"/>
  <c r="C82" i="15" s="1"/>
  <c r="B2" i="15"/>
  <c r="Q47" i="15"/>
  <c r="Q53" i="15" s="1"/>
  <c r="Q65" i="15"/>
  <c r="Q75" i="15" s="1"/>
  <c r="C46" i="15"/>
  <c r="C103" i="9"/>
  <c r="D10" i="71"/>
  <c r="C9" i="71"/>
  <c r="N70" i="39"/>
  <c r="O68" i="39"/>
  <c r="O70" i="39" s="1"/>
  <c r="H7" i="39" s="1"/>
  <c r="O63" i="40"/>
  <c r="O65" i="40" s="1"/>
  <c r="N65" i="40"/>
  <c r="F7" i="39" l="1"/>
  <c r="B3" i="15"/>
  <c r="C8" i="71"/>
  <c r="D9" i="71"/>
  <c r="AB7" i="39"/>
  <c r="T47" i="39" s="1"/>
  <c r="G47" i="39" s="1"/>
  <c r="U7" i="39"/>
  <c r="S7" i="39"/>
  <c r="AA7" i="39"/>
  <c r="R47" i="39" s="1"/>
  <c r="J7" i="39"/>
  <c r="J7" i="40"/>
  <c r="F7" i="40"/>
  <c r="H7" i="40"/>
  <c r="D20" i="9"/>
  <c r="D35" i="9"/>
  <c r="D19" i="9"/>
  <c r="D34" i="9"/>
  <c r="AO6" i="1"/>
  <c r="B6" i="70" l="1"/>
  <c r="B2" i="70" s="1"/>
  <c r="B3" i="70" s="1"/>
  <c r="D21" i="9"/>
  <c r="D102" i="9"/>
  <c r="D22" i="9"/>
  <c r="G19" i="9"/>
  <c r="D103" i="9"/>
  <c r="G20" i="9"/>
  <c r="C7" i="71"/>
  <c r="T8" i="71"/>
  <c r="D8" i="71"/>
  <c r="U8" i="71" s="1"/>
  <c r="E47" i="39"/>
  <c r="AC7" i="39"/>
  <c r="V47" i="39" s="1"/>
  <c r="I47" i="39" s="1"/>
  <c r="G52" i="39" s="1"/>
  <c r="H52" i="39" s="1"/>
  <c r="W7" i="39"/>
  <c r="G51" i="39"/>
  <c r="H51" i="39" s="1"/>
  <c r="U7" i="40"/>
  <c r="AB7" i="40"/>
  <c r="T42" i="40" s="1"/>
  <c r="G42" i="40" s="1"/>
  <c r="AA7" i="40"/>
  <c r="R42" i="40" s="1"/>
  <c r="S7" i="40"/>
  <c r="AC7" i="40"/>
  <c r="V42" i="40" s="1"/>
  <c r="I42" i="40" s="1"/>
  <c r="W7" i="40"/>
  <c r="C32" i="9" l="1"/>
  <c r="C35" i="9" s="1"/>
  <c r="C34" i="9" s="1"/>
  <c r="G21" i="9"/>
  <c r="R48" i="39"/>
  <c r="C47" i="39" s="1"/>
  <c r="C6" i="71"/>
  <c r="D7" i="71"/>
  <c r="I52" i="39"/>
  <c r="J52" i="39" s="1"/>
  <c r="I51" i="39"/>
  <c r="J51" i="39" s="1"/>
  <c r="E51" i="39"/>
  <c r="F51" i="39" s="1"/>
  <c r="E52" i="39"/>
  <c r="F52" i="39" s="1"/>
  <c r="I46" i="40"/>
  <c r="J46" i="40" s="1"/>
  <c r="R43" i="40"/>
  <c r="E42" i="40"/>
  <c r="G47" i="40"/>
  <c r="H47" i="40" s="1"/>
  <c r="G46" i="40"/>
  <c r="H46" i="40" s="1"/>
  <c r="C48" i="39" l="1"/>
  <c r="D6" i="71"/>
  <c r="C5" i="71"/>
  <c r="C42" i="40"/>
  <c r="C43" i="40"/>
  <c r="E47" i="40"/>
  <c r="F47" i="40" s="1"/>
  <c r="E46" i="40"/>
  <c r="F46" i="40" s="1"/>
  <c r="I47" i="40"/>
  <c r="J47" i="40" s="1"/>
  <c r="B64" i="39" l="1"/>
  <c r="F64" i="39" s="1"/>
  <c r="R24" i="31"/>
  <c r="B62" i="39"/>
  <c r="F62" i="39" s="1"/>
  <c r="B60" i="39"/>
  <c r="F60" i="39" s="1"/>
  <c r="B59" i="39"/>
  <c r="F59" i="39" s="1"/>
  <c r="B61" i="39"/>
  <c r="F61" i="39" s="1"/>
  <c r="B58" i="39"/>
  <c r="F58" i="39" s="1"/>
  <c r="B56" i="39"/>
  <c r="F56" i="39" s="1"/>
  <c r="B63" i="39"/>
  <c r="F63" i="39" s="1"/>
  <c r="B65" i="39"/>
  <c r="F65" i="39" s="1"/>
  <c r="B57" i="39"/>
  <c r="F57" i="39" s="1"/>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S24" i="31" l="1"/>
  <c r="R26" i="31"/>
  <c r="S26" i="31" s="1"/>
  <c r="R25" i="31"/>
  <c r="S25" i="31" s="1"/>
  <c r="F66" i="39"/>
  <c r="B2" i="39" s="1"/>
  <c r="B3" i="39" s="1"/>
  <c r="H101" i="9"/>
  <c r="D5" i="53" s="1"/>
  <c r="D6" i="53" s="1"/>
  <c r="B22" i="72" s="1"/>
  <c r="I118" i="9"/>
  <c r="C105" i="9" s="1"/>
  <c r="F4" i="52"/>
  <c r="B51" i="72" s="1"/>
  <c r="G118" i="9"/>
  <c r="G4" i="52" s="1"/>
  <c r="B52" i="72" s="1"/>
  <c r="D119" i="9"/>
  <c r="D5" i="52" s="1"/>
  <c r="B49" i="72" s="1"/>
  <c r="C104" i="9"/>
  <c r="H119" i="9"/>
  <c r="H5" i="52" s="1"/>
  <c r="D14" i="74"/>
  <c r="S22" i="31" l="1"/>
  <c r="M48" i="9"/>
  <c r="B20" i="72"/>
  <c r="H102" i="9"/>
  <c r="D7" i="53" s="1"/>
  <c r="B21" i="72" s="1"/>
  <c r="I4" i="52"/>
  <c r="E118" i="9"/>
  <c r="E4" i="52" s="1"/>
  <c r="B48" i="72" s="1"/>
  <c r="D45" i="9"/>
  <c r="D52" i="9" s="1"/>
  <c r="H107" i="9"/>
  <c r="M49" i="9" s="1"/>
  <c r="E14" i="74"/>
  <c r="F14" i="74"/>
  <c r="B5" i="74"/>
  <c r="C6" i="68" l="1"/>
  <c r="R22" i="31"/>
  <c r="B20" i="31"/>
  <c r="B21" i="31" s="1"/>
  <c r="C64" i="9"/>
  <c r="C63" i="9" s="1"/>
  <c r="C67" i="9" s="1"/>
  <c r="D59" i="9" s="1"/>
  <c r="M55" i="9" s="1"/>
  <c r="C72" i="9"/>
  <c r="D53" i="9"/>
  <c r="D55" i="9"/>
  <c r="M53" i="9" s="1"/>
  <c r="C78" i="9"/>
  <c r="C73" i="9" s="1"/>
  <c r="C85" i="9"/>
  <c r="C93" i="9"/>
  <c r="C86" i="9" s="1"/>
  <c r="H108" i="9"/>
  <c r="D15" i="53" s="1"/>
  <c r="B31" i="72" s="1"/>
  <c r="D13" i="53"/>
  <c r="D14" i="53" s="1"/>
  <c r="B32" i="72" s="1"/>
  <c r="D122" i="9"/>
  <c r="D123" i="9" s="1"/>
  <c r="D9" i="52" s="1"/>
  <c r="D5" i="74"/>
  <c r="C5" i="74"/>
  <c r="L64" i="9"/>
  <c r="M64" i="9" s="1"/>
  <c r="L67" i="9"/>
  <c r="M67" i="9" s="1"/>
  <c r="L63" i="9"/>
  <c r="M63" i="9" s="1"/>
  <c r="L68" i="9"/>
  <c r="M68" i="9" s="1"/>
  <c r="L65" i="9"/>
  <c r="M65" i="9" s="1"/>
  <c r="L66" i="9"/>
  <c r="M66" i="9" s="1"/>
  <c r="C7" i="68" l="1"/>
  <c r="C5" i="68"/>
  <c r="M69" i="9"/>
  <c r="N69" i="9" s="1"/>
  <c r="C68" i="9"/>
  <c r="D54" i="9" s="1"/>
  <c r="D8" i="52"/>
  <c r="C79" i="9"/>
  <c r="B30" i="72"/>
  <c r="C95" i="9"/>
  <c r="C96" i="9" s="1"/>
  <c r="E96" i="9" s="1"/>
  <c r="E97" i="9" s="1"/>
  <c r="G14" i="74"/>
  <c r="B6" i="74" s="1"/>
  <c r="C6" i="74" s="1"/>
  <c r="C23" i="68" l="1"/>
  <c r="C20" i="68"/>
  <c r="C25" i="68" s="1"/>
  <c r="C28" i="68"/>
  <c r="C27" i="68" s="1"/>
  <c r="C80" i="9"/>
  <c r="E80" i="9" s="1"/>
  <c r="E81" i="9" s="1"/>
  <c r="C97" i="9"/>
  <c r="D58" i="9" s="1"/>
  <c r="D56" i="9" s="1"/>
  <c r="M54" i="9" s="1"/>
  <c r="N57" i="9" s="1"/>
  <c r="N58" i="9" s="1"/>
  <c r="D6" i="74"/>
  <c r="C22" i="68" l="1"/>
  <c r="C31" i="68" s="1"/>
  <c r="C52" i="68" s="1"/>
  <c r="C81" i="9"/>
  <c r="N59" i="9"/>
  <c r="N61" i="9" s="1"/>
  <c r="P57" i="9"/>
  <c r="B2" i="68" l="1"/>
  <c r="C57" i="68"/>
  <c r="C56" i="68" s="1"/>
  <c r="N60" i="9"/>
  <c r="B3"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<sst xmlns="http://schemas.openxmlformats.org/spreadsheetml/2006/main" count="7776" uniqueCount="3289">
  <si>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</si>
  <si>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</si>
  <si>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</si>
  <si>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</si>
  <si>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</si>
  <si>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</si>
  <si>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</si>
  <si>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</si>
  <si>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</si>
  <si>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</si>
  <si>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</si>
  <si>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</si>
  <si>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</si>
  <si>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</si>
  <si>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</si>
  <si>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</si>
  <si>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</si>
  <si>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</si>
  <si>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</si>
  <si>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</si>
  <si>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</si>
  <si>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</si>
  <si>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</si>
  <si>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</si>
  <si>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</si>
  <si>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</si>
  <si>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</si>
  <si>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</si>
  <si>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</si>
  <si>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</si>
  <si>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</si>
  <si>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</si>
  <si>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</si>
  <si>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</si>
  <si>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</si>
  <si>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</si>
  <si>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</si>
  <si>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</si>
  <si>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</si>
  <si>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</si>
  <si>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</si>
  <si>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</si>
  <si>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</si>
  <si>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</si>
  <si>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</si>
  <si>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</si>
  <si>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</si>
  <si>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</si>
  <si>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</si>
  <si>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</si>
  <si>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</si>
  <si>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</si>
  <si>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</si>
  <si>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</si>
  <si>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</si>
  <si>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</si>
  <si>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</si>
  <si>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</si>
  <si>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</si>
  <si>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</si>
  <si>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</si>
  <si>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</si>
  <si>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</si>
  <si>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</si>
  <si>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</si>
  <si>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</si>
  <si>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</si>
  <si>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</si>
  <si>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</si>
  <si>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</si>
  <si>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</si>
  <si>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</si>
  <si>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</si>
  <si>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</si>
  <si>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</si>
  <si>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</si>
  <si>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</si>
  <si>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</si>
  <si>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</si>
  <si>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</si>
  <si>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</si>
  <si>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</si>
  <si>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</si>
  <si>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</si>
  <si>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</si>
  <si>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</si>
  <si>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</si>
  <si>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</si>
  <si>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</si>
  <si>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</si>
  <si>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</si>
  <si>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</si>
  <si>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</si>
  <si>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</si>
  <si>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</si>
  <si>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</si>
  <si>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</si>
  <si>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</si>
  <si>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</si>
  <si>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</si>
  <si>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</si>
  <si>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</si>
  <si>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</si>
  <si>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</si>
  <si>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</si>
  <si>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</si>
  <si>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</si>
  <si>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</si>
  <si>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</si>
  <si>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</si>
  <si>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</si>
  <si>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</si>
  <si>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</si>
  <si>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</si>
  <si>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</si>
  <si>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</si>
  <si>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</si>
  <si>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</si>
  <si>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</si>
  <si>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</si>
  <si>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</si>
  <si>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</si>
  <si>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</si>
  <si>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</si>
  <si>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</si>
  <si>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</si>
  <si>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</si>
  <si>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</si>
  <si>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</si>
  <si>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</si>
  <si>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</si>
  <si>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</si>
  <si>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</si>
  <si>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</si>
  <si>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</si>
  <si>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</si>
  <si>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</si>
  <si>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</si>
  <si>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</si>
  <si>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</si>
  <si>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</si>
  <si>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</si>
  <si>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</si>
  <si>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</si>
  <si>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</si>
  <si>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</si>
  <si>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</si>
  <si>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</si>
  <si>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</si>
  <si>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</si>
  <si>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</si>
  <si>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</si>
  <si>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</si>
  <si>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</si>
  <si>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</si>
  <si>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</si>
  <si>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</si>
  <si>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</si>
  <si>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</si>
  <si>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</si>
  <si>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</si>
  <si>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</si>
  <si>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</si>
  <si>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</si>
  <si>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</si>
  <si>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</si>
  <si>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</si>
  <si>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</si>
  <si>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</si>
  <si>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</si>
  <si>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</si>
  <si>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</si>
  <si>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</si>
  <si>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</si>
  <si>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</si>
  <si>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</si>
  <si>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</si>
  <si>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</si>
  <si>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</si>
  <si>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</si>
  <si>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</si>
  <si>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</si>
  <si>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</si>
  <si>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</si>
  <si>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</si>
  <si>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</si>
  <si>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</si>
  <si>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</si>
  <si>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</si>
  <si>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</si>
  <si>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</si>
  <si>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</si>
  <si>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</si>
  <si>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</si>
  <si>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</si>
  <si>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</si>
  <si>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</si>
  <si>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</si>
  <si>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</si>
  <si>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</si>
  <si>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</si>
  <si>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</si>
  <si>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</si>
  <si>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</si>
  <si>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</si>
  <si>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</si>
  <si>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</si>
  <si>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</si>
  <si>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</si>
  <si>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</si>
  <si>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</si>
  <si>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</si>
  <si>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</si>
  <si>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</si>
  <si>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</si>
  <si>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</si>
  <si>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</si>
  <si>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</si>
  <si>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</si>
  <si>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</si>
  <si>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</si>
  <si>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</si>
  <si>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</si>
  <si>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</si>
  <si>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</si>
  <si>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</si>
  <si>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</si>
  <si>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</si>
  <si>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</si>
  <si>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</si>
  <si>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</si>
  <si>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</si>
  <si>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</si>
  <si>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</si>
  <si>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</si>
  <si>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</si>
  <si>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</si>
  <si>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</si>
  <si>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</si>
  <si>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</si>
  <si>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</si>
  <si>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</si>
  <si>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</si>
  <si>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</si>
  <si>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</si>
  <si>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</si>
  <si>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</si>
  <si>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</si>
  <si>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</si>
  <si>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</si>
  <si>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</si>
  <si>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</si>
  <si>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</si>
  <si>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</si>
  <si>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</si>
  <si>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</si>
  <si>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</si>
  <si>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</si>
  <si>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</si>
  <si>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</si>
  <si>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</si>
  <si>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</si>
  <si>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</si>
  <si>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</si>
  <si>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</si>
  <si>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</si>
  <si>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</si>
  <si>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</si>
  <si>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</si>
  <si>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</si>
  <si>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</si>
  <si>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</si>
  <si>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</si>
  <si>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</si>
  <si>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</si>
  <si>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</si>
  <si>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</si>
  <si>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</si>
  <si>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</si>
  <si>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</si>
  <si>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</si>
  <si>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</si>
  <si>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</si>
  <si>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</si>
  <si>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</si>
  <si>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</si>
  <si>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</si>
  <si>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</si>
  <si>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</si>
  <si>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</si>
  <si>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</si>
  <si>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</si>
  <si>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</si>
  <si>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</si>
  <si>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</si>
  <si>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</si>
  <si>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</si>
  <si>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</si>
  <si>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</si>
  <si>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</si>
  <si>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</si>
  <si>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</si>
  <si>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</si>
  <si>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</si>
  <si>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</si>
  <si>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</si>
  <si>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</si>
  <si>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</si>
  <si>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</si>
  <si>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</si>
  <si>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</si>
  <si>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</si>
  <si>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</si>
  <si>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</si>
  <si>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</si>
  <si>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</si>
  <si>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</si>
  <si>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</si>
  <si>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</si>
  <si>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</si>
  <si>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</si>
  <si>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</si>
  <si>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</si>
  <si>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</si>
  <si>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</si>
  <si>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</si>
  <si>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</si>
  <si>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</si>
  <si>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</si>
  <si>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</si>
  <si>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</si>
  <si>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</si>
  <si>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</si>
  <si>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</si>
  <si>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</si>
  <si>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</si>
  <si>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</si>
  <si>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</si>
  <si>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</si>
  <si>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</si>
  <si>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</si>
  <si>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</si>
  <si>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</si>
  <si>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</si>
  <si>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</si>
  <si>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</si>
  <si>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</si>
  <si>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</si>
  <si>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</si>
  <si>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</si>
  <si>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</si>
  <si>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</si>
  <si>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</si>
  <si>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</si>
  <si>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</si>
  <si>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</si>
  <si>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</si>
  <si>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</si>
  <si>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</si>
  <si>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</si>
  <si>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</si>
  <si>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</si>
  <si>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</si>
  <si>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</si>
  <si>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</si>
  <si>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</si>
  <si>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</si>
  <si>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</si>
  <si>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</si>
  <si>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</si>
  <si>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</si>
  <si>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</si>
  <si>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</si>
  <si>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</si>
  <si>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</si>
  <si>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</si>
  <si>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</si>
  <si>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</si>
  <si>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</si>
  <si>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</si>
  <si>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</si>
  <si>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</si>
  <si>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</si>
  <si>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</si>
  <si>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</si>
  <si>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</si>
  <si>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</si>
  <si>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</si>
  <si>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</si>
  <si>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</si>
  <si>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</si>
  <si>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</si>
  <si>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</si>
  <si>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</si>
  <si>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</si>
  <si>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</si>
  <si>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</si>
  <si>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</si>
  <si>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</si>
  <si>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</si>
  <si>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</si>
  <si>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</si>
  <si>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</si>
  <si>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</si>
  <si>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</si>
  <si>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</si>
  <si>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</si>
  <si>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</si>
  <si>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</si>
  <si>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</si>
  <si>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</si>
  <si>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</si>
  <si>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</si>
  <si>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</si>
  <si>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</si>
  <si>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</si>
  <si>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</si>
  <si>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</si>
  <si>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</si>
  <si>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</si>
  <si>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</si>
  <si>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</si>
  <si>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</si>
  <si>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</si>
  <si>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</si>
  <si>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</si>
  <si>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</si>
  <si>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</si>
  <si>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</si>
  <si>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</si>
  <si>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</si>
  <si>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</si>
  <si>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</si>
  <si>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</si>
  <si>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</si>
  <si>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</si>
  <si>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</si>
  <si>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</si>
  <si>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</si>
  <si>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</si>
  <si>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</si>
  <si>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</si>
  <si>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</si>
  <si>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</si>
  <si>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</si>
  <si>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</si>
  <si>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</si>
  <si>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</si>
  <si>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</si>
  <si>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</si>
  <si>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</si>
  <si>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</si>
  <si>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</si>
  <si>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</si>
  <si>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</si>
  <si>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</si>
  <si>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</si>
  <si>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</si>
  <si>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</si>
  <si>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</si>
  <si>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</si>
  <si>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</si>
  <si>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</si>
  <si>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</si>
  <si>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</si>
  <si>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</si>
  <si>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</si>
  <si>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</si>
  <si>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</si>
  <si>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</si>
  <si>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</si>
  <si>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</si>
  <si>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</si>
  <si>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</si>
  <si>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</si>
  <si>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</si>
  <si>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</si>
  <si>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</si>
  <si>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</si>
  <si>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</si>
  <si>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</si>
  <si>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</si>
  <si>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</si>
  <si>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</si>
  <si>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</si>
  <si>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</si>
  <si>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</si>
  <si>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</si>
  <si>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</si>
  <si>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</si>
  <si>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</si>
  <si>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</si>
  <si>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</si>
  <si>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</si>
  <si>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</si>
  <si>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</si>
  <si>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</si>
  <si>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</si>
  <si>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</si>
  <si>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</si>
  <si>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</si>
  <si>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</si>
  <si>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</si>
  <si>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</si>
  <si>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</si>
  <si>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</si>
  <si>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</si>
  <si>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</si>
  <si>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</si>
  <si>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</si>
  <si>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</si>
  <si>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</si>
  <si>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</si>
  <si>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</si>
  <si>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</si>
  <si>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</si>
  <si>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</si>
  <si>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</si>
  <si>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</si>
  <si>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</si>
  <si>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</si>
  <si>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</si>
  <si>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</si>
  <si>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</si>
  <si>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</si>
  <si>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</si>
  <si>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</si>
  <si>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</si>
  <si>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</si>
  <si>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</si>
  <si>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</si>
  <si>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</si>
  <si>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</si>
  <si>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</si>
  <si>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</si>
  <si>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</si>
  <si>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</si>
  <si>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</si>
  <si>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</si>
  <si>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</si>
  <si>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</si>
  <si>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</si>
  <si>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</si>
  <si>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</si>
  <si>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</si>
  <si>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</si>
  <si>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</si>
  <si>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</si>
  <si>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</si>
  <si>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</si>
  <si>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</si>
  <si>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</si>
  <si>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</si>
  <si>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</si>
  <si>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</si>
  <si>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</si>
  <si>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</si>
  <si>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</si>
  <si>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</si>
  <si>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</si>
  <si>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</si>
  <si>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</si>
  <si>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</si>
  <si>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</si>
  <si>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</si>
  <si>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</si>
  <si>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</si>
  <si>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</si>
  <si>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</si>
  <si>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</si>
  <si>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</si>
  <si>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</si>
  <si>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</si>
  <si>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</si>
  <si>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</si>
  <si>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</si>
  <si>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</si>
  <si>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</si>
  <si>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</si>
  <si>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</si>
  <si>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</si>
  <si>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</si>
  <si>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</si>
  <si>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</si>
  <si>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</si>
  <si>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</si>
  <si>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</si>
  <si>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</si>
  <si>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</si>
  <si>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</si>
  <si>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</si>
  <si>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</si>
  <si>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</si>
  <si>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</si>
  <si>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</si>
  <si>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</si>
  <si>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</si>
  <si>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</si>
  <si>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</si>
  <si>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</si>
  <si>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</si>
  <si>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</si>
  <si>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</si>
  <si>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</si>
  <si>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</si>
  <si>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</si>
  <si>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</si>
  <si>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</si>
  <si>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</si>
  <si>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</si>
  <si>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</si>
  <si>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</si>
  <si>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</si>
  <si>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</si>
  <si>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</si>
  <si>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</si>
  <si>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</si>
  <si>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</si>
  <si>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</si>
  <si>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</si>
  <si>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</si>
  <si>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</si>
  <si>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</si>
  <si>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</si>
  <si>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</si>
  <si>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</si>
  <si>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</si>
  <si>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</si>
  <si>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</si>
  <si>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</si>
  <si>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</si>
  <si>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</si>
  <si>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</si>
  <si>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</si>
  <si>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</si>
  <si>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</si>
  <si>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</si>
  <si>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</si>
  <si>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</si>
  <si>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</si>
  <si>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</si>
  <si>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</si>
  <si>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</si>
  <si>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</si>
  <si>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</si>
  <si>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</si>
  <si>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</si>
  <si>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</si>
  <si>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</si>
  <si>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</si>
  <si>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</si>
  <si>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</si>
  <si>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</si>
  <si>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</si>
  <si>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</si>
  <si>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</si>
  <si>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</si>
  <si>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</si>
  <si>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</si>
  <si>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</si>
  <si>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</si>
  <si>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</si>
  <si>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</si>
  <si>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</si>
  <si>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</si>
  <si>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</si>
  <si>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</si>
  <si>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</si>
  <si>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</si>
  <si>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</si>
  <si>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</si>
  <si>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</si>
  <si>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</si>
  <si>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</si>
  <si>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</si>
  <si>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</si>
  <si>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</si>
  <si>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</si>
  <si>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</si>
  <si>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</si>
  <si>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</si>
  <si>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</si>
  <si>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</si>
  <si>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</si>
  <si>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</si>
  <si>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</si>
  <si>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</si>
  <si>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</si>
  <si>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</si>
  <si>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</si>
  <si>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</si>
  <si>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</si>
  <si>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</si>
  <si>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</si>
  <si>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</si>
  <si>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</si>
  <si>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</si>
  <si>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</si>
  <si>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</si>
  <si>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</si>
  <si>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</si>
  <si>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</si>
  <si>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</si>
  <si>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</si>
  <si>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</si>
  <si>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</si>
  <si>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</si>
  <si>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</si>
  <si>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</si>
  <si>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</si>
  <si>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</si>
  <si>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</si>
  <si>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</si>
  <si>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</si>
  <si>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</si>
  <si>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</si>
  <si>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</si>
  <si>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</si>
  <si>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</si>
  <si>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</si>
  <si>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</si>
  <si>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</si>
  <si>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</si>
  <si>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</si>
  <si>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</si>
  <si>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</si>
  <si>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</si>
  <si>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</si>
  <si>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</si>
  <si>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</si>
  <si>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</si>
  <si>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</si>
  <si>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</si>
  <si>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</si>
  <si>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</si>
  <si>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</si>
  <si>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</si>
  <si>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</si>
  <si>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</si>
  <si>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</si>
  <si>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</si>
  <si>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</si>
  <si>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</si>
  <si>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</si>
  <si>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</si>
  <si>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</si>
  <si>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</si>
  <si>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</si>
  <si>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</si>
  <si>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</si>
  <si>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</si>
  <si>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</si>
  <si>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</si>
  <si>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</si>
  <si>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</si>
  <si>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</si>
  <si>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</si>
  <si>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</si>
  <si>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</si>
  <si>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</si>
  <si>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</si>
  <si>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</si>
  <si>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</si>
  <si>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</si>
  <si>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</si>
  <si>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</si>
  <si>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</si>
  <si>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</si>
  <si>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</si>
  <si>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</si>
  <si>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</si>
  <si>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</si>
  <si>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</si>
  <si>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</si>
  <si>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</si>
  <si>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</si>
  <si>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</si>
  <si>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</si>
  <si>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</si>
  <si>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</si>
  <si>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</si>
  <si>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</si>
  <si>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</si>
  <si>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</si>
  <si>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</si>
  <si>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</si>
  <si>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</si>
  <si>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</si>
  <si>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</si>
  <si>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</si>
  <si>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</si>
  <si>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</si>
  <si>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</si>
  <si>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</si>
  <si>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</si>
  <si>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</si>
  <si>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</si>
  <si>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</si>
  <si>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</si>
  <si>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</si>
  <si>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</si>
  <si>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</si>
  <si>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</si>
  <si>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</si>
  <si>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</si>
  <si>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</si>
  <si>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</si>
  <si>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</si>
  <si>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</si>
  <si>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</si>
  <si>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</si>
  <si>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</si>
  <si>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</si>
  <si>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</si>
  <si>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</si>
  <si>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</si>
  <si>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</si>
  <si>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</si>
  <si>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</si>
  <si>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</si>
  <si>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</si>
  <si>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</si>
  <si>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</si>
  <si>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</si>
  <si>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</si>
  <si>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</si>
  <si>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</si>
  <si>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</si>
  <si>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</si>
  <si>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</si>
  <si>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</si>
  <si>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</si>
  <si>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</si>
  <si>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</si>
  <si>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</si>
  <si>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</si>
  <si>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</si>
  <si>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</si>
  <si>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</si>
  <si>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</si>
  <si>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</si>
  <si>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</si>
  <si>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</si>
  <si>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</si>
  <si>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</si>
  <si>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</si>
  <si>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</si>
  <si>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</si>
  <si>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</si>
  <si>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</si>
  <si>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</si>
  <si>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</si>
  <si>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</si>
  <si>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</si>
  <si>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</si>
  <si>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</si>
  <si>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</si>
  <si>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</si>
  <si>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</si>
  <si>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</si>
  <si>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</si>
  <si>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</si>
  <si>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</si>
  <si>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</si>
  <si>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</si>
  <si>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</si>
  <si>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</si>
  <si>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</si>
  <si>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</si>
  <si>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</si>
  <si>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</si>
  <si>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</si>
  <si>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</si>
  <si>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</si>
  <si>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</si>
  <si>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</si>
  <si>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</si>
  <si>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</si>
  <si>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</si>
  <si>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</si>
  <si>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</si>
  <si>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</si>
  <si>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</si>
  <si>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</si>
  <si>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</si>
  <si>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</si>
  <si>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</si>
  <si>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</si>
  <si>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</si>
  <si>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</si>
  <si>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</si>
  <si>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</si>
  <si>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</si>
  <si>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</si>
  <si>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</si>
  <si>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</si>
  <si>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</si>
  <si>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</si>
  <si>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</si>
  <si>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</si>
  <si>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</si>
  <si>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</si>
  <si>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</si>
  <si>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</si>
  <si>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</si>
  <si>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</si>
  <si>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</si>
  <si>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</si>
  <si>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</si>
  <si>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</si>
  <si>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</si>
  <si>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</si>
  <si>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</si>
  <si>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</si>
  <si>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</si>
  <si>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</si>
  <si>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</si>
  <si>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</si>
  <si>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</si>
  <si>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</si>
  <si>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</si>
  <si>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</si>
  <si>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</si>
  <si>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</si>
  <si>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</si>
  <si>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</si>
  <si>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</si>
  <si>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</si>
  <si>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</si>
  <si>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</si>
  <si>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</si>
  <si>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</si>
  <si>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</si>
  <si>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</si>
  <si>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</si>
  <si>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</si>
  <si>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</si>
  <si>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</si>
  <si>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</si>
  <si>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</si>
  <si>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</si>
  <si>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</si>
  <si>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</si>
  <si>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</si>
  <si>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</si>
  <si>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</si>
  <si>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</si>
  <si>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</si>
  <si>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</si>
  <si>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</si>
  <si>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</si>
  <si>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</si>
  <si>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</si>
  <si>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</si>
  <si>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</si>
  <si>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</si>
  <si>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</si>
  <si>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</si>
  <si>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</si>
  <si>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</si>
  <si>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</si>
  <si>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</si>
  <si>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</si>
  <si>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</si>
  <si>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</si>
  <si>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</si>
  <si>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</si>
  <si>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</si>
  <si>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</si>
  <si>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</si>
  <si>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</si>
  <si>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</si>
  <si>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</si>
  <si>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</si>
  <si>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</si>
  <si>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</si>
  <si>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</si>
  <si>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</si>
  <si>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</si>
  <si>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</si>
  <si>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</si>
  <si>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</si>
  <si>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</si>
  <si>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</si>
  <si>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</si>
  <si>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</si>
  <si>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</si>
  <si>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</si>
  <si>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</si>
  <si>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</si>
  <si>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</si>
  <si>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</si>
  <si>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</si>
  <si>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</si>
  <si>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</si>
  <si>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</si>
  <si>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</si>
  <si>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</si>
  <si>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</si>
  <si>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</si>
  <si>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</si>
  <si>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</si>
  <si>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</si>
  <si>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</si>
  <si>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</si>
  <si>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</si>
  <si>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</si>
  <si>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</si>
  <si>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</si>
  <si>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</si>
  <si>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</si>
  <si>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</si>
  <si>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</si>
  <si>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</si>
  <si>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</si>
  <si>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</si>
  <si>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</si>
  <si>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</si>
  <si>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</si>
  <si>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</si>
  <si>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</si>
  <si>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</si>
  <si>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</si>
  <si>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</si>
  <si>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</si>
  <si>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</si>
  <si>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</si>
  <si>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</si>
  <si>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</si>
  <si>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</si>
  <si>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</si>
  <si>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</si>
  <si>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</si>
  <si>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</si>
  <si>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</si>
  <si>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</si>
  <si>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</si>
  <si>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</si>
  <si>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</si>
  <si>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</si>
  <si>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</si>
  <si>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</si>
  <si>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</si>
  <si>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</si>
  <si>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</si>
  <si>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</si>
  <si>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</si>
  <si>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</si>
  <si>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</si>
  <si>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</si>
  <si>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</si>
  <si>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</si>
  <si>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</si>
  <si>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</si>
  <si>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</si>
  <si>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</si>
  <si>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</si>
  <si>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</si>
  <si>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</si>
  <si>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</si>
  <si>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</si>
  <si>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</si>
  <si>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</si>
  <si>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</si>
  <si>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</si>
  <si>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</si>
  <si>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</si>
  <si>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</si>
  <si>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</si>
  <si>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</si>
  <si>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</si>
  <si>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</si>
  <si>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</si>
  <si>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</si>
  <si>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</si>
  <si>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</si>
  <si>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</si>
  <si>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</si>
  <si>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</si>
  <si>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</si>
  <si>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</si>
  <si>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</si>
  <si>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</si>
  <si>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</si>
  <si>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</si>
  <si>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</si>
  <si>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</si>
  <si>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</si>
  <si>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</si>
  <si>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</si>
  <si>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</si>
  <si>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</si>
  <si>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</si>
  <si>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</si>
  <si>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</si>
  <si>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</si>
  <si>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</si>
  <si>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</si>
  <si>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</si>
  <si>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</si>
  <si>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</si>
  <si>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</si>
  <si>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</si>
  <si>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</si>
  <si>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</si>
  <si>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</si>
  <si>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</si>
  <si>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</si>
  <si>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</si>
  <si>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</si>
  <si>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</si>
  <si>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</si>
  <si>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</si>
  <si>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</si>
  <si>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</si>
  <si>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</si>
  <si>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</si>
  <si>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</si>
  <si>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</si>
  <si>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</si>
  <si>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</si>
  <si>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</si>
  <si>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</si>
  <si>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</si>
  <si>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</si>
  <si>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</si>
  <si>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</si>
  <si>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</si>
  <si>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</si>
  <si>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</si>
  <si>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</si>
  <si>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</si>
  <si>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</si>
  <si>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</si>
  <si>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</si>
  <si>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</si>
  <si>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</si>
  <si>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</si>
  <si>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</si>
  <si>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</si>
  <si>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</si>
  <si>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</si>
  <si>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</si>
  <si>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</si>
  <si>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</si>
  <si>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</si>
  <si>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</si>
  <si>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</si>
  <si>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</si>
  <si>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</si>
  <si>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</si>
  <si>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</si>
  <si>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</si>
  <si>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</si>
  <si>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</si>
  <si>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</si>
  <si>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</si>
  <si>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</si>
  <si>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</si>
  <si>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</si>
  <si>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</si>
  <si>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</si>
  <si>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</si>
  <si>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</si>
  <si>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</si>
  <si>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</si>
  <si>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</si>
  <si>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</si>
  <si>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</si>
  <si>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</si>
  <si>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</si>
  <si>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</si>
  <si>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</si>
  <si>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</si>
  <si>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</si>
  <si>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</si>
  <si>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</si>
  <si>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</si>
  <si>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</si>
  <si>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</si>
  <si>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</si>
  <si>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</si>
  <si>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</si>
  <si>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</si>
  <si>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</si>
  <si>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</si>
  <si>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</si>
  <si>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</si>
  <si>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</si>
  <si>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</si>
  <si>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</si>
  <si>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</si>
  <si>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</si>
  <si>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</si>
  <si>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</si>
  <si>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</si>
  <si>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</si>
  <si>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</si>
  <si>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</si>
  <si>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</si>
  <si>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</si>
  <si>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</si>
  <si>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</si>
  <si>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</si>
  <si>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</si>
  <si>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</si>
  <si>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</si>
  <si>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</si>
  <si>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</si>
  <si>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</si>
  <si>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</si>
  <si>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</si>
  <si>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</si>
  <si>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</si>
  <si>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</si>
  <si>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</si>
  <si>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</si>
  <si>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</si>
  <si>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</si>
  <si>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</si>
  <si>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</si>
  <si>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</si>
  <si>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</si>
  <si>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</si>
  <si>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</si>
  <si>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</si>
  <si>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</si>
  <si>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</si>
  <si>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</si>
  <si>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</si>
  <si>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</si>
  <si>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</si>
  <si>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</si>
  <si>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</si>
  <si>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</si>
  <si>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</si>
  <si>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</si>
  <si>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</si>
  <si>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</si>
  <si>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</si>
  <si>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</si>
  <si>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</si>
  <si>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</si>
  <si>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</si>
  <si>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</si>
  <si>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</si>
  <si>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</si>
  <si>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</si>
  <si>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</si>
  <si>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</si>
  <si>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</si>
  <si>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</si>
  <si>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</si>
  <si>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</si>
  <si>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</si>
  <si>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</si>
  <si>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</si>
  <si>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</si>
  <si>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</si>
  <si>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</si>
  <si>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</si>
  <si>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</si>
  <si>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</si>
  <si>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</si>
  <si>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</si>
  <si>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</si>
  <si>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</si>
  <si>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</si>
  <si>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</si>
  <si>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</si>
  <si>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</si>
  <si>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</si>
  <si>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</si>
  <si>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</si>
  <si>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</si>
  <si>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</si>
  <si>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</si>
  <si>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</si>
  <si>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</si>
  <si>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</si>
  <si>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</si>
  <si>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</si>
  <si>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</si>
  <si>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</si>
  <si>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</si>
  <si>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</si>
  <si>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</si>
  <si>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</si>
  <si>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</si>
  <si>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</si>
  <si>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</si>
  <si>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</si>
  <si>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</si>
  <si>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</si>
  <si>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</si>
  <si>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</si>
  <si>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</si>
  <si>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</si>
  <si>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</si>
  <si>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</si>
  <si>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</si>
  <si>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</si>
  <si>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</si>
  <si>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</si>
  <si>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</si>
  <si>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</si>
  <si>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</si>
  <si>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</si>
  <si>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</si>
  <si>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</si>
  <si>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</si>
  <si>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</si>
  <si>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</si>
  <si>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</si>
  <si>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</si>
  <si>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</si>
  <si>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</si>
  <si>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</si>
  <si>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</si>
  <si>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</si>
  <si>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</si>
  <si>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</si>
  <si>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</si>
  <si>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</si>
  <si>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</si>
  <si>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</si>
  <si>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</si>
  <si>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</si>
  <si>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</si>
  <si>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</si>
  <si>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</si>
  <si>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</si>
  <si>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</si>
  <si>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</si>
  <si>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</si>
  <si>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</si>
  <si>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</si>
  <si>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</si>
  <si>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</si>
  <si>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</si>
  <si>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</si>
  <si>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</si>
  <si>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</si>
  <si>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</si>
  <si>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</si>
  <si>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</si>
  <si>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</si>
  <si>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</si>
  <si>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</si>
  <si>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</si>
  <si>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</si>
  <si>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</si>
  <si>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</si>
  <si>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</si>
  <si>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</si>
  <si>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</si>
  <si>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</si>
  <si>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</si>
  <si>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</si>
  <si>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</si>
  <si>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</si>
  <si>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</si>
  <si>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</si>
  <si>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</si>
  <si>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</si>
  <si>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</si>
  <si>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</si>
  <si>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</si>
  <si>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</si>
  <si>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</si>
  <si>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</si>
  <si>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</si>
  <si>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</si>
  <si>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</si>
  <si>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</si>
  <si>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</si>
  <si>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</si>
  <si>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</si>
  <si>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</si>
  <si>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</si>
  <si>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</si>
  <si>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</si>
  <si>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</si>
  <si>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</si>
  <si>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</si>
  <si>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</si>
  <si>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</si>
  <si>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</si>
  <si>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</si>
  <si>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</si>
  <si>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</si>
  <si>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</si>
  <si>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</si>
  <si>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</si>
  <si>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</si>
  <si>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</si>
  <si>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</si>
  <si>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</si>
  <si>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</si>
  <si>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</si>
  <si>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</si>
  <si>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</si>
  <si>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</si>
  <si>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</si>
  <si>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</si>
  <si>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</si>
  <si>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</si>
  <si>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</si>
  <si>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</si>
  <si>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</si>
  <si>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</si>
  <si>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</si>
  <si>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</si>
  <si>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</si>
  <si>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</si>
  <si>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</si>
  <si>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</si>
  <si>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</si>
  <si>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</si>
  <si>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</si>
  <si>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</si>
  <si>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</si>
  <si>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</si>
  <si>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</si>
  <si>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</si>
  <si>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</si>
  <si>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</si>
  <si>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</si>
  <si>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</si>
  <si>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</si>
  <si>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</si>
  <si>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</si>
  <si>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</si>
  <si>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</si>
  <si>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</si>
  <si>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</si>
  <si>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</si>
  <si>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</si>
  <si>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</si>
  <si>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</si>
  <si>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</si>
  <si>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</si>
  <si>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</si>
  <si>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</si>
  <si>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</si>
  <si>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</si>
  <si>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</si>
  <si>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</si>
  <si>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</si>
  <si>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</si>
  <si>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</si>
  <si>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</si>
  <si>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</si>
  <si>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</si>
  <si>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</si>
  <si>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</si>
  <si>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</si>
  <si>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</si>
  <si>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</si>
  <si>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</si>
  <si>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</si>
  <si>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</si>
  <si>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</si>
  <si>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</si>
  <si>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</si>
  <si>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</si>
  <si>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</si>
  <si>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</si>
  <si>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</si>
  <si>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</si>
  <si>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</si>
  <si>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</si>
  <si>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</si>
  <si>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</si>
  <si>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</si>
  <si>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</si>
  <si>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</si>
  <si>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</si>
  <si>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</si>
  <si>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</si>
  <si>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</si>
  <si>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</si>
  <si>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</si>
  <si>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</si>
  <si>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</si>
  <si>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</si>
  <si>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</si>
  <si>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</si>
  <si>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</si>
  <si>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</si>
  <si>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</si>
  <si>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</si>
  <si>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</si>
  <si>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</si>
  <si>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</si>
  <si>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</si>
  <si>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</si>
  <si>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</si>
  <si>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</si>
  <si>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</si>
  <si>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</si>
  <si>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</si>
  <si>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</si>
  <si>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</si>
  <si>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</si>
  <si>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</si>
  <si>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</si>
  <si>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</si>
  <si>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</si>
  <si>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</si>
  <si>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</si>
  <si>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</si>
  <si>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</si>
  <si>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</si>
  <si>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</si>
  <si>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</si>
  <si>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</si>
  <si>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</si>
  <si>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</si>
  <si>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</si>
  <si>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</si>
  <si>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</si>
  <si>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</si>
  <si>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</si>
  <si>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</si>
  <si>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</si>
  <si>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</si>
  <si>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</si>
  <si>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</si>
  <si>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</si>
  <si>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</si>
  <si>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</si>
  <si>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</si>
  <si>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</si>
  <si>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</si>
  <si>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</si>
  <si>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</si>
  <si>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</si>
  <si>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</si>
  <si>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</si>
  <si>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</si>
  <si>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</si>
  <si>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</si>
  <si>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</si>
  <si>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</si>
  <si>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</si>
  <si>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</si>
  <si>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</si>
  <si>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</si>
  <si>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</si>
  <si>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</si>
  <si>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</si>
  <si>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</si>
  <si>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</si>
  <si>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</si>
  <si>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</si>
  <si>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</si>
  <si>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</si>
  <si>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</si>
  <si>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</si>
  <si>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</si>
  <si>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</si>
  <si>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</si>
  <si>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</si>
  <si>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</si>
  <si>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</si>
  <si>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</si>
  <si>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</si>
  <si>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</si>
  <si>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</si>
  <si>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</si>
  <si>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</si>
  <si>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</si>
  <si>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</si>
  <si>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</si>
  <si>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</si>
  <si>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</si>
  <si>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</si>
  <si>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</si>
  <si>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</si>
  <si>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</si>
  <si>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</si>
  <si>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</si>
  <si>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</si>
  <si>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</si>
  <si>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</si>
  <si>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</si>
  <si>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</si>
  <si>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</si>
  <si>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</si>
  <si>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</si>
  <si>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</si>
  <si>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</si>
  <si>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</si>
  <si>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</si>
  <si>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</si>
  <si>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</si>
  <si>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</si>
  <si>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</si>
  <si>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</si>
  <si>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</si>
  <si>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</si>
  <si>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</si>
  <si>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</si>
  <si>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</si>
  <si>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</si>
  <si>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</si>
  <si>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</si>
  <si>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</si>
  <si>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</si>
  <si>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</si>
  <si>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</si>
  <si>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</si>
  <si>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</si>
  <si>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</si>
  <si>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</si>
  <si>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</si>
  <si>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</si>
  <si>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</si>
  <si>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</si>
  <si>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</si>
  <si>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</si>
  <si>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</si>
  <si>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</si>
  <si>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</si>
  <si>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</si>
  <si>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</si>
  <si>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</si>
  <si>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</si>
  <si>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</si>
  <si>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</si>
  <si>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</si>
  <si>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</si>
  <si>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</si>
  <si>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</si>
  <si>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</si>
  <si>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</si>
  <si>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</si>
  <si>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</si>
  <si>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</si>
  <si>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</si>
  <si>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</si>
  <si>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</si>
  <si>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</si>
  <si>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</si>
  <si>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</si>
  <si>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</si>
  <si>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</si>
  <si>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</si>
  <si>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</si>
  <si>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</si>
  <si>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</si>
  <si>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</si>
  <si>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</si>
  <si>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</si>
  <si>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</si>
  <si>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</si>
  <si>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</si>
  <si>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</si>
  <si>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</si>
  <si>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</si>
  <si>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</si>
  <si>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</si>
  <si>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</si>
  <si>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</si>
  <si>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</si>
  <si>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</si>
  <si>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</si>
  <si>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</si>
  <si>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</si>
  <si>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</si>
  <si>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</si>
  <si>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</si>
  <si>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</si>
  <si>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</si>
  <si>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</si>
  <si>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</si>
  <si>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</si>
  <si>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</si>
  <si>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</si>
  <si>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</si>
  <si>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</si>
  <si>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</si>
  <si>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</si>
  <si>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</si>
  <si>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</si>
  <si>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</si>
  <si>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</si>
  <si>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</si>
  <si>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</si>
  <si>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</si>
  <si>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</si>
  <si>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</si>
  <si>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</si>
  <si>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</si>
  <si>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</si>
  <si>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</si>
  <si>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</si>
  <si>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</si>
  <si>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</si>
  <si>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</si>
  <si>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</si>
  <si>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</si>
  <si>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</si>
  <si>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</si>
  <si>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</si>
  <si>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</si>
  <si>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</si>
  <si>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</si>
  <si>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</si>
  <si>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</si>
  <si>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</si>
  <si>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</si>
  <si>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</si>
  <si>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</si>
  <si>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</si>
  <si>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</si>
  <si>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</si>
  <si>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</si>
  <si>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</si>
  <si>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</si>
  <si>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</si>
  <si>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</si>
  <si>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</si>
  <si>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</si>
  <si>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</si>
  <si>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</si>
  <si>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</si>
  <si>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</si>
  <si>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</si>
  <si>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</si>
  <si>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</si>
  <si>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</si>
  <si>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</si>
  <si>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</si>
  <si>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</si>
  <si>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</si>
  <si>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</si>
  <si>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</si>
  <si>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</si>
  <si>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</si>
  <si>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</si>
  <si>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</si>
  <si>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</si>
  <si>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</si>
  <si>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</si>
  <si>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</si>
  <si>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</si>
  <si>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</si>
  <si>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</si>
  <si>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</si>
  <si>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</si>
  <si>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</si>
  <si>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</si>
  <si>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</si>
  <si>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</si>
  <si>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</si>
  <si>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</si>
  <si>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</si>
  <si>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</si>
  <si>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</si>
  <si>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</si>
  <si>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</si>
  <si>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</si>
  <si>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</si>
  <si>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</si>
  <si>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</si>
  <si>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</si>
  <si>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</si>
  <si>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</si>
  <si>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</si>
  <si>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</si>
  <si>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</si>
  <si>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</si>
  <si>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</si>
  <si>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</si>
  <si>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</si>
  <si>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</si>
  <si>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</si>
  <si>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</si>
  <si>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</si>
  <si>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</si>
  <si>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</si>
  <si>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</si>
  <si>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</si>
  <si>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</si>
  <si>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</si>
  <si>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</si>
  <si>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</si>
  <si>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</si>
  <si>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</si>
  <si>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</si>
  <si>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</si>
  <si>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</si>
  <si>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</si>
  <si>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</si>
  <si>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</si>
  <si>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</si>
  <si>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</si>
  <si>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</si>
  <si>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</si>
  <si>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</si>
  <si>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</si>
  <si>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</si>
  <si>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</si>
  <si>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</si>
  <si>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</si>
  <si>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</si>
  <si>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</si>
  <si>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</si>
  <si>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</si>
  <si>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</si>
  <si>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</si>
  <si>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</si>
  <si>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</si>
  <si>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</si>
  <si>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</si>
  <si>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</si>
  <si>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</si>
  <si>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</si>
  <si>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</si>
  <si>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</si>
  <si>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</si>
  <si>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</si>
  <si>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</si>
  <si>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</si>
  <si>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</si>
  <si>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</si>
  <si>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</si>
  <si>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</si>
  <si>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</si>
  <si>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</si>
  <si>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</si>
  <si>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</si>
  <si>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</si>
  <si>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</si>
  <si>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</si>
  <si>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</si>
  <si>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</si>
  <si>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</si>
  <si>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</si>
  <si>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</si>
  <si>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</si>
  <si>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</si>
  <si>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</si>
  <si>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</si>
  <si>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</si>
  <si>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</si>
  <si>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</si>
  <si>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</si>
  <si>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</si>
  <si>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</si>
  <si>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</si>
  <si>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</si>
  <si>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</si>
  <si>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</si>
  <si>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</si>
  <si>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</si>
  <si>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</si>
  <si>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</si>
  <si>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</si>
  <si>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</si>
  <si>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</si>
  <si>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</si>
  <si>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</si>
  <si>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</si>
  <si>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</si>
  <si>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</si>
  <si>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</si>
  <si>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</si>
  <si>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</si>
  <si>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</si>
  <si>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</si>
  <si>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</si>
  <si>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</si>
  <si>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</si>
  <si>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</si>
  <si>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</si>
  <si>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</si>
  <si>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</si>
  <si>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</si>
  <si>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</si>
  <si>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</si>
  <si>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</si>
  <si>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</si>
  <si>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</si>
  <si>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</si>
  <si>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</si>
  <si>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</si>
  <si>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</si>
  <si>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</si>
  <si>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</si>
  <si>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</si>
  <si>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</si>
  <si>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</si>
  <si>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</si>
  <si>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</si>
  <si>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</si>
  <si>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</si>
  <si>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</si>
  <si>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</si>
  <si>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</si>
  <si>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</si>
  <si>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</si>
  <si>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</si>
  <si>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</si>
  <si>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</si>
  <si>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</si>
  <si>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</si>
  <si>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</si>
  <si>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</si>
  <si>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</si>
  <si>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</si>
  <si>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</si>
  <si>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</si>
  <si>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</si>
  <si>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</si>
  <si>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</si>
  <si>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</si>
  <si>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</si>
  <si>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</si>
  <si>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</si>
  <si>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</si>
  <si>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</si>
  <si>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</si>
  <si>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</si>
  <si>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</si>
  <si>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</si>
  <si>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</si>
  <si>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</si>
  <si>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</si>
  <si>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</si>
  <si>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</si>
  <si>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</si>
  <si>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</si>
  <si>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</si>
  <si>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</si>
  <si>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</si>
  <si>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</si>
  <si>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</si>
  <si>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</si>
  <si>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</si>
  <si>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</si>
  <si>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</si>
  <si>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</si>
  <si>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</si>
  <si>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</si>
  <si>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</si>
  <si>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</si>
  <si>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</si>
  <si>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</si>
  <si>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</si>
  <si>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</si>
  <si>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</si>
  <si>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</si>
  <si>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</si>
  <si>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</si>
  <si>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</si>
  <si>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</si>
  <si>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</si>
  <si>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</si>
  <si>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</si>
  <si>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</si>
  <si>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</si>
  <si>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</si>
  <si>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</si>
  <si>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</si>
  <si>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</si>
  <si>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</si>
  <si>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</si>
  <si>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</si>
  <si>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</si>
  <si>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</si>
  <si>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</si>
  <si>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</si>
  <si>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</si>
  <si>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</si>
  <si>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</si>
  <si>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</si>
  <si>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</si>
  <si>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</si>
  <si>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</si>
  <si>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</si>
  <si>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</si>
  <si>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</si>
  <si>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</si>
  <si>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</si>
  <si>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</si>
  <si>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</si>
  <si>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</si>
  <si>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</si>
  <si>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</si>
  <si>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</si>
  <si>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</si>
  <si>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</si>
  <si>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</si>
  <si>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</si>
  <si>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</si>
  <si>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</si>
  <si>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</si>
  <si>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</si>
  <si>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</si>
  <si>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</si>
  <si>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</si>
  <si>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</si>
  <si>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</si>
  <si>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</si>
  <si>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</si>
  <si>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</si>
  <si>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</si>
  <si>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</si>
  <si>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</si>
  <si>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</si>
  <si>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</si>
  <si>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</si>
  <si>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</si>
  <si>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</si>
  <si>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</si>
  <si>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</si>
  <si>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</si>
  <si>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</si>
  <si>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</si>
  <si>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</si>
  <si>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</si>
  <si>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</si>
  <si>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</si>
  <si>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</si>
  <si>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</si>
  <si>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</si>
  <si>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</si>
  <si>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</si>
  <si>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</si>
  <si>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</si>
  <si>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</si>
  <si>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</si>
  <si>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</si>
  <si>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</si>
  <si>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</si>
  <si>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</si>
  <si>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</si>
  <si>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</si>
  <si>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</si>
  <si>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</si>
  <si>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</si>
  <si>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</si>
  <si>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</si>
  <si>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</si>
  <si>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</si>
  <si>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</si>
  <si>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</si>
  <si>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</si>
  <si>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</si>
  <si>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</si>
  <si>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</si>
  <si>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</si>
  <si>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</si>
  <si>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</si>
  <si>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</si>
  <si>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</si>
  <si>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</si>
  <si>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</si>
  <si>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</si>
  <si>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</si>
  <si>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</si>
  <si>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</si>
  <si>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</si>
  <si>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</si>
  <si>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</si>
  <si>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</si>
  <si>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</si>
  <si>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</si>
  <si>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</si>
  <si>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</si>
  <si>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</si>
  <si>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</si>
  <si>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</si>
  <si>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</si>
  <si>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</si>
  <si>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</si>
  <si>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</si>
  <si>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</si>
  <si>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</si>
  <si>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</si>
  <si>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</si>
  <si>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</si>
  <si>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</si>
  <si>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</si>
  <si>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</si>
  <si>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</si>
  <si>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</si>
  <si>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</si>
  <si>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</si>
  <si>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</si>
  <si>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</si>
  <si>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</si>
  <si>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</si>
  <si>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</si>
  <si>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</si>
  <si>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</si>
  <si>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</si>
  <si>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</si>
  <si>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</si>
  <si>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</si>
  <si>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</si>
  <si>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</si>
  <si>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</si>
  <si>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</si>
  <si>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</si>
  <si>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</si>
  <si>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</si>
  <si>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</si>
  <si>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</si>
  <si>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</si>
  <si>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</si>
  <si>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</si>
  <si>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</si>
  <si>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</si>
  <si>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</si>
  <si>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</si>
  <si>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</si>
  <si>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</si>
  <si>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</si>
  <si>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</si>
  <si>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</si>
  <si>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</si>
  <si>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</si>
  <si>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</si>
  <si>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</si>
  <si>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</si>
  <si>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</si>
  <si>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</si>
  <si>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</si>
  <si>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</si>
  <si>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</si>
  <si>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</si>
  <si>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</si>
  <si>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</si>
  <si>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</si>
  <si>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</si>
  <si>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</si>
  <si>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</si>
  <si>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</si>
  <si>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</si>
  <si>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</si>
  <si>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</si>
  <si>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</si>
  <si>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</si>
  <si>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</si>
  <si>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</si>
  <si>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</si>
  <si>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</si>
  <si>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</si>
  <si>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</si>
  <si>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</si>
  <si>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</si>
  <si>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</si>
  <si>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</si>
  <si>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</si>
  <si>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</si>
  <si>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</si>
  <si>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</si>
  <si>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</si>
  <si>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</si>
  <si>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</si>
  <si>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</si>
  <si>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</si>
  <si>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</si>
  <si>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</si>
  <si>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</si>
  <si>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</si>
  <si>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</si>
  <si>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</si>
  <si>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</si>
  <si>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</si>
  <si>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</si>
  <si>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</si>
  <si>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</si>
  <si>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</si>
  <si>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</si>
  <si>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</si>
  <si>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</si>
  <si>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</si>
  <si>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</si>
  <si>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</si>
  <si>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</si>
  <si>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</si>
  <si>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</si>
  <si>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</si>
  <si>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</si>
  <si>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</si>
  <si>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</si>
  <si>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</si>
  <si>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</si>
  <si>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</si>
  <si>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</si>
  <si>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</si>
  <si>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</si>
  <si>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</si>
  <si>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</si>
  <si>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</si>
  <si>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</si>
  <si>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</si>
  <si>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</si>
  <si>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</si>
  <si>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</si>
  <si>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</si>
  <si>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</si>
  <si>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</si>
  <si>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</si>
  <si>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</si>
  <si>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</si>
  <si>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</si>
  <si>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</si>
  <si>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</si>
  <si>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</si>
  <si>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</si>
  <si>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</si>
  <si>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</si>
  <si>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</si>
  <si>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</si>
  <si>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</si>
  <si>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</si>
  <si>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</si>
  <si>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</si>
  <si>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</si>
  <si>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</si>
  <si>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</si>
  <si>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</si>
  <si>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</si>
  <si>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</si>
  <si>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</si>
  <si>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</si>
  <si>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</si>
  <si>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</si>
  <si>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</si>
  <si>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</si>
  <si>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</si>
  <si>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</si>
  <si>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</si>
  <si>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</si>
  <si>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</si>
  <si>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</si>
  <si>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</si>
  <si>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</si>
  <si>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</si>
  <si>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</si>
  <si>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</si>
  <si>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</si>
  <si>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</si>
  <si>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</si>
  <si>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</si>
  <si>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</si>
  <si>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</si>
  <si>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</si>
  <si>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</si>
  <si>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</si>
  <si>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</si>
  <si>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</si>
  <si>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</si>
  <si>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</si>
  <si>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</si>
  <si>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</si>
  <si>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</si>
  <si>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</si>
  <si>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</si>
  <si>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</si>
  <si>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</si>
  <si>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</si>
  <si>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</si>
  <si>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</si>
  <si>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</si>
  <si>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</si>
  <si>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</si>
  <si>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</si>
  <si>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</si>
  <si>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</si>
  <si>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</si>
  <si>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</si>
  <si>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</si>
  <si>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</si>
  <si>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</si>
  <si>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</si>
  <si>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</si>
  <si>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</si>
  <si>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</si>
  <si>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</si>
  <si>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</si>
  <si>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</si>
  <si>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</si>
  <si>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</si>
  <si>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</si>
  <si>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</si>
  <si>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</si>
  <si>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</si>
  <si>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</si>
  <si>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</si>
  <si>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</si>
  <si>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</si>
  <si>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</si>
  <si>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</si>
  <si>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</si>
  <si>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</si>
  <si>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</si>
  <si>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</si>
  <si>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</si>
  <si>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</si>
  <si>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</si>
  <si>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</si>
  <si>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</si>
  <si>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</si>
  <si>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</si>
  <si>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</si>
  <si>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</si>
  <si>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</si>
  <si>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</si>
  <si>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</si>
  <si>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</si>
  <si>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</si>
  <si>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</si>
  <si>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</si>
  <si>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</si>
  <si>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</si>
  <si>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</si>
  <si>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</si>
  <si>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</si>
  <si>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</si>
  <si>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</si>
  <si>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</si>
  <si>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</si>
  <si>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</si>
  <si>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</si>
  <si>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</si>
  <si>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</si>
  <si>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</si>
  <si>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</si>
  <si>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</si>
  <si>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</si>
  <si>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</si>
  <si>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</si>
  <si>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</si>
  <si>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</si>
  <si>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</si>
  <si>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</si>
  <si>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</si>
  <si>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</si>
  <si>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</si>
  <si>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</si>
  <si>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</si>
  <si>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</si>
  <si>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</si>
  <si>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</si>
  <si>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</si>
  <si>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</si>
  <si>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</si>
  <si>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</si>
  <si>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</si>
  <si>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</si>
  <si>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</si>
  <si>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</si>
  <si>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</si>
  <si>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</si>
  <si>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</si>
  <si>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</si>
  <si>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</si>
  <si>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</si>
  <si>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</si>
  <si>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</si>
  <si>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</si>
  <si>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</si>
  <si>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</si>
  <si>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</si>
  <si>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</si>
  <si>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</si>
  <si>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</si>
  <si>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</si>
  <si>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</si>
  <si>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</si>
  <si>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</si>
  <si>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</si>
  <si>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</si>
  <si>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</si>
  <si>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</si>
  <si>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</si>
  <si>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</si>
  <si>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</si>
  <si>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</si>
  <si>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</si>
  <si>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</si>
  <si>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</si>
  <si>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</si>
  <si>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</si>
  <si>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</si>
  <si>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</si>
  <si>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</si>
  <si>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</si>
  <si>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</si>
  <si>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</si>
  <si>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</si>
  <si>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</si>
  <si>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</si>
  <si>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</si>
  <si>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</si>
  <si>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</si>
  <si>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</si>
  <si>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</si>
  <si>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</si>
  <si>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</si>
  <si>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</si>
  <si>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</si>
  <si>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</si>
  <si>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</si>
  <si>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</si>
  <si>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</si>
  <si>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</si>
  <si>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</si>
  <si>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</si>
  <si>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</si>
  <si>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</si>
  <si>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</si>
  <si>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</si>
  <si>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</si>
  <si>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</si>
  <si>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</si>
  <si>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</si>
  <si>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</si>
  <si>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</si>
  <si>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</si>
  <si>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</si>
  <si>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</si>
  <si>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</si>
  <si>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</si>
  <si>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</si>
  <si>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</si>
  <si>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</si>
  <si>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</si>
  <si>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</si>
  <si>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</si>
  <si>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</si>
  <si>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</si>
  <si>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</si>
  <si>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</si>
  <si>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</si>
  <si>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</si>
  <si>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</si>
  <si>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</si>
  <si>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</si>
  <si>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</si>
  <si>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</si>
  <si>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</si>
  <si>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</si>
  <si>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</si>
  <si>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</si>
  <si>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</si>
  <si>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</si>
  <si>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</si>
  <si>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</si>
  <si>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</si>
  <si>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</si>
  <si>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</si>
  <si>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</si>
  <si>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</si>
  <si>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</si>
  <si>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</si>
  <si>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</si>
  <si>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</si>
  <si>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</si>
  <si>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</si>
  <si>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</si>
  <si>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</si>
  <si>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</si>
  <si>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</si>
  <si>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</si>
  <si>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</si>
  <si>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</si>
  <si>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</si>
  <si>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</si>
  <si>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</si>
  <si>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</si>
  <si>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</si>
  <si>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</si>
  <si>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</si>
  <si>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</si>
  <si>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</si>
  <si>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</si>
  <si>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</si>
  <si>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</si>
  <si>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</si>
  <si>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</si>
  <si>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</si>
  <si>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</si>
  <si>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</si>
  <si>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</si>
  <si>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</si>
  <si>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</si>
  <si>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</si>
  <si>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</si>
  <si>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</si>
  <si>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</si>
  <si>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</si>
  <si>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</si>
  <si>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</si>
  <si>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</si>
  <si>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</si>
  <si>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</si>
  <si>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</si>
  <si>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</si>
  <si>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</si>
  <si>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</si>
  <si>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</si>
  <si>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</si>
  <si>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</si>
  <si>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</si>
  <si>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</si>
  <si>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</si>
  <si>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</si>
  <si>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</si>
  <si>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</si>
  <si>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</si>
  <si>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</si>
  <si>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</si>
  <si>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</si>
  <si>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</si>
  <si>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</si>
  <si>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</si>
  <si>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</si>
  <si>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</si>
  <si>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</si>
  <si>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</si>
  <si>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</si>
  <si>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</si>
  <si>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</si>
  <si>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</si>
  <si>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</si>
  <si>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</si>
  <si>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</si>
  <si>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</si>
  <si>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</si>
  <si>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</si>
  <si>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</si>
  <si>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</si>
  <si>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</si>
  <si>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</si>
  <si>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</si>
  <si>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</si>
  <si>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</si>
  <si>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</si>
  <si>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</si>
  <si>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</si>
  <si>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</si>
  <si>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</si>
  <si>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</si>
  <si>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</si>
  <si>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</si>
  <si>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</si>
  <si>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</si>
  <si>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</si>
  <si>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</si>
  <si>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</si>
  <si>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</si>
  <si>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</si>
  <si>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</si>
  <si>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</si>
  <si>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</si>
  <si>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</si>
  <si>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</si>
  <si>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</si>
  <si>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</si>
  <si>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</si>
  <si>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</si>
  <si>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</si>
  <si>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</si>
  <si>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</si>
  <si>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</si>
  <si>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</si>
  <si>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</si>
  <si>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</si>
  <si>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</si>
  <si>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</si>
  <si>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</si>
  <si>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</si>
  <si>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</si>
  <si>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</si>
  <si>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</si>
  <si>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</si>
  <si>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</si>
  <si>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</si>
  <si>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</si>
  <si>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</si>
  <si>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</si>
  <si>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</si>
  <si>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</si>
  <si>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</si>
  <si>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</si>
  <si>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</si>
  <si>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</si>
  <si>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</si>
  <si>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</si>
  <si>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</si>
  <si>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</si>
  <si>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</si>
  <si>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</si>
  <si>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</si>
  <si>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</si>
  <si>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</si>
  <si>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</si>
  <si>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</si>
  <si>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</si>
  <si>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</si>
  <si>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</si>
  <si>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</si>
  <si>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</si>
  <si>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</si>
  <si>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</si>
  <si>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</si>
  <si>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</si>
  <si>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</si>
  <si>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</si>
  <si>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</si>
  <si>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</si>
  <si>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</si>
  <si>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</si>
  <si>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</si>
  <si>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</si>
  <si>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</si>
  <si>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</si>
  <si>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</si>
  <si>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</si>
  <si>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</si>
  <si>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</si>
  <si>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</si>
  <si>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</si>
  <si>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</si>
  <si>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</si>
  <si>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</si>
  <si>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</si>
  <si>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</si>
  <si>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</si>
  <si>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</si>
  <si>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</si>
  <si>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</si>
  <si>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</si>
  <si>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</si>
  <si>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</si>
  <si>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</si>
  <si>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</si>
  <si>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</si>
  <si>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</si>
  <si>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</si>
  <si>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</si>
  <si>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</si>
  <si>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</si>
  <si>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</si>
  <si>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</si>
  <si>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</si>
  <si>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</si>
  <si>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</si>
  <si>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</si>
  <si>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</si>
  <si>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</si>
  <si>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</si>
  <si>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</si>
  <si>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</si>
  <si>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</si>
  <si>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</si>
  <si>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</si>
  <si>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</si>
  <si>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</si>
  <si>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</si>
  <si>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</si>
  <si>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</si>
  <si>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</si>
  <si>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</si>
  <si>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</si>
  <si>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</si>
  <si>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</si>
  <si>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</si>
  <si>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</si>
  <si>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</si>
  <si>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</si>
  <si>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</si>
  <si>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</si>
  <si>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</si>
  <si>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</si>
  <si>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</si>
  <si>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</si>
  <si>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</si>
  <si>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</si>
  <si>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</si>
  <si>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</si>
  <si>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</si>
  <si>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</si>
  <si>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</si>
  <si>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</si>
  <si>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</si>
  <si>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</si>
  <si>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</si>
  <si>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</si>
  <si>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</si>
  <si>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</si>
  <si>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</si>
  <si>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</si>
  <si>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</si>
  <si>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</si>
  <si>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</si>
  <si>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</si>
  <si>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</si>
  <si>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</si>
  <si>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</si>
  <si>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</si>
  <si>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</si>
  <si>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</si>
  <si>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</si>
  <si>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</si>
  <si>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</si>
  <si>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</si>
  <si>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</si>
  <si>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</si>
  <si>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</si>
  <si>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</si>
  <si>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</si>
  <si>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</si>
  <si>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</si>
  <si>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</si>
  <si>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</si>
  <si>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</si>
  <si>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</si>
  <si>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</si>
  <si>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</si>
  <si>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</si>
  <si>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</si>
  <si>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</si>
  <si>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</si>
  <si>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</si>
  <si>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</si>
  <si>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</si>
  <si>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</si>
  <si>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</si>
  <si>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</si>
  <si>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</si>
  <si>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</si>
  <si>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</si>
  <si>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</si>
  <si>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</si>
  <si>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</si>
  <si>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</si>
  <si>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</si>
  <si>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</si>
  <si>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</si>
  <si>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</si>
  <si>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</si>
  <si>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</si>
  <si>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</si>
  <si>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</si>
  <si>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</si>
  <si>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</si>
  <si>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</si>
  <si>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</si>
  <si>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</si>
  <si>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</si>
  <si>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</si>
  <si>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</si>
  <si>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</si>
  <si>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</si>
  <si>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</si>
  <si>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</si>
  <si>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</si>
  <si>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</si>
  <si>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</si>
  <si>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</si>
  <si>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</si>
  <si>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</si>
  <si>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</si>
  <si>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</si>
  <si>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</si>
  <si>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</si>
  <si>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</si>
  <si>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</si>
  <si>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</si>
  <si>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</si>
  <si>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</si>
  <si>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</si>
  <si>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</si>
  <si>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</si>
  <si>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</si>
  <si>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</si>
  <si>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</si>
  <si>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</si>
  <si>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</si>
  <si>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</si>
  <si>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</si>
  <si>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</si>
  <si>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</si>
  <si>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</si>
  <si>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</si>
  <si>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</si>
  <si>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</si>
  <si>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</si>
  <si>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</si>
  <si>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</si>
  <si>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</si>
  <si>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</si>
  <si>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</si>
  <si>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</si>
  <si>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</si>
  <si>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</si>
  <si>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</si>
  <si>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</si>
  <si>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</si>
  <si>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</si>
  <si>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</si>
  <si>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</si>
  <si>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</si>
  <si>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</si>
  <si>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</si>
  <si>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</si>
  <si>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</si>
  <si>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</si>
  <si>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</si>
  <si>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</si>
  <si>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</si>
  <si>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</si>
  <si>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</si>
  <si>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</si>
  <si>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</si>
  <si>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</si>
  <si>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</si>
  <si>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</si>
  <si>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</si>
  <si>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</si>
  <si>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</si>
  <si>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</si>
  <si>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</si>
  <si>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</si>
  <si>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</si>
  <si>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</si>
  <si>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</si>
  <si>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</si>
  <si>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</si>
  <si>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</si>
  <si>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</si>
  <si>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</si>
  <si>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</si>
  <si>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</si>
  <si>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</si>
  <si>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</si>
  <si>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</si>
  <si>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</si>
  <si>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</si>
  <si>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</si>
  <si>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</si>
  <si>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</si>
  <si>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</si>
  <si>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</si>
  <si>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</si>
  <si>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</si>
  <si>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</si>
  <si>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</si>
  <si>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</si>
  <si>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</si>
  <si>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</si>
  <si>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</si>
  <si>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</si>
  <si>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</si>
  <si>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</si>
  <si>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</si>
  <si>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</si>
  <si>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</si>
  <si>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</si>
  <si>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</si>
  <si>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</si>
  <si>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</si>
  <si>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</si>
  <si>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</si>
  <si>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</si>
  <si>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</si>
  <si>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</si>
  <si>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</si>
  <si>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</si>
  <si>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</si>
  <si>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</si>
  <si>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</si>
  <si>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</si>
  <si>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</si>
  <si>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</si>
  <si>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</si>
  <si>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</si>
  <si>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</si>
  <si>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</si>
  <si>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</si>
  <si>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</si>
  <si>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</si>
  <si>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</si>
  <si>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</si>
  <si>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</si>
  <si>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</si>
  <si>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</si>
  <si>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</si>
  <si>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</si>
  <si>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</si>
  <si>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</si>
  <si>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</si>
  <si>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</si>
  <si>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</si>
  <si>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</si>
  <si>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</si>
  <si>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</si>
  <si>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</si>
  <si>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</si>
  <si>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</si>
  <si>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</si>
  <si>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</si>
  <si>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</si>
  <si>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</si>
  <si>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</si>
  <si>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</si>
  <si>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</si>
  <si>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</si>
  <si>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</si>
  <si>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</si>
  <si>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</si>
  <si>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</si>
  <si>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</si>
  <si>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</si>
  <si>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</si>
  <si>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</si>
  <si>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</si>
  <si>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</si>
  <si>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</si>
  <si>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</si>
  <si>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</si>
  <si>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</si>
  <si>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</si>
  <si>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</si>
  <si>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</si>
  <si>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</si>
  <si>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</si>
  <si>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</si>
  <si>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</si>
  <si>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</si>
  <si>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</si>
  <si>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</si>
  <si>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</si>
  <si>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</si>
  <si>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</si>
  <si>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</si>
  <si>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</si>
  <si>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</si>
  <si>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</si>
  <si>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</si>
  <si>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</si>
  <si>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</si>
  <si>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</si>
  <si>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</si>
  <si>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</si>
  <si>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</si>
  <si>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</si>
  <si>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</si>
  <si>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</si>
  <si>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</si>
  <si>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</si>
  <si>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</si>
  <si>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</si>
  <si>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</si>
  <si>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</si>
  <si>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</si>
  <si>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</si>
  <si>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</si>
  <si>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</si>
  <si>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</si>
  <si>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</si>
  <si>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</si>
  <si>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</si>
  <si>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</si>
  <si>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</si>
  <si>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</si>
  <si>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</si>
  <si>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</si>
  <si>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</si>
  <si>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</si>
  <si>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</si>
  <si>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</si>
  <si>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</si>
  <si>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</si>
  <si>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</si>
  <si>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</si>
  <si>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</si>
  <si>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</si>
  <si>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</si>
  <si>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</si>
  <si>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</si>
  <si>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</si>
  <si>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</si>
  <si>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</si>
  <si>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</si>
  <si>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</si>
  <si>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</si>
  <si>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</si>
  <si>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</si>
  <si>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</si>
  <si>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</si>
  <si>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</si>
  <si>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</si>
  <si>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</si>
  <si>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</si>
  <si>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</si>
  <si>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</si>
  <si>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</si>
  <si>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</si>
  <si>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</si>
  <si>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</si>
  <si>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</si>
  <si>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</si>
  <si>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</si>
  <si>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</si>
  <si>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</si>
  <si>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</si>
  <si>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</si>
  <si>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</si>
  <si>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</si>
  <si>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</si>
  <si>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</si>
  <si>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</si>
  <si>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</si>
  <si>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</si>
  <si>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</si>
  <si>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</si>
  <si>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</si>
  <si>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</si>
  <si>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</si>
  <si>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</si>
  <si>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</si>
  <si>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</si>
  <si>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</si>
  <si>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</si>
  <si>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</si>
  <si>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</si>
  <si>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</si>
  <si>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</si>
  <si>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</si>
  <si>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</si>
  <si>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</si>
  <si>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</si>
  <si>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</si>
  <si>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</si>
  <si>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</si>
  <si>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</si>
  <si>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</si>
  <si>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</si>
  <si>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</si>
  <si>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</si>
  <si>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</si>
  <si>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</si>
  <si>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</si>
  <si>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</si>
  <si>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</si>
  <si>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</si>
  <si>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</si>
  <si>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</si>
  <si>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</si>
  <si>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</si>
  <si>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</si>
  <si>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</si>
  <si>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</si>
  <si>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</si>
  <si>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出让</t>
  </si>
  <si>
    <t>抵押</t>
  </si>
  <si>
    <t>房地产抵押价值</t>
  </si>
  <si>
    <t>其他：</t>
  </si>
  <si>
    <t>企业</t>
  </si>
  <si>
    <t>是</t>
  </si>
  <si>
    <t>地上</t>
  </si>
  <si>
    <t>成新度</t>
  </si>
  <si>
    <t>利息：取LPR加浮动点数</t>
  </si>
  <si>
    <t>收益法</t>
  </si>
  <si>
    <t>总价</t>
  </si>
  <si>
    <t>按租金收入计税</t>
  </si>
  <si>
    <t>钢混</t>
  </si>
  <si>
    <t>非生产用房</t>
  </si>
  <si>
    <t>否</t>
  </si>
  <si>
    <t>押一</t>
  </si>
  <si>
    <t>售价</t>
  </si>
  <si>
    <t>正常</t>
  </si>
  <si>
    <t>办公</t>
    <phoneticPr fontId="32" type="noConversion"/>
  </si>
  <si>
    <t>较好</t>
  </si>
  <si>
    <t>六通</t>
  </si>
  <si>
    <t>一般</t>
  </si>
  <si>
    <t>写字楼</t>
  </si>
  <si>
    <t>写字楼</t>
    <phoneticPr fontId="32" type="noConversion"/>
  </si>
  <si>
    <t>钢混</t>
    <phoneticPr fontId="32" type="noConversion"/>
  </si>
  <si>
    <t>精装</t>
  </si>
  <si>
    <t>精装</t>
    <phoneticPr fontId="32" type="noConversion"/>
  </si>
  <si>
    <t>甲级</t>
    <phoneticPr fontId="32" type="noConversion"/>
  </si>
  <si>
    <t>专业物业</t>
  </si>
  <si>
    <t>专业物业</t>
    <phoneticPr fontId="32" type="noConversion"/>
  </si>
  <si>
    <t>普通物业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</si>
  <si>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</si>
  <si>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</si>
  <si>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</si>
  <si>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</si>
  <si>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</si>
  <si>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普装</t>
    <phoneticPr fontId="32" type="noConversion"/>
  </si>
  <si>
    <t>简装</t>
    <phoneticPr fontId="32" type="noConversion"/>
  </si>
  <si>
    <t>毛坯</t>
  </si>
  <si>
    <t>毛坯</t>
    <phoneticPr fontId="32" type="noConversion"/>
  </si>
  <si>
    <t>财富中心</t>
    <phoneticPr fontId="3" type="noConversion"/>
  </si>
  <si>
    <t>跃层</t>
    <phoneticPr fontId="32" type="noConversion"/>
  </si>
  <si>
    <t>是</t>
    <phoneticPr fontId="32" type="noConversion"/>
  </si>
  <si>
    <t>否</t>
    <phoneticPr fontId="32" type="noConversion"/>
  </si>
  <si>
    <t>是</t>
    <phoneticPr fontId="32" type="noConversion"/>
  </si>
  <si>
    <t>40-50（含）</t>
  </si>
  <si>
    <t>高区</t>
  </si>
  <si>
    <t>高区</t>
    <phoneticPr fontId="32" type="noConversion"/>
  </si>
  <si>
    <t>中区</t>
  </si>
  <si>
    <t>中区</t>
    <phoneticPr fontId="32" type="noConversion"/>
  </si>
  <si>
    <t>低区</t>
    <phoneticPr fontId="32" type="noConversion"/>
  </si>
  <si>
    <t>信达国际办公楼</t>
    <phoneticPr fontId="3" type="noConversion"/>
  </si>
  <si>
    <t>30-40（含）</t>
  </si>
  <si>
    <t>较差</t>
  </si>
  <si>
    <t>龙湖原著天街</t>
    <phoneticPr fontId="3" type="noConversion"/>
  </si>
  <si>
    <t>2012</t>
    <phoneticPr fontId="32" type="noConversion"/>
  </si>
  <si>
    <t>房地产市场价值</t>
  </si>
  <si>
    <t>商业</t>
    <phoneticPr fontId="7" type="noConversion"/>
  </si>
  <si>
    <t>土地证号</t>
    <phoneticPr fontId="140" type="noConversion"/>
  </si>
  <si>
    <t>沈阳国用（2005）第0173号</t>
    <phoneticPr fontId="140" type="noConversion"/>
  </si>
  <si>
    <t>土地使用权人</t>
    <phoneticPr fontId="140" type="noConversion"/>
  </si>
  <si>
    <t>沈阳世达物流有限责任公司</t>
    <phoneticPr fontId="140" type="noConversion"/>
  </si>
  <si>
    <t>座落</t>
    <phoneticPr fontId="140" type="noConversion"/>
  </si>
  <si>
    <t>沈阳市东陵区长青街121号</t>
    <phoneticPr fontId="140" type="noConversion"/>
  </si>
  <si>
    <t>地类</t>
    <phoneticPr fontId="140" type="noConversion"/>
  </si>
  <si>
    <t>商业用地</t>
    <phoneticPr fontId="140" type="noConversion"/>
  </si>
  <si>
    <t>终止日期</t>
    <phoneticPr fontId="140" type="noConversion"/>
  </si>
  <si>
    <t>使用权面积</t>
    <phoneticPr fontId="140" type="noConversion"/>
  </si>
  <si>
    <t>沈阳国用（2005）第0174号</t>
  </si>
  <si>
    <t>沈阳国用（2005）第0175号</t>
  </si>
  <si>
    <t>房屋所有权证号</t>
    <phoneticPr fontId="140" type="noConversion"/>
  </si>
  <si>
    <t>沈房权证中心字第N060160283号</t>
    <phoneticPr fontId="140" type="noConversion"/>
  </si>
  <si>
    <t>房屋所有权人</t>
    <phoneticPr fontId="140" type="noConversion"/>
  </si>
  <si>
    <t>房屋坐落</t>
    <phoneticPr fontId="140" type="noConversion"/>
  </si>
  <si>
    <t>东陵区长青街121号</t>
    <phoneticPr fontId="140" type="noConversion"/>
  </si>
  <si>
    <t>规划用途</t>
    <phoneticPr fontId="140" type="noConversion"/>
  </si>
  <si>
    <t>商业</t>
    <phoneticPr fontId="140" type="noConversion"/>
  </si>
  <si>
    <t>总层数</t>
    <phoneticPr fontId="140" type="noConversion"/>
  </si>
  <si>
    <t>建筑面积</t>
    <phoneticPr fontId="140" type="noConversion"/>
  </si>
  <si>
    <r>
      <rPr>
        <sz val="11"/>
        <color indexed="8"/>
        <rFont val="宋体"/>
        <family val="3"/>
        <charset val="134"/>
      </rPr>
      <t>沈建委发〔</t>
    </r>
    <r>
      <rPr>
        <sz val="11"/>
        <color indexed="8"/>
        <rFont val="Arial"/>
        <family val="2"/>
      </rPr>
      <t>1999</t>
    </r>
    <r>
      <rPr>
        <sz val="11"/>
        <color indexed="8"/>
        <rFont val="宋体"/>
        <family val="3"/>
        <charset val="134"/>
      </rPr>
      <t>〕</t>
    </r>
    <r>
      <rPr>
        <sz val="11"/>
        <color indexed="8"/>
        <rFont val="Arial"/>
        <family val="2"/>
      </rPr>
      <t>93</t>
    </r>
    <r>
      <rPr>
        <sz val="11"/>
        <color indexed="8"/>
        <rFont val="宋体"/>
        <family val="3"/>
        <charset val="134"/>
      </rPr>
      <t>号</t>
    </r>
    <phoneticPr fontId="3" type="noConversion"/>
  </si>
  <si>
    <t>https://wenku.baidu.com/view/a273d80b5c0e7cd184254b35eefdc8d376ee142f.html</t>
    <phoneticPr fontId="3" type="noConversion"/>
  </si>
  <si>
    <t>未包含在土地购买价格中</t>
  </si>
  <si>
    <t>全部缴纳</t>
  </si>
  <si>
    <t>已包含在土地取得成本中</t>
  </si>
  <si>
    <t>1层</t>
    <phoneticPr fontId="140" type="noConversion"/>
  </si>
  <si>
    <t>2层</t>
    <phoneticPr fontId="140" type="noConversion"/>
  </si>
  <si>
    <t>3层</t>
    <phoneticPr fontId="14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</si>
  <si>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</si>
  <si>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</si>
  <si>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</si>
  <si>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</si>
  <si>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</si>
  <si>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</si>
  <si>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</si>
  <si>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</si>
  <si>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</si>
  <si>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</si>
  <si>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</si>
  <si>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</si>
  <si>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</si>
  <si>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</si>
  <si>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</si>
  <si>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</si>
  <si>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</si>
  <si>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</si>
  <si>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</si>
  <si>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</si>
  <si>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法库县吉祥街道兴法东路22-1号</t>
  </si>
  <si>
    <t>沈阳市</t>
  </si>
  <si>
    <t>2021-2</t>
  </si>
  <si>
    <t xml:space="preserve"> 商业/办公用地</t>
  </si>
  <si>
    <t xml:space="preserve"> 小于或等于1.8</t>
  </si>
  <si>
    <t xml:space="preserve"> 挂牌</t>
  </si>
  <si>
    <t xml:space="preserve"> 商务金融用地</t>
  </si>
  <si>
    <t xml:space="preserve">-- </t>
  </si>
  <si>
    <t xml:space="preserve"> 已成交</t>
  </si>
  <si>
    <t xml:space="preserve"> 法库县农村信用合作联社  </t>
  </si>
  <si>
    <t>2021-03-26 15:00</t>
  </si>
  <si>
    <t>法库县冯贝堡镇冯贝堡村</t>
  </si>
  <si>
    <t>2020--17</t>
  </si>
  <si>
    <t xml:space="preserve"> 小于或等于0.6</t>
  </si>
  <si>
    <t xml:space="preserve"> 其他商服用地</t>
  </si>
  <si>
    <t xml:space="preserve"> 法库县冯贝堡国标加油站  </t>
  </si>
  <si>
    <t>2021-02-05 15:00</t>
  </si>
  <si>
    <t>和平大街101地块</t>
  </si>
  <si>
    <t>HP2020-1号</t>
  </si>
  <si>
    <t xml:space="preserve"> 小于或等于6</t>
  </si>
  <si>
    <t xml:space="preserve"> --</t>
  </si>
  <si>
    <t>2020-12-28 14:00</t>
  </si>
  <si>
    <t>康平县胜利街道明沈线北</t>
    <phoneticPr fontId="140" type="noConversion"/>
  </si>
  <si>
    <t>2020-010</t>
  </si>
  <si>
    <t xml:space="preserve"> 大于0.2并且小于0.5</t>
  </si>
  <si>
    <t xml:space="preserve"> 王伟东  </t>
  </si>
  <si>
    <t>2020-11-18 16:00</t>
  </si>
  <si>
    <t>紫薇路东地块</t>
  </si>
  <si>
    <t>SJT2020-06</t>
  </si>
  <si>
    <t xml:space="preserve"> 小于或等于1</t>
  </si>
  <si>
    <t xml:space="preserve"> 拍卖</t>
  </si>
  <si>
    <t xml:space="preserve"> 国网辽宁省电力有限公司沈阳供电公司  </t>
  </si>
  <si>
    <t>2020-11-16 14:00</t>
  </si>
  <si>
    <t>宁官06</t>
  </si>
  <si>
    <t>JK2020-016</t>
  </si>
  <si>
    <t xml:space="preserve"> 小于或等于3.5</t>
  </si>
  <si>
    <t xml:space="preserve"> 沈阳中德园开发建设集团有限公司  </t>
  </si>
  <si>
    <t>2020-10-12 14:00</t>
  </si>
  <si>
    <t>GN-RJ-03-11</t>
  </si>
  <si>
    <t>HN-19008</t>
  </si>
  <si>
    <t xml:space="preserve"> ≤1.2</t>
  </si>
  <si>
    <t xml:space="preserve"> 商业用地</t>
  </si>
  <si>
    <t xml:space="preserve"> 沈阳亿茂企业管理有限公司  </t>
  </si>
  <si>
    <t>沈阳近海经济区</t>
  </si>
  <si>
    <t>2020-37</t>
  </si>
  <si>
    <t xml:space="preserve"> 沈阳吉力石油化工有限公司  </t>
  </si>
  <si>
    <t>2020-07-02 15:00</t>
  </si>
  <si>
    <t>新民市新城街道</t>
  </si>
  <si>
    <t>2020-005</t>
  </si>
  <si>
    <t xml:space="preserve"> 小于0.5</t>
  </si>
  <si>
    <t xml:space="preserve"> 新民市新鑫加油加气站  </t>
  </si>
  <si>
    <t>2020-06-22 15:00</t>
  </si>
  <si>
    <t>新民市法哈牛镇</t>
  </si>
  <si>
    <t xml:space="preserve"> 新民市法哈牛加油站  </t>
  </si>
  <si>
    <t>法库县龙山街道石岗子村</t>
    <phoneticPr fontId="140" type="noConversion"/>
  </si>
  <si>
    <t>2020-5</t>
  </si>
  <si>
    <t xml:space="preserve"> 小于或等于1.7</t>
  </si>
  <si>
    <t xml:space="preserve"> 沈阳如意汽车销售有限公司  </t>
  </si>
  <si>
    <t>2020-05-13 15:00</t>
  </si>
  <si>
    <t>法库县依牛堡子镇花牛堡子村</t>
  </si>
  <si>
    <t>2020-3</t>
  </si>
  <si>
    <t xml:space="preserve"> 沈阳博泰石油天然气有限公司  </t>
  </si>
  <si>
    <t>法库县大孤家子镇半拉山村</t>
  </si>
  <si>
    <t>2020-8</t>
  </si>
  <si>
    <t xml:space="preserve"> 小于或等于1.3</t>
  </si>
  <si>
    <t xml:space="preserve"> 沈阳爱新觉罗祖家坊酒业有限公司  </t>
  </si>
  <si>
    <t>辽中区新民屯镇</t>
  </si>
  <si>
    <t>2019-38</t>
  </si>
  <si>
    <t xml:space="preserve"> 辽宁近海石油天然气有限公司  </t>
  </si>
  <si>
    <t>2019-003</t>
  </si>
  <si>
    <t xml:space="preserve"> 小于或等于0.5</t>
  </si>
  <si>
    <t xml:space="preserve"> 中国石化销售有限公司辽宁沈阳石油分公司  </t>
  </si>
  <si>
    <t>商业</t>
    <phoneticPr fontId="31" type="noConversion"/>
  </si>
  <si>
    <t xml:space="preserve"> 沈阳爱尔眼视光医院(有限公司)  </t>
    <phoneticPr fontId="140" type="noConversion"/>
  </si>
  <si>
    <t>七通</t>
  </si>
  <si>
    <t>七通</t>
    <phoneticPr fontId="31" type="noConversion"/>
  </si>
  <si>
    <t>六通</t>
    <phoneticPr fontId="31" type="noConversion"/>
  </si>
  <si>
    <t>较好</t>
    <phoneticPr fontId="31" type="noConversion"/>
  </si>
  <si>
    <t>五通</t>
    <phoneticPr fontId="31" type="noConversion"/>
  </si>
  <si>
    <t>四通</t>
    <phoneticPr fontId="31" type="noConversion"/>
  </si>
  <si>
    <t>三通</t>
  </si>
  <si>
    <t>三通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</si>
  <si>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</si>
  <si>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</si>
  <si>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</si>
  <si>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</si>
  <si>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</si>
  <si>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</si>
  <si>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加权平均</t>
  </si>
  <si>
    <t>修正项2</t>
    <phoneticPr fontId="3" type="noConversion"/>
  </si>
  <si>
    <t>商业</t>
    <phoneticPr fontId="31" type="noConversion"/>
  </si>
  <si>
    <t>0-10（含）</t>
  </si>
  <si>
    <t>较大</t>
  </si>
  <si>
    <t>较大</t>
    <phoneticPr fontId="31" type="noConversion"/>
  </si>
  <si>
    <t>一般</t>
    <phoneticPr fontId="31" type="noConversion"/>
  </si>
  <si>
    <t>精装</t>
    <phoneticPr fontId="31" type="noConversion"/>
  </si>
  <si>
    <t>普装</t>
    <phoneticPr fontId="31" type="noConversion"/>
  </si>
  <si>
    <t>简装</t>
  </si>
  <si>
    <t>简装</t>
    <phoneticPr fontId="31" type="noConversion"/>
  </si>
  <si>
    <t>毛坯</t>
    <phoneticPr fontId="31" type="noConversion"/>
  </si>
  <si>
    <t>钢混</t>
    <phoneticPr fontId="31" type="noConversion"/>
  </si>
  <si>
    <t>精装</t>
    <phoneticPr fontId="31" type="noConversion"/>
  </si>
  <si>
    <t>商业综合体</t>
  </si>
  <si>
    <t>商业街</t>
    <phoneticPr fontId="31" type="noConversion"/>
  </si>
  <si>
    <t>商业综合体</t>
    <phoneticPr fontId="31" type="noConversion"/>
  </si>
  <si>
    <t>办公配套商业</t>
    <phoneticPr fontId="31" type="noConversion"/>
  </si>
  <si>
    <t>住宅配套商业</t>
  </si>
  <si>
    <t>住宅配套商业</t>
    <phoneticPr fontId="31" type="noConversion"/>
  </si>
  <si>
    <t>可明火</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</si>
  <si>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</si>
  <si>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</si>
  <si>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</si>
  <si>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</si>
  <si>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</si>
  <si>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超高层高</t>
    <phoneticPr fontId="31" type="noConversion"/>
  </si>
  <si>
    <t>标准层高</t>
    <phoneticPr fontId="31" type="noConversion"/>
  </si>
  <si>
    <t>典型户型修正 (2)</t>
  </si>
  <si>
    <t>典型户型修正 (2)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</si>
</sst>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53" fillId="13" borderId="0" xfId="0" applyNumberFormat="1" applyFont="1" applyFill="1" applyAlignment="1" applyProtection="1">
      <alignment horizontal="center" vertical="center"/>
      <protection locked="0"/>
    </xf>
    <xf numFmtId="0" fontId="134" fillId="20" borderId="5" xfId="0" applyFont="1" applyFill="1" applyBorder="1" applyAlignment="1" applyProtection="1">
      <alignment horizontal="center" vertical="center" wrapText="1"/>
      <protection locked="0"/>
    </xf>
    <xf numFmtId="0" fontId="234" fillId="20" borderId="108"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0" fontId="254" fillId="0" borderId="0" xfId="0" applyFont="1" applyAlignment="1">
      <alignment horizontal="left" vertical="center"/>
    </xf>
    <xf numFmtId="14" fontId="254" fillId="0" borderId="0" xfId="0" applyNumberFormat="1" applyFont="1" applyAlignment="1">
      <alignment horizontal="left" vertical="center"/>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254" fillId="0" borderId="0" xfId="17" applyNumberFormat="1" applyFont="1" applyAlignment="1">
      <alignment horizontal="left" vertical="center"/>
    </xf>
    <xf numFmtId="14" fontId="254" fillId="0" borderId="0" xfId="17" applyNumberFormat="1" applyFont="1" applyAlignment="1">
      <alignment horizontal="left" vertical="center"/>
    </xf>
    <xf numFmtId="0" fontId="254" fillId="8" borderId="0" xfId="17" applyNumberFormat="1" applyFont="1" applyFill="1" applyAlignment="1">
      <alignment horizontal="left" vertical="center"/>
    </xf>
    <xf numFmtId="14" fontId="254" fillId="8" borderId="0" xfId="17" applyNumberFormat="1" applyFont="1" applyFill="1" applyAlignment="1">
      <alignment horizontal="left" vertical="center"/>
    </xf>
    <xf numFmtId="0" fontId="254" fillId="9" borderId="0" xfId="17" applyNumberFormat="1" applyFont="1" applyFill="1" applyAlignment="1">
      <alignment horizontal="left" vertical="center"/>
    </xf>
    <xf numFmtId="14" fontId="254" fillId="9" borderId="0" xfId="17" applyNumberFormat="1" applyFont="1" applyFill="1" applyAlignment="1">
      <alignment horizontal="left" vertical="center"/>
    </xf>
    <xf numFmtId="0" fontId="254" fillId="0" borderId="0" xfId="17" applyNumberFormat="1" applyFont="1" applyFill="1" applyAlignment="1">
      <alignment horizontal="left" vertical="center"/>
    </xf>
    <xf numFmtId="14" fontId="254" fillId="0" borderId="0" xfId="17" applyNumberFormat="1" applyFont="1" applyFill="1" applyAlignment="1">
      <alignment horizontal="left" vertical="center"/>
    </xf>
    <xf numFmtId="0" fontId="236" fillId="0" borderId="44"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37"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0" fontId="55" fillId="20" borderId="0" xfId="0" applyFont="1" applyFill="1" applyBorder="1" applyAlignment="1" applyProtection="1">
      <alignment horizontal="center" vertical="center"/>
      <protection locked="0"/>
    </xf>
    <xf numFmtId="10" fontId="55" fillId="20" borderId="49" xfId="0" applyNumberFormat="1" applyFont="1" applyFill="1" applyBorder="1" applyAlignment="1" applyProtection="1">
      <alignment horizontal="center" vertical="center"/>
      <protection locked="0"/>
    </xf>
    <xf numFmtId="0" fontId="102" fillId="9" borderId="13" xfId="0" applyFont="1" applyFill="1" applyBorder="1" applyAlignment="1" applyProtection="1">
      <alignment horizontal="center" vertical="center"/>
      <protection locked="0"/>
    </xf>
    <xf numFmtId="0" fontId="234" fillId="0" borderId="108"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656715</xdr:colOff>
      <xdr:row>7</xdr:row>
      <xdr:rowOff>38010</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514350"/>
          <a:ext cx="4085715" cy="723810"/>
        </a:xfrm>
        <a:prstGeom prst="rect">
          <a:avLst/>
        </a:prstGeom>
      </xdr:spPr>
    </xdr:pic>
    <xdr:clientData/>
  </xdr:twoCellAnchor>
  <xdr:twoCellAnchor editAs="oneCell">
    <xdr:from>
      <xdr:col>0</xdr:col>
      <xdr:colOff>485775</xdr:colOff>
      <xdr:row>12</xdr:row>
      <xdr:rowOff>0</xdr:rowOff>
    </xdr:from>
    <xdr:to>
      <xdr:col>12</xdr:col>
      <xdr:colOff>94271</xdr:colOff>
      <xdr:row>27</xdr:row>
      <xdr:rowOff>113964</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485775" y="2057400"/>
          <a:ext cx="7838096" cy="2685714"/>
        </a:xfrm>
        <a:prstGeom prst="rect">
          <a:avLst/>
        </a:prstGeom>
      </xdr:spPr>
    </xdr:pic>
    <xdr:clientData/>
  </xdr:twoCellAnchor>
  <xdr:twoCellAnchor editAs="oneCell">
    <xdr:from>
      <xdr:col>1</xdr:col>
      <xdr:colOff>0</xdr:colOff>
      <xdr:row>30</xdr:row>
      <xdr:rowOff>0</xdr:rowOff>
    </xdr:from>
    <xdr:to>
      <xdr:col>9</xdr:col>
      <xdr:colOff>208838</xdr:colOff>
      <xdr:row>34</xdr:row>
      <xdr:rowOff>47533</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685800" y="5143500"/>
          <a:ext cx="5695238" cy="733333"/>
        </a:xfrm>
        <a:prstGeom prst="rect">
          <a:avLst/>
        </a:prstGeom>
      </xdr:spPr>
    </xdr:pic>
    <xdr:clientData/>
  </xdr:twoCellAnchor>
  <xdr:twoCellAnchor editAs="oneCell">
    <xdr:from>
      <xdr:col>1</xdr:col>
      <xdr:colOff>0</xdr:colOff>
      <xdr:row>37</xdr:row>
      <xdr:rowOff>0</xdr:rowOff>
    </xdr:from>
    <xdr:to>
      <xdr:col>13</xdr:col>
      <xdr:colOff>256115</xdr:colOff>
      <xdr:row>46</xdr:row>
      <xdr:rowOff>123617</xdr:rowOff>
    </xdr:to>
    <xdr:pic>
      <xdr:nvPicPr>
        <xdr:cNvPr id="5" name="图片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6343650"/>
          <a:ext cx="8485715" cy="1666667"/>
        </a:xfrm>
        <a:prstGeom prst="rect">
          <a:avLst/>
        </a:prstGeom>
      </xdr:spPr>
    </xdr:pic>
    <xdr:clientData/>
  </xdr:twoCellAnchor>
  <xdr:twoCellAnchor editAs="oneCell">
    <xdr:from>
      <xdr:col>0</xdr:col>
      <xdr:colOff>533400</xdr:colOff>
      <xdr:row>34</xdr:row>
      <xdr:rowOff>142875</xdr:rowOff>
    </xdr:from>
    <xdr:to>
      <xdr:col>14</xdr:col>
      <xdr:colOff>227439</xdr:colOff>
      <xdr:row>37</xdr:row>
      <xdr:rowOff>57096</xdr:rowOff>
    </xdr:to>
    <xdr:pic>
      <xdr:nvPicPr>
        <xdr:cNvPr id="6" name="图片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5"/>
        <a:stretch>
          <a:fillRect/>
        </a:stretch>
      </xdr:blipFill>
      <xdr:spPr>
        <a:xfrm>
          <a:off x="533400" y="5972175"/>
          <a:ext cx="9295239" cy="428571"/>
        </a:xfrm>
        <a:prstGeom prst="rect">
          <a:avLst/>
        </a:prstGeom>
      </xdr:spPr>
    </xdr:pic>
    <xdr:clientData/>
  </xdr:twoCellAnchor>
  <xdr:twoCellAnchor editAs="oneCell">
    <xdr:from>
      <xdr:col>0</xdr:col>
      <xdr:colOff>409575</xdr:colOff>
      <xdr:row>9</xdr:row>
      <xdr:rowOff>66675</xdr:rowOff>
    </xdr:from>
    <xdr:to>
      <xdr:col>14</xdr:col>
      <xdr:colOff>103614</xdr:colOff>
      <xdr:row>11</xdr:row>
      <xdr:rowOff>152346</xdr:rowOff>
    </xdr:to>
    <xdr:pic>
      <xdr:nvPicPr>
        <xdr:cNvPr id="7" name="图片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5"/>
        <a:stretch>
          <a:fillRect/>
        </a:stretch>
      </xdr:blipFill>
      <xdr:spPr>
        <a:xfrm>
          <a:off x="409575" y="1609725"/>
          <a:ext cx="9295239" cy="428571"/>
        </a:xfrm>
        <a:prstGeom prst="rect">
          <a:avLst/>
        </a:prstGeom>
      </xdr:spPr>
    </xdr:pic>
    <xdr:clientData/>
  </xdr:twoCellAnchor>
  <xdr:twoCellAnchor editAs="oneCell">
    <xdr:from>
      <xdr:col>1</xdr:col>
      <xdr:colOff>0</xdr:colOff>
      <xdr:row>48</xdr:row>
      <xdr:rowOff>0</xdr:rowOff>
    </xdr:from>
    <xdr:to>
      <xdr:col>7</xdr:col>
      <xdr:colOff>209010</xdr:colOff>
      <xdr:row>51</xdr:row>
      <xdr:rowOff>76126</xdr:rowOff>
    </xdr:to>
    <xdr:pic>
      <xdr:nvPicPr>
        <xdr:cNvPr id="8" name="图片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6"/>
        <a:stretch>
          <a:fillRect/>
        </a:stretch>
      </xdr:blipFill>
      <xdr:spPr>
        <a:xfrm>
          <a:off x="685800" y="8229600"/>
          <a:ext cx="4323810" cy="590476"/>
        </a:xfrm>
        <a:prstGeom prst="rect">
          <a:avLst/>
        </a:prstGeom>
      </xdr:spPr>
    </xdr:pic>
    <xdr:clientData/>
  </xdr:twoCellAnchor>
  <xdr:twoCellAnchor editAs="oneCell">
    <xdr:from>
      <xdr:col>0</xdr:col>
      <xdr:colOff>666750</xdr:colOff>
      <xdr:row>52</xdr:row>
      <xdr:rowOff>95250</xdr:rowOff>
    </xdr:from>
    <xdr:to>
      <xdr:col>12</xdr:col>
      <xdr:colOff>551436</xdr:colOff>
      <xdr:row>67</xdr:row>
      <xdr:rowOff>18738</xdr:rowOff>
    </xdr:to>
    <xdr:pic>
      <xdr:nvPicPr>
        <xdr:cNvPr id="9" name="图片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7"/>
        <a:stretch>
          <a:fillRect/>
        </a:stretch>
      </xdr:blipFill>
      <xdr:spPr>
        <a:xfrm>
          <a:off x="666750" y="9010650"/>
          <a:ext cx="8114286" cy="2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17</xdr:row>
      <xdr:rowOff>142875</xdr:rowOff>
    </xdr:from>
    <xdr:to>
      <xdr:col>8</xdr:col>
      <xdr:colOff>894440</xdr:colOff>
      <xdr:row>48</xdr:row>
      <xdr:rowOff>161222</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561975" y="3510915"/>
          <a:ext cx="7274285" cy="6160067"/>
        </a:xfrm>
        <a:prstGeom prst="rect">
          <a:avLst/>
        </a:prstGeom>
      </xdr:spPr>
    </xdr:pic>
    <xdr:clientData/>
  </xdr:twoCellAnchor>
  <xdr:twoCellAnchor>
    <xdr:from>
      <xdr:col>5</xdr:col>
      <xdr:colOff>428625</xdr:colOff>
      <xdr:row>29</xdr:row>
      <xdr:rowOff>171450</xdr:rowOff>
    </xdr:from>
    <xdr:to>
      <xdr:col>5</xdr:col>
      <xdr:colOff>581025</xdr:colOff>
      <xdr:row>30</xdr:row>
      <xdr:rowOff>142875</xdr:rowOff>
    </xdr:to>
    <xdr:sp macro="" textlink="">
      <xdr:nvSpPr>
        <xdr:cNvPr id="3" name="椭圆 2">
          <a:extLst>
            <a:ext uri="{FF2B5EF4-FFF2-40B4-BE49-F238E27FC236}">
              <a16:creationId xmlns:a16="http://schemas.microsoft.com/office/drawing/2014/main" xmlns="" id="{00000000-0008-0000-1900-000003000000}"/>
            </a:ext>
          </a:extLst>
        </xdr:cNvPr>
        <xdr:cNvSpPr/>
      </xdr:nvSpPr>
      <xdr:spPr>
        <a:xfrm>
          <a:off x="4985385" y="5916930"/>
          <a:ext cx="152400" cy="16954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1362075</xdr:colOff>
      <xdr:row>32</xdr:row>
      <xdr:rowOff>104775</xdr:rowOff>
    </xdr:from>
    <xdr:to>
      <xdr:col>1</xdr:col>
      <xdr:colOff>123825</xdr:colOff>
      <xdr:row>34</xdr:row>
      <xdr:rowOff>19050</xdr:rowOff>
    </xdr:to>
    <xdr:sp macro="" textlink="">
      <xdr:nvSpPr>
        <xdr:cNvPr id="4" name="五角星 3">
          <a:extLst>
            <a:ext uri="{FF2B5EF4-FFF2-40B4-BE49-F238E27FC236}">
              <a16:creationId xmlns:a16="http://schemas.microsoft.com/office/drawing/2014/main" xmlns="" id="{00000000-0008-0000-1900-000004000000}"/>
            </a:ext>
          </a:extLst>
        </xdr:cNvPr>
        <xdr:cNvSpPr/>
      </xdr:nvSpPr>
      <xdr:spPr>
        <a:xfrm>
          <a:off x="1362075" y="6444615"/>
          <a:ext cx="285750" cy="310515"/>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9525</xdr:colOff>
      <xdr:row>39</xdr:row>
      <xdr:rowOff>0</xdr:rowOff>
    </xdr:from>
    <xdr:to>
      <xdr:col>5</xdr:col>
      <xdr:colOff>295275</xdr:colOff>
      <xdr:row>40</xdr:row>
      <xdr:rowOff>95250</xdr:rowOff>
    </xdr:to>
    <xdr:sp macro="" textlink="">
      <xdr:nvSpPr>
        <xdr:cNvPr id="5" name="五角星 4">
          <a:extLst>
            <a:ext uri="{FF2B5EF4-FFF2-40B4-BE49-F238E27FC236}">
              <a16:creationId xmlns:a16="http://schemas.microsoft.com/office/drawing/2014/main" xmlns="" id="{00000000-0008-0000-1900-000005000000}"/>
            </a:ext>
          </a:extLst>
        </xdr:cNvPr>
        <xdr:cNvSpPr/>
      </xdr:nvSpPr>
      <xdr:spPr>
        <a:xfrm>
          <a:off x="4566285" y="7726680"/>
          <a:ext cx="285750"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866775</xdr:colOff>
      <xdr:row>27</xdr:row>
      <xdr:rowOff>9525</xdr:rowOff>
    </xdr:from>
    <xdr:to>
      <xdr:col>4</xdr:col>
      <xdr:colOff>152400</xdr:colOff>
      <xdr:row>28</xdr:row>
      <xdr:rowOff>104775</xdr:rowOff>
    </xdr:to>
    <xdr:sp macro="" textlink="">
      <xdr:nvSpPr>
        <xdr:cNvPr id="6" name="五角星 5">
          <a:extLst>
            <a:ext uri="{FF2B5EF4-FFF2-40B4-BE49-F238E27FC236}">
              <a16:creationId xmlns:a16="http://schemas.microsoft.com/office/drawing/2014/main" xmlns="" id="{00000000-0008-0000-1900-000006000000}"/>
            </a:ext>
          </a:extLst>
        </xdr:cNvPr>
        <xdr:cNvSpPr/>
      </xdr:nvSpPr>
      <xdr:spPr>
        <a:xfrm>
          <a:off x="3655695" y="5358765"/>
          <a:ext cx="283845" cy="293370"/>
        </a:xfrm>
        <a:prstGeom prst="star5">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581025</xdr:colOff>
      <xdr:row>50</xdr:row>
      <xdr:rowOff>57150</xdr:rowOff>
    </xdr:from>
    <xdr:to>
      <xdr:col>4</xdr:col>
      <xdr:colOff>237694</xdr:colOff>
      <xdr:row>54</xdr:row>
      <xdr:rowOff>85631</xdr:rowOff>
    </xdr:to>
    <xdr:pic>
      <xdr:nvPicPr>
        <xdr:cNvPr id="7" name="图片 6">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2"/>
        <a:stretch>
          <a:fillRect/>
        </a:stretch>
      </xdr:blipFill>
      <xdr:spPr>
        <a:xfrm>
          <a:off x="581025" y="9963150"/>
          <a:ext cx="3443809" cy="820961"/>
        </a:xfrm>
        <a:prstGeom prst="rect">
          <a:avLst/>
        </a:prstGeom>
      </xdr:spPr>
    </xdr:pic>
    <xdr:clientData/>
  </xdr:twoCellAnchor>
  <xdr:twoCellAnchor editAs="oneCell">
    <xdr:from>
      <xdr:col>0</xdr:col>
      <xdr:colOff>419100</xdr:colOff>
      <xdr:row>55</xdr:row>
      <xdr:rowOff>28575</xdr:rowOff>
    </xdr:from>
    <xdr:to>
      <xdr:col>10</xdr:col>
      <xdr:colOff>560904</xdr:colOff>
      <xdr:row>63</xdr:row>
      <xdr:rowOff>142680</xdr:rowOff>
    </xdr:to>
    <xdr:pic>
      <xdr:nvPicPr>
        <xdr:cNvPr id="8" name="图片 7">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3"/>
        <a:stretch>
          <a:fillRect/>
        </a:stretch>
      </xdr:blipFill>
      <xdr:spPr>
        <a:xfrm>
          <a:off x="419100" y="10925175"/>
          <a:ext cx="8561904" cy="1699065"/>
        </a:xfrm>
        <a:prstGeom prst="rect">
          <a:avLst/>
        </a:prstGeom>
      </xdr:spPr>
    </xdr:pic>
    <xdr:clientData/>
  </xdr:twoCellAnchor>
  <xdr:twoCellAnchor editAs="oneCell">
    <xdr:from>
      <xdr:col>0</xdr:col>
      <xdr:colOff>419100</xdr:colOff>
      <xdr:row>64</xdr:row>
      <xdr:rowOff>57150</xdr:rowOff>
    </xdr:from>
    <xdr:to>
      <xdr:col>10</xdr:col>
      <xdr:colOff>732333</xdr:colOff>
      <xdr:row>82</xdr:row>
      <xdr:rowOff>180553</xdr:rowOff>
    </xdr:to>
    <xdr:pic>
      <xdr:nvPicPr>
        <xdr:cNvPr id="9" name="图片 8">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4"/>
        <a:stretch>
          <a:fillRect/>
        </a:stretch>
      </xdr:blipFill>
      <xdr:spPr>
        <a:xfrm>
          <a:off x="419100" y="12736830"/>
          <a:ext cx="8733333" cy="3689563"/>
        </a:xfrm>
        <a:prstGeom prst="rect">
          <a:avLst/>
        </a:prstGeom>
      </xdr:spPr>
    </xdr:pic>
    <xdr:clientData/>
  </xdr:twoCellAnchor>
  <xdr:twoCellAnchor editAs="oneCell">
    <xdr:from>
      <xdr:col>0</xdr:col>
      <xdr:colOff>1285875</xdr:colOff>
      <xdr:row>83</xdr:row>
      <xdr:rowOff>171450</xdr:rowOff>
    </xdr:from>
    <xdr:to>
      <xdr:col>8</xdr:col>
      <xdr:colOff>799292</xdr:colOff>
      <xdr:row>108</xdr:row>
      <xdr:rowOff>47075</xdr:rowOff>
    </xdr:to>
    <xdr:pic>
      <xdr:nvPicPr>
        <xdr:cNvPr id="10" name="图片 9">
          <a:extLst>
            <a:ext uri="{FF2B5EF4-FFF2-40B4-BE49-F238E27FC236}">
              <a16:creationId xmlns:a16="http://schemas.microsoft.com/office/drawing/2014/main" xmlns="" id="{00000000-0008-0000-1900-00000A000000}"/>
            </a:ext>
          </a:extLst>
        </xdr:cNvPr>
        <xdr:cNvPicPr>
          <a:picLocks noChangeAspect="1"/>
        </xdr:cNvPicPr>
      </xdr:nvPicPr>
      <xdr:blipFill>
        <a:blip xmlns:r="http://schemas.openxmlformats.org/officeDocument/2006/relationships" r:embed="rId5"/>
        <a:stretch>
          <a:fillRect/>
        </a:stretch>
      </xdr:blipFill>
      <xdr:spPr>
        <a:xfrm>
          <a:off x="1285875" y="16615410"/>
          <a:ext cx="6455237" cy="4828625"/>
        </a:xfrm>
        <a:prstGeom prst="rect">
          <a:avLst/>
        </a:prstGeom>
      </xdr:spPr>
    </xdr:pic>
    <xdr:clientData/>
  </xdr:twoCellAnchor>
  <xdr:twoCellAnchor editAs="oneCell">
    <xdr:from>
      <xdr:col>0</xdr:col>
      <xdr:colOff>723900</xdr:colOff>
      <xdr:row>110</xdr:row>
      <xdr:rowOff>85725</xdr:rowOff>
    </xdr:from>
    <xdr:to>
      <xdr:col>4</xdr:col>
      <xdr:colOff>580569</xdr:colOff>
      <xdr:row>114</xdr:row>
      <xdr:rowOff>142777</xdr:rowOff>
    </xdr:to>
    <xdr:pic>
      <xdr:nvPicPr>
        <xdr:cNvPr id="11" name="图片 10">
          <a:extLst>
            <a:ext uri="{FF2B5EF4-FFF2-40B4-BE49-F238E27FC236}">
              <a16:creationId xmlns:a16="http://schemas.microsoft.com/office/drawing/2014/main" xmlns="" id="{00000000-0008-0000-1900-00000B000000}"/>
            </a:ext>
          </a:extLst>
        </xdr:cNvPr>
        <xdr:cNvPicPr>
          <a:picLocks noChangeAspect="1"/>
        </xdr:cNvPicPr>
      </xdr:nvPicPr>
      <xdr:blipFill>
        <a:blip xmlns:r="http://schemas.openxmlformats.org/officeDocument/2006/relationships" r:embed="rId6"/>
        <a:stretch>
          <a:fillRect/>
        </a:stretch>
      </xdr:blipFill>
      <xdr:spPr>
        <a:xfrm>
          <a:off x="723900" y="21878925"/>
          <a:ext cx="3643809" cy="849532"/>
        </a:xfrm>
        <a:prstGeom prst="rect">
          <a:avLst/>
        </a:prstGeom>
      </xdr:spPr>
    </xdr:pic>
    <xdr:clientData/>
  </xdr:twoCellAnchor>
  <xdr:twoCellAnchor editAs="oneCell">
    <xdr:from>
      <xdr:col>0</xdr:col>
      <xdr:colOff>590550</xdr:colOff>
      <xdr:row>115</xdr:row>
      <xdr:rowOff>57150</xdr:rowOff>
    </xdr:from>
    <xdr:to>
      <xdr:col>10</xdr:col>
      <xdr:colOff>199021</xdr:colOff>
      <xdr:row>124</xdr:row>
      <xdr:rowOff>9327</xdr:rowOff>
    </xdr:to>
    <xdr:pic>
      <xdr:nvPicPr>
        <xdr:cNvPr id="12" name="图片 11">
          <a:extLst>
            <a:ext uri="{FF2B5EF4-FFF2-40B4-BE49-F238E27FC236}">
              <a16:creationId xmlns:a16="http://schemas.microsoft.com/office/drawing/2014/main" xmlns="" id="{00000000-0008-0000-1900-00000C000000}"/>
            </a:ext>
          </a:extLst>
        </xdr:cNvPr>
        <xdr:cNvPicPr>
          <a:picLocks noChangeAspect="1"/>
        </xdr:cNvPicPr>
      </xdr:nvPicPr>
      <xdr:blipFill>
        <a:blip xmlns:r="http://schemas.openxmlformats.org/officeDocument/2006/relationships" r:embed="rId7"/>
        <a:stretch>
          <a:fillRect/>
        </a:stretch>
      </xdr:blipFill>
      <xdr:spPr>
        <a:xfrm>
          <a:off x="590550" y="22840950"/>
          <a:ext cx="8028571" cy="1735257"/>
        </a:xfrm>
        <a:prstGeom prst="rect">
          <a:avLst/>
        </a:prstGeom>
      </xdr:spPr>
    </xdr:pic>
    <xdr:clientData/>
  </xdr:twoCellAnchor>
  <xdr:twoCellAnchor editAs="oneCell">
    <xdr:from>
      <xdr:col>0</xdr:col>
      <xdr:colOff>638175</xdr:colOff>
      <xdr:row>124</xdr:row>
      <xdr:rowOff>142875</xdr:rowOff>
    </xdr:from>
    <xdr:to>
      <xdr:col>11</xdr:col>
      <xdr:colOff>427502</xdr:colOff>
      <xdr:row>143</xdr:row>
      <xdr:rowOff>132922</xdr:rowOff>
    </xdr:to>
    <xdr:pic>
      <xdr:nvPicPr>
        <xdr:cNvPr id="13" name="图片 12">
          <a:extLst>
            <a:ext uri="{FF2B5EF4-FFF2-40B4-BE49-F238E27FC236}">
              <a16:creationId xmlns:a16="http://schemas.microsoft.com/office/drawing/2014/main" xmlns="" id="{00000000-0008-0000-1900-00000D000000}"/>
            </a:ext>
          </a:extLst>
        </xdr:cNvPr>
        <xdr:cNvPicPr>
          <a:picLocks noChangeAspect="1"/>
        </xdr:cNvPicPr>
      </xdr:nvPicPr>
      <xdr:blipFill>
        <a:blip xmlns:r="http://schemas.openxmlformats.org/officeDocument/2006/relationships" r:embed="rId8"/>
        <a:stretch>
          <a:fillRect/>
        </a:stretch>
      </xdr:blipFill>
      <xdr:spPr>
        <a:xfrm>
          <a:off x="638175" y="24709755"/>
          <a:ext cx="8979047" cy="3754327"/>
        </a:xfrm>
        <a:prstGeom prst="rect">
          <a:avLst/>
        </a:prstGeom>
      </xdr:spPr>
    </xdr:pic>
    <xdr:clientData/>
  </xdr:twoCellAnchor>
  <xdr:twoCellAnchor editAs="oneCell">
    <xdr:from>
      <xdr:col>0</xdr:col>
      <xdr:colOff>676275</xdr:colOff>
      <xdr:row>144</xdr:row>
      <xdr:rowOff>9525</xdr:rowOff>
    </xdr:from>
    <xdr:to>
      <xdr:col>10</xdr:col>
      <xdr:colOff>722841</xdr:colOff>
      <xdr:row>164</xdr:row>
      <xdr:rowOff>28120</xdr:rowOff>
    </xdr:to>
    <xdr:pic>
      <xdr:nvPicPr>
        <xdr:cNvPr id="14" name="图片 13">
          <a:extLst>
            <a:ext uri="{FF2B5EF4-FFF2-40B4-BE49-F238E27FC236}">
              <a16:creationId xmlns:a16="http://schemas.microsoft.com/office/drawing/2014/main" xmlns="" id="{00000000-0008-0000-1900-00000E000000}"/>
            </a:ext>
          </a:extLst>
        </xdr:cNvPr>
        <xdr:cNvPicPr>
          <a:picLocks noChangeAspect="1"/>
        </xdr:cNvPicPr>
      </xdr:nvPicPr>
      <xdr:blipFill>
        <a:blip xmlns:r="http://schemas.openxmlformats.org/officeDocument/2006/relationships" r:embed="rId9"/>
        <a:stretch>
          <a:fillRect/>
        </a:stretch>
      </xdr:blipFill>
      <xdr:spPr>
        <a:xfrm>
          <a:off x="676275" y="28538805"/>
          <a:ext cx="8466666" cy="3980995"/>
        </a:xfrm>
        <a:prstGeom prst="rect">
          <a:avLst/>
        </a:prstGeom>
      </xdr:spPr>
    </xdr:pic>
    <xdr:clientData/>
  </xdr:twoCellAnchor>
  <xdr:twoCellAnchor editAs="oneCell">
    <xdr:from>
      <xdr:col>0</xdr:col>
      <xdr:colOff>819150</xdr:colOff>
      <xdr:row>165</xdr:row>
      <xdr:rowOff>19050</xdr:rowOff>
    </xdr:from>
    <xdr:to>
      <xdr:col>11</xdr:col>
      <xdr:colOff>379905</xdr:colOff>
      <xdr:row>189</xdr:row>
      <xdr:rowOff>28031</xdr:rowOff>
    </xdr:to>
    <xdr:pic>
      <xdr:nvPicPr>
        <xdr:cNvPr id="15" name="图片 14">
          <a:extLst>
            <a:ext uri="{FF2B5EF4-FFF2-40B4-BE49-F238E27FC236}">
              <a16:creationId xmlns:a16="http://schemas.microsoft.com/office/drawing/2014/main" xmlns="" id="{00000000-0008-0000-1900-00000F000000}"/>
            </a:ext>
          </a:extLst>
        </xdr:cNvPr>
        <xdr:cNvPicPr>
          <a:picLocks noChangeAspect="1"/>
        </xdr:cNvPicPr>
      </xdr:nvPicPr>
      <xdr:blipFill>
        <a:blip xmlns:r="http://schemas.openxmlformats.org/officeDocument/2006/relationships" r:embed="rId10"/>
        <a:stretch>
          <a:fillRect/>
        </a:stretch>
      </xdr:blipFill>
      <xdr:spPr>
        <a:xfrm>
          <a:off x="819150" y="32708850"/>
          <a:ext cx="8750475" cy="4763861"/>
        </a:xfrm>
        <a:prstGeom prst="rect">
          <a:avLst/>
        </a:prstGeom>
      </xdr:spPr>
    </xdr:pic>
    <xdr:clientData/>
  </xdr:twoCellAnchor>
  <xdr:twoCellAnchor editAs="oneCell">
    <xdr:from>
      <xdr:col>0</xdr:col>
      <xdr:colOff>1019175</xdr:colOff>
      <xdr:row>191</xdr:row>
      <xdr:rowOff>9525</xdr:rowOff>
    </xdr:from>
    <xdr:to>
      <xdr:col>4</xdr:col>
      <xdr:colOff>599654</xdr:colOff>
      <xdr:row>195</xdr:row>
      <xdr:rowOff>95149</xdr:rowOff>
    </xdr:to>
    <xdr:pic>
      <xdr:nvPicPr>
        <xdr:cNvPr id="16" name="图片 15">
          <a:extLst>
            <a:ext uri="{FF2B5EF4-FFF2-40B4-BE49-F238E27FC236}">
              <a16:creationId xmlns:a16="http://schemas.microsoft.com/office/drawing/2014/main" xmlns="" id="{00000000-0008-0000-1900-000010000000}"/>
            </a:ext>
          </a:extLst>
        </xdr:cNvPr>
        <xdr:cNvPicPr>
          <a:picLocks noChangeAspect="1"/>
        </xdr:cNvPicPr>
      </xdr:nvPicPr>
      <xdr:blipFill>
        <a:blip xmlns:r="http://schemas.openxmlformats.org/officeDocument/2006/relationships" r:embed="rId11"/>
        <a:stretch>
          <a:fillRect/>
        </a:stretch>
      </xdr:blipFill>
      <xdr:spPr>
        <a:xfrm>
          <a:off x="1019175" y="37850445"/>
          <a:ext cx="3367619" cy="878104"/>
        </a:xfrm>
        <a:prstGeom prst="rect">
          <a:avLst/>
        </a:prstGeom>
      </xdr:spPr>
    </xdr:pic>
    <xdr:clientData/>
  </xdr:twoCellAnchor>
  <xdr:twoCellAnchor editAs="oneCell">
    <xdr:from>
      <xdr:col>0</xdr:col>
      <xdr:colOff>971550</xdr:colOff>
      <xdr:row>196</xdr:row>
      <xdr:rowOff>133350</xdr:rowOff>
    </xdr:from>
    <xdr:to>
      <xdr:col>11</xdr:col>
      <xdr:colOff>189448</xdr:colOff>
      <xdr:row>221</xdr:row>
      <xdr:rowOff>8975</xdr:rowOff>
    </xdr:to>
    <xdr:pic>
      <xdr:nvPicPr>
        <xdr:cNvPr id="17" name="图片 16">
          <a:extLst>
            <a:ext uri="{FF2B5EF4-FFF2-40B4-BE49-F238E27FC236}">
              <a16:creationId xmlns:a16="http://schemas.microsoft.com/office/drawing/2014/main" xmlns="" id="{00000000-0008-0000-1900-000011000000}"/>
            </a:ext>
          </a:extLst>
        </xdr:cNvPr>
        <xdr:cNvPicPr>
          <a:picLocks noChangeAspect="1"/>
        </xdr:cNvPicPr>
      </xdr:nvPicPr>
      <xdr:blipFill>
        <a:blip xmlns:r="http://schemas.openxmlformats.org/officeDocument/2006/relationships" r:embed="rId12"/>
        <a:stretch>
          <a:fillRect/>
        </a:stretch>
      </xdr:blipFill>
      <xdr:spPr>
        <a:xfrm>
          <a:off x="971550" y="38964870"/>
          <a:ext cx="8407618" cy="4828625"/>
        </a:xfrm>
        <a:prstGeom prst="rect">
          <a:avLst/>
        </a:prstGeom>
      </xdr:spPr>
    </xdr:pic>
    <xdr:clientData/>
  </xdr:twoCellAnchor>
  <xdr:twoCellAnchor editAs="oneCell">
    <xdr:from>
      <xdr:col>0</xdr:col>
      <xdr:colOff>847725</xdr:colOff>
      <xdr:row>205</xdr:row>
      <xdr:rowOff>161925</xdr:rowOff>
    </xdr:from>
    <xdr:to>
      <xdr:col>11</xdr:col>
      <xdr:colOff>437052</xdr:colOff>
      <xdr:row>225</xdr:row>
      <xdr:rowOff>75759</xdr:rowOff>
    </xdr:to>
    <xdr:pic>
      <xdr:nvPicPr>
        <xdr:cNvPr id="18" name="图片 17">
          <a:extLst>
            <a:ext uri="{FF2B5EF4-FFF2-40B4-BE49-F238E27FC236}">
              <a16:creationId xmlns:a16="http://schemas.microsoft.com/office/drawing/2014/main" xmlns="" id="{00000000-0008-0000-1900-000012000000}"/>
            </a:ext>
          </a:extLst>
        </xdr:cNvPr>
        <xdr:cNvPicPr>
          <a:picLocks noChangeAspect="1"/>
        </xdr:cNvPicPr>
      </xdr:nvPicPr>
      <xdr:blipFill>
        <a:blip xmlns:r="http://schemas.openxmlformats.org/officeDocument/2006/relationships" r:embed="rId13"/>
        <a:stretch>
          <a:fillRect/>
        </a:stretch>
      </xdr:blipFill>
      <xdr:spPr>
        <a:xfrm>
          <a:off x="847725" y="40776525"/>
          <a:ext cx="8779047" cy="3876234"/>
        </a:xfrm>
        <a:prstGeom prst="rect">
          <a:avLst/>
        </a:prstGeom>
      </xdr:spPr>
    </xdr:pic>
    <xdr:clientData/>
  </xdr:twoCellAnchor>
  <xdr:twoCellAnchor editAs="oneCell">
    <xdr:from>
      <xdr:col>0</xdr:col>
      <xdr:colOff>952500</xdr:colOff>
      <xdr:row>226</xdr:row>
      <xdr:rowOff>133350</xdr:rowOff>
    </xdr:from>
    <xdr:to>
      <xdr:col>11</xdr:col>
      <xdr:colOff>637065</xdr:colOff>
      <xdr:row>265</xdr:row>
      <xdr:rowOff>84849</xdr:rowOff>
    </xdr:to>
    <xdr:pic>
      <xdr:nvPicPr>
        <xdr:cNvPr id="19" name="图片 18">
          <a:extLst>
            <a:ext uri="{FF2B5EF4-FFF2-40B4-BE49-F238E27FC236}">
              <a16:creationId xmlns:a16="http://schemas.microsoft.com/office/drawing/2014/main" xmlns="" id="{00000000-0008-0000-1900-000013000000}"/>
            </a:ext>
          </a:extLst>
        </xdr:cNvPr>
        <xdr:cNvPicPr>
          <a:picLocks noChangeAspect="1"/>
        </xdr:cNvPicPr>
      </xdr:nvPicPr>
      <xdr:blipFill>
        <a:blip xmlns:r="http://schemas.openxmlformats.org/officeDocument/2006/relationships" r:embed="rId14"/>
        <a:stretch>
          <a:fillRect/>
        </a:stretch>
      </xdr:blipFill>
      <xdr:spPr>
        <a:xfrm>
          <a:off x="952500" y="44908470"/>
          <a:ext cx="8874285" cy="7678179"/>
        </a:xfrm>
        <a:prstGeom prst="rect">
          <a:avLst/>
        </a:prstGeom>
      </xdr:spPr>
    </xdr:pic>
    <xdr:clientData/>
  </xdr:twoCellAnchor>
  <xdr:twoCellAnchor editAs="oneCell">
    <xdr:from>
      <xdr:col>0</xdr:col>
      <xdr:colOff>476250</xdr:colOff>
      <xdr:row>266</xdr:row>
      <xdr:rowOff>161925</xdr:rowOff>
    </xdr:from>
    <xdr:to>
      <xdr:col>7</xdr:col>
      <xdr:colOff>1155</xdr:colOff>
      <xdr:row>292</xdr:row>
      <xdr:rowOff>56575</xdr:rowOff>
    </xdr:to>
    <xdr:pic>
      <xdr:nvPicPr>
        <xdr:cNvPr id="20" name="图片 19">
          <a:extLst>
            <a:ext uri="{FF2B5EF4-FFF2-40B4-BE49-F238E27FC236}">
              <a16:creationId xmlns:a16="http://schemas.microsoft.com/office/drawing/2014/main" xmlns="" id="{00000000-0008-0000-1900-000014000000}"/>
            </a:ext>
          </a:extLst>
        </xdr:cNvPr>
        <xdr:cNvPicPr>
          <a:picLocks noChangeAspect="1"/>
        </xdr:cNvPicPr>
      </xdr:nvPicPr>
      <xdr:blipFill>
        <a:blip xmlns:r="http://schemas.openxmlformats.org/officeDocument/2006/relationships" r:embed="rId15"/>
        <a:stretch>
          <a:fillRect/>
        </a:stretch>
      </xdr:blipFill>
      <xdr:spPr>
        <a:xfrm>
          <a:off x="476250" y="52861845"/>
          <a:ext cx="5994285" cy="5045770"/>
        </a:xfrm>
        <a:prstGeom prst="rect">
          <a:avLst/>
        </a:prstGeom>
      </xdr:spPr>
    </xdr:pic>
    <xdr:clientData/>
  </xdr:twoCellAnchor>
  <xdr:twoCellAnchor editAs="oneCell">
    <xdr:from>
      <xdr:col>8</xdr:col>
      <xdr:colOff>0</xdr:colOff>
      <xdr:row>267</xdr:row>
      <xdr:rowOff>0</xdr:rowOff>
    </xdr:from>
    <xdr:to>
      <xdr:col>17</xdr:col>
      <xdr:colOff>404864</xdr:colOff>
      <xdr:row>291</xdr:row>
      <xdr:rowOff>37553</xdr:rowOff>
    </xdr:to>
    <xdr:pic>
      <xdr:nvPicPr>
        <xdr:cNvPr id="21" name="图片 20">
          <a:extLst>
            <a:ext uri="{FF2B5EF4-FFF2-40B4-BE49-F238E27FC236}">
              <a16:creationId xmlns:a16="http://schemas.microsoft.com/office/drawing/2014/main" xmlns="" id="{00000000-0008-0000-1900-000015000000}"/>
            </a:ext>
          </a:extLst>
        </xdr:cNvPr>
        <xdr:cNvPicPr>
          <a:picLocks noChangeAspect="1"/>
        </xdr:cNvPicPr>
      </xdr:nvPicPr>
      <xdr:blipFill>
        <a:blip xmlns:r="http://schemas.openxmlformats.org/officeDocument/2006/relationships" r:embed="rId16"/>
        <a:stretch>
          <a:fillRect/>
        </a:stretch>
      </xdr:blipFill>
      <xdr:spPr>
        <a:xfrm>
          <a:off x="6941820" y="52898040"/>
          <a:ext cx="7201904" cy="47924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22&#27982;&#21335;&#21830;&#19994;&#22303;&#22320;&#20108;&#23457;-&#35299;&#22269;&#26126;20220920-1048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基准地价系数修正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row r="98">
          <cell r="B98" t="str">
            <v>毗邻道路的类型与等级</v>
          </cell>
        </row>
        <row r="113">
          <cell r="B113" t="str">
            <v>宗地开发程度</v>
          </cell>
        </row>
        <row r="115">
          <cell r="B115" t="str">
            <v>工程地质条件</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房地产市场价值预评估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受贵公司委托，我公司对房地产市场价值进行了预评估。</v>
      </c>
    </row>
    <row r="7" spans="1:2" s="1363" customFormat="1">
      <c r="A7" s="1361" t="s">
        <v>1231</v>
      </c>
      <c r="B7" s="1362" t="str">
        <f>'预评函-1'!A7</f>
        <v>估价对象为房地产，为所有。根据《国有土地使用证》[]，估价对象（分摊）出让国有建设用地使用权面积为27014.8平方米，建筑面积为43436.4平方米。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估价对象为房地产,属开发建设的，该项目尚在开发建设中。根据《国有土地使用证》[]，估价对象（分摊）出让国有建设用地使用权面积为27014.8平方米，规划建筑面积为43436.4平方米。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2021年12月31日</v>
      </c>
    </row>
    <row r="13" spans="1:2" s="1363" customFormat="1">
      <c r="A13" s="1361" t="s">
        <v>1194</v>
      </c>
      <c r="B13" s="1362"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5" thickBot="1">
      <c r="A18" s="1364" t="s">
        <v>1199</v>
      </c>
      <c r="B18" s="1365" t="str">
        <f>'预评函-1'!A24</f>
        <v>本次评估采用的主估价方法为基准地价系数修正法和收益法。</v>
      </c>
    </row>
    <row r="19" spans="1:2" s="1360" customFormat="1" ht="15"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f ca="1">'预评函-2'!D5</f>
        <v>27299</v>
      </c>
    </row>
    <row r="21" spans="1:2" s="1363" customFormat="1">
      <c r="A21" s="1361" t="s">
        <v>1202</v>
      </c>
      <c r="B21" s="1362">
        <f ca="1">'预评函-2'!D7</f>
        <v>6285</v>
      </c>
    </row>
    <row r="22" spans="1:2" s="1363" customFormat="1">
      <c r="A22" s="1361" t="s">
        <v>1203</v>
      </c>
      <c r="B22" s="1362" t="str">
        <f ca="1">'预评函-2'!D6</f>
        <v>贰亿柒仟贰佰玖拾玖万元整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27299</v>
      </c>
    </row>
    <row r="31" spans="1:2" s="1363" customFormat="1">
      <c r="A31" s="1361" t="s">
        <v>1241</v>
      </c>
      <c r="B31" s="1362">
        <f ca="1">'预评函-2'!D15</f>
        <v>6285</v>
      </c>
    </row>
    <row r="32" spans="1:2" s="1363" customFormat="1">
      <c r="A32" s="1361" t="s">
        <v>1208</v>
      </c>
      <c r="B32" s="1362" t="str">
        <f ca="1">'预评函-2'!D14</f>
        <v>贰亿柒仟贰佰玖拾玖万元整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43436.4</v>
      </c>
    </row>
    <row r="44" spans="1:2" s="1363" customFormat="1">
      <c r="A44" s="1361" t="s">
        <v>1240</v>
      </c>
      <c r="B44" s="1362" t="str">
        <f>'预评函-3'!C2</f>
        <v>(分摊)土地面积</v>
      </c>
    </row>
    <row r="45" spans="1:2" s="1363" customFormat="1">
      <c r="A45" s="1361" t="s">
        <v>1212</v>
      </c>
      <c r="B45" s="1362">
        <f>'预评函-3'!C4</f>
        <v>27014.799999999999</v>
      </c>
    </row>
    <row r="46" spans="1:2" s="1363" customFormat="1">
      <c r="A46" s="1361" t="s">
        <v>1238</v>
      </c>
      <c r="B46" s="1362" t="str">
        <f>'预评函-3'!D2</f>
        <v>出让国有建设用地使用权价值</v>
      </c>
    </row>
    <row r="47" spans="1:2" s="1363" customFormat="1">
      <c r="A47" s="1361" t="s">
        <v>1213</v>
      </c>
      <c r="B47" s="1362">
        <f ca="1">'预评函-3'!D4</f>
        <v>-57082</v>
      </c>
    </row>
    <row r="48" spans="1:2" s="1363" customFormat="1">
      <c r="A48" s="1361" t="s">
        <v>1214</v>
      </c>
      <c r="B48" s="1362">
        <f ca="1">'预评函-3'!E4</f>
        <v>-13141</v>
      </c>
    </row>
    <row r="49" spans="1:2" s="1363" customFormat="1">
      <c r="A49" s="1361" t="s">
        <v>1215</v>
      </c>
      <c r="B49" s="1362" t="e">
        <f ca="1">'预评函-3'!D5</f>
        <v>#NUM!</v>
      </c>
    </row>
    <row r="50" spans="1:2" s="1363" customFormat="1">
      <c r="A50" s="1361" t="s">
        <v>1239</v>
      </c>
      <c r="B50" s="1362" t="str">
        <f>'预评函-3'!F2</f>
        <v>在建建筑物价值</v>
      </c>
    </row>
    <row r="51" spans="1:2" s="1363" customFormat="1">
      <c r="A51" s="1361" t="s">
        <v>1216</v>
      </c>
      <c r="B51" s="1362">
        <f ca="1">'预评函-3'!F4</f>
        <v>84381</v>
      </c>
    </row>
    <row r="52" spans="1:2" s="1363" customFormat="1">
      <c r="A52" s="1361" t="s">
        <v>1217</v>
      </c>
      <c r="B52" s="1362">
        <f ca="1">'预评函-3'!G4</f>
        <v>19426</v>
      </c>
    </row>
    <row r="53" spans="1:2" s="1363" customFormat="1">
      <c r="A53" s="1361" t="s">
        <v>1245</v>
      </c>
      <c r="B53" s="1362" t="str">
        <f ca="1">'预评函-3'!F5</f>
        <v>捌亿肆仟叁佰捌拾壹万元整</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3288</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7" t="s">
        <v>832</v>
      </c>
      <c r="C54" s="1734" t="s">
        <v>1248</v>
      </c>
    </row>
    <row r="55" spans="1:4">
      <c r="A55" s="3134"/>
      <c r="B55" s="1737" t="s">
        <v>833</v>
      </c>
      <c r="C55" s="1734" t="s">
        <v>1249</v>
      </c>
    </row>
    <row r="56" spans="1:4">
      <c r="A56" s="3134"/>
      <c r="B56" s="1737" t="s">
        <v>834</v>
      </c>
      <c r="C56" s="1734" t="s">
        <v>1253</v>
      </c>
    </row>
    <row r="57" spans="1:4">
      <c r="A57" s="313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43" t="str">
        <f>IF(B10="北京市","北京市",C10)&amp;F10&amp;IF(结果表!G1="在建","出让国有建设用地使用权及在建建筑物",IF(结果表!G1="土地","出让国有建设用地使用权",))&amp;B9&amp;"预评估"</f>
        <v>房地产市场价值预评估</v>
      </c>
      <c r="C1" s="3144"/>
      <c r="D1" s="3144"/>
      <c r="E1" s="3144"/>
      <c r="F1" s="3144"/>
      <c r="G1" s="3144"/>
      <c r="H1" s="3144"/>
      <c r="I1" s="3145"/>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房地产市场价值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2915</v>
      </c>
      <c r="B3" s="2595"/>
      <c r="C3" s="2596" t="s">
        <v>2916</v>
      </c>
      <c r="D3" s="2595">
        <v>44561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3065</v>
      </c>
      <c r="C8" s="2612"/>
      <c r="D8" s="3146" t="s">
        <v>2922</v>
      </c>
      <c r="E8" s="2613" t="s">
        <v>3066</v>
      </c>
      <c r="F8" s="2614"/>
      <c r="G8" s="2888"/>
      <c r="H8" s="2888"/>
      <c r="I8" s="2888"/>
      <c r="J8" s="2663"/>
      <c r="K8" s="2838"/>
      <c r="L8" s="2837"/>
      <c r="M8" s="2837"/>
      <c r="N8" s="2663"/>
      <c r="O8" s="2674"/>
      <c r="P8" s="2663"/>
      <c r="Q8" s="2663"/>
      <c r="R8" s="2663"/>
    </row>
    <row r="9" spans="1:28" ht="13.5" thickBot="1">
      <c r="A9" s="2615" t="s">
        <v>2923</v>
      </c>
      <c r="B9" s="2616" t="s">
        <v>3120</v>
      </c>
      <c r="C9" s="2617"/>
      <c r="D9" s="3147"/>
      <c r="E9" s="2616"/>
      <c r="F9" s="2618"/>
      <c r="G9" s="2890"/>
      <c r="H9" s="2890"/>
      <c r="I9" s="2890"/>
      <c r="J9" s="2663"/>
      <c r="K9" s="2840"/>
      <c r="L9" s="2837"/>
      <c r="M9" s="2837"/>
      <c r="N9" s="2663"/>
      <c r="O9" s="2674"/>
      <c r="P9" s="2663"/>
      <c r="Q9" s="2663"/>
      <c r="R9" s="2663"/>
    </row>
    <row r="10" spans="1:28" ht="13.5" thickTop="1">
      <c r="A10" s="2619" t="s">
        <v>2924</v>
      </c>
      <c r="B10" s="2620" t="s">
        <v>3067</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3068</v>
      </c>
      <c r="C11" s="2625"/>
      <c r="D11" s="2626"/>
      <c r="E11" s="2592"/>
      <c r="F11" s="2592"/>
      <c r="G11" s="2592"/>
      <c r="H11" s="2592"/>
      <c r="I11" s="2592"/>
      <c r="J11" s="2663"/>
      <c r="K11" s="2840"/>
      <c r="L11" s="2837"/>
      <c r="M11" s="2837"/>
      <c r="N11" s="2663"/>
      <c r="O11" s="2674"/>
      <c r="P11" s="2663"/>
      <c r="Q11" s="2663"/>
      <c r="R11" s="2663"/>
    </row>
    <row r="12" spans="1:28">
      <c r="A12" s="2627" t="s">
        <v>2927</v>
      </c>
      <c r="B12" s="2624" t="s">
        <v>3064</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47965</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9.32</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53"/>
      <c r="C16" s="3154"/>
      <c r="D16" s="3155"/>
      <c r="E16" s="2637" t="s">
        <v>2939</v>
      </c>
      <c r="F16" s="3156"/>
      <c r="G16" s="3157"/>
      <c r="H16" s="3157"/>
      <c r="I16" s="3158"/>
      <c r="J16" s="2663"/>
      <c r="K16" s="2842"/>
      <c r="L16" s="2675"/>
      <c r="M16" s="2675"/>
      <c r="N16" s="2733"/>
      <c r="O16" s="2675"/>
      <c r="P16" s="2733"/>
      <c r="Q16" s="2663"/>
      <c r="R16" s="2663"/>
    </row>
    <row r="17" spans="1:28">
      <c r="A17" s="319" t="s">
        <v>2940</v>
      </c>
      <c r="B17" s="308" t="s">
        <v>2941</v>
      </c>
      <c r="C17" s="11">
        <f>'数据-汇总表'!E3</f>
        <v>43436.4</v>
      </c>
      <c r="D17" s="2543" t="s">
        <v>2942</v>
      </c>
      <c r="E17" s="3159" t="s">
        <v>2943</v>
      </c>
      <c r="F17" s="3160"/>
      <c r="G17" s="3160"/>
      <c r="H17" s="3160"/>
      <c r="I17" s="3161"/>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27014.799999999999</v>
      </c>
      <c r="D18" s="1251" t="s">
        <v>2946</v>
      </c>
      <c r="E18" s="3162" t="s">
        <v>2947</v>
      </c>
      <c r="F18" s="3163"/>
      <c r="G18" s="3163"/>
      <c r="H18" s="3163"/>
      <c r="I18" s="3164"/>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49" t="s">
        <v>2951</v>
      </c>
      <c r="C20" s="3150"/>
      <c r="D20" s="3151" t="s">
        <v>2952</v>
      </c>
      <c r="E20" s="3152"/>
      <c r="F20" s="2872" t="s">
        <v>1742</v>
      </c>
      <c r="G20" s="2889"/>
      <c r="H20" s="2889"/>
      <c r="I20" s="2889"/>
      <c r="J20" s="2663"/>
      <c r="K20" s="3148"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4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4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6"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6"/>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6"/>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7"/>
      <c r="B30" s="308" t="s">
        <v>2963</v>
      </c>
      <c r="C30" s="3138"/>
      <c r="D30" s="3139"/>
      <c r="E30" s="2889"/>
      <c r="F30" s="2889"/>
      <c r="G30" s="2889"/>
      <c r="H30" s="2889"/>
      <c r="I30" s="2889"/>
      <c r="J30" s="2663"/>
      <c r="K30" s="2840"/>
      <c r="L30" s="2837"/>
      <c r="M30" s="2837"/>
      <c r="N30" s="2663"/>
      <c r="O30" s="2674"/>
      <c r="P30" s="2663"/>
      <c r="Q30" s="2663"/>
      <c r="R30" s="2663"/>
      <c r="S30" s="2663"/>
      <c r="T30" s="2663"/>
      <c r="U30" s="2663"/>
      <c r="V30" s="2663"/>
    </row>
    <row r="31" spans="1:28">
      <c r="A31" s="3140"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41"/>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41"/>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35" t="s">
        <v>2973</v>
      </c>
      <c r="T34" s="2652" t="str">
        <f>NUMBERSTRING(7-K34,1)&amp;"通"</f>
        <v>七通</v>
      </c>
      <c r="U34" s="2663"/>
      <c r="V34" s="2663"/>
    </row>
    <row r="35" spans="1:30">
      <c r="A35" s="2653"/>
      <c r="B35" s="3142" t="s">
        <v>2974</v>
      </c>
      <c r="C35" s="3142"/>
      <c r="D35" s="3142"/>
      <c r="E35" s="3142"/>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5"/>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Sheet1!G7</f>
        <v>27014.799999999999</v>
      </c>
      <c r="B3" s="14">
        <f>IF(C3="否",G5-AT5,G5)</f>
        <v>43436.4</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43436.4</v>
      </c>
      <c r="H5" s="16">
        <f t="shared" ref="H5:AT5" si="0">SUM(H13:H656)</f>
        <v>43436.4</v>
      </c>
      <c r="I5" s="16">
        <f t="shared" si="0"/>
        <v>43436.4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43436.4</v>
      </c>
      <c r="BA5" s="18">
        <f t="shared" si="1"/>
        <v>43436.4</v>
      </c>
      <c r="BB5" s="18">
        <f t="shared" si="1"/>
        <v>43436.4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27014.799999999999</v>
      </c>
      <c r="F6" s="16" t="s">
        <v>1</v>
      </c>
      <c r="G6" s="16" t="s">
        <v>2</v>
      </c>
      <c r="H6" s="20">
        <f>SUMIF(I$12:AB$12,"总值",I6:AB6)</f>
        <v>27014.799999999999</v>
      </c>
      <c r="I6" s="16">
        <f t="shared" ref="I6:AB6" si="2">ROUND($A$3*I5/$B$3,2)</f>
        <v>27014.799999999999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27014.799999999999</v>
      </c>
      <c r="AZ6" s="16" t="s">
        <v>3</v>
      </c>
      <c r="BA6" s="16">
        <f>ROUND($AY$6*BA5/$AZ$5,2)</f>
        <v>27014.799999999999</v>
      </c>
      <c r="BB6" s="16">
        <f>ROUND($AY$6*BB5/$AZ$5,2)</f>
        <v>27014.799999999999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c r="D13" s="1808" t="s">
        <v>3069</v>
      </c>
      <c r="E13" s="16">
        <f>IF($C$3="是",ROUND($A$3*G13/$B$3,2),ROUND($A$3*(G13-AT13)/$B$3,2))</f>
        <v>27014.799999999999</v>
      </c>
      <c r="F13" s="32"/>
      <c r="G13" s="33">
        <f>H13+AC13+AT13</f>
        <v>43436.4</v>
      </c>
      <c r="H13" s="20">
        <f>SUMIF(I$12:AB$12,"总值",I13:AB13)</f>
        <v>43436.4</v>
      </c>
      <c r="I13" s="1809">
        <v>43436.4</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27014.799999999999</v>
      </c>
      <c r="AZ13" s="16">
        <f>BA13+BL13</f>
        <v>43436.4</v>
      </c>
      <c r="BA13" s="16">
        <f>SUM(BB13:BK13)</f>
        <v>43436.4</v>
      </c>
      <c r="BB13" s="16">
        <f>IF($D13="是",I13-J13,0)</f>
        <v>43436.4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35" sqref="F35"/>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76" t="s">
        <v>1817</v>
      </c>
      <c r="B2" s="3176"/>
      <c r="C2" s="3176"/>
      <c r="D2" s="903" t="s">
        <v>1793</v>
      </c>
      <c r="E2" s="1822" t="s">
        <v>1794</v>
      </c>
      <c r="F2" s="2884"/>
      <c r="G2" s="2875"/>
      <c r="H2" s="2876"/>
      <c r="I2" s="2546" t="s">
        <v>1818</v>
      </c>
      <c r="J2" s="2884"/>
      <c r="K2" s="2884"/>
      <c r="L2" s="2884"/>
      <c r="M2" s="2884"/>
      <c r="N2" s="2886"/>
      <c r="O2" s="2884"/>
      <c r="P2" s="2884"/>
    </row>
    <row r="3" spans="1:16" ht="15.75" thickBot="1">
      <c r="A3" s="3177" t="s">
        <v>1791</v>
      </c>
      <c r="B3" s="3177"/>
      <c r="C3" s="3177"/>
      <c r="D3" s="46">
        <f>'数据-基础表'!AY6</f>
        <v>27014.799999999999</v>
      </c>
      <c r="E3" s="46">
        <f>'数据-基础表'!AZ5</f>
        <v>43436.4</v>
      </c>
      <c r="F3" s="2884"/>
      <c r="G3" s="1306"/>
      <c r="H3" s="1156" t="s">
        <v>1792</v>
      </c>
      <c r="I3" s="963">
        <f>ROUND('数据-基础表'!B3/'数据-基础表'!A3,2)</f>
        <v>1.61</v>
      </c>
      <c r="J3" s="2884"/>
      <c r="K3" s="2884"/>
      <c r="L3" s="2884"/>
      <c r="M3" s="2884"/>
      <c r="N3" s="2886"/>
      <c r="O3" s="2884"/>
      <c r="P3" s="2884"/>
    </row>
    <row r="4" spans="1:16" ht="15">
      <c r="A4" s="3178"/>
      <c r="B4" s="3179"/>
      <c r="C4" s="3180"/>
      <c r="D4" s="1824" t="s">
        <v>1793</v>
      </c>
      <c r="E4" s="1825" t="s">
        <v>1794</v>
      </c>
      <c r="F4" s="2884"/>
      <c r="G4" s="2877" t="s">
        <v>1819</v>
      </c>
      <c r="H4" s="1156" t="s">
        <v>1799</v>
      </c>
      <c r="I4" s="963">
        <f>ROUND(SUMIF('数据-基础表'!I9:AS9,"地上",'数据-基础表'!I5:AS5)/'数据-基础表'!A3,2)</f>
        <v>1.61</v>
      </c>
      <c r="J4" s="2884"/>
      <c r="K4" s="2884"/>
      <c r="L4" s="2884"/>
      <c r="M4" s="2884"/>
      <c r="N4" s="2886"/>
      <c r="O4" s="2884"/>
      <c r="P4" s="2884"/>
    </row>
    <row r="5" spans="1:16">
      <c r="A5" s="47" t="s">
        <v>1795</v>
      </c>
      <c r="B5" s="3181" t="s">
        <v>1796</v>
      </c>
      <c r="C5" s="3181"/>
      <c r="D5" s="48">
        <f>ROUND($D$3*E5/$E$3,2)</f>
        <v>0</v>
      </c>
      <c r="E5" s="49">
        <f>SUMIF('数据-基础表'!$11:$11,"住宅",'数据-基础表'!$5:$5)</f>
        <v>0</v>
      </c>
      <c r="F5" s="2884"/>
      <c r="G5" s="1306"/>
      <c r="H5" s="1156" t="s">
        <v>1792</v>
      </c>
      <c r="I5" s="963">
        <f>ROUND(E31/D31,2)</f>
        <v>1.61</v>
      </c>
      <c r="J5" s="2884"/>
      <c r="K5" s="2884"/>
      <c r="L5" s="2884"/>
      <c r="M5" s="2884"/>
      <c r="N5" s="2884"/>
      <c r="O5" s="2884"/>
      <c r="P5" s="2884"/>
    </row>
    <row r="6" spans="1:16" ht="15" thickBot="1">
      <c r="A6" s="1827"/>
      <c r="B6" s="3181" t="s">
        <v>1797</v>
      </c>
      <c r="C6" s="3181"/>
      <c r="D6" s="48">
        <f>ROUND($D$3*E6/$E$3,2)</f>
        <v>27014.799999999999</v>
      </c>
      <c r="E6" s="49">
        <f>E3-E5</f>
        <v>43436.4</v>
      </c>
      <c r="F6" s="2884"/>
      <c r="G6" s="2878" t="s">
        <v>1798</v>
      </c>
      <c r="H6" s="1307" t="s">
        <v>1799</v>
      </c>
      <c r="I6" s="2879">
        <f>ROUND(F31/D31,2)</f>
        <v>1.61</v>
      </c>
      <c r="J6" s="2884"/>
      <c r="K6" s="2884"/>
      <c r="L6" s="2884"/>
      <c r="M6" s="2884"/>
      <c r="N6" s="2884"/>
      <c r="O6" s="2884"/>
      <c r="P6" s="2884"/>
    </row>
    <row r="7" spans="1:16" ht="15.75" thickBot="1">
      <c r="A7" s="3173"/>
      <c r="B7" s="3174"/>
      <c r="C7" s="3175"/>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27014.799999999999</v>
      </c>
      <c r="E8" s="51">
        <f>SUMIF('数据-基础表'!BB10:BK10,"地上",'数据-基础表'!BB5:BK5)</f>
        <v>43436.4</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27014.799999999999</v>
      </c>
      <c r="E16" s="53">
        <f>SUM(E8:E15)</f>
        <v>43436.4</v>
      </c>
      <c r="F16" s="2884"/>
      <c r="G16" s="2885"/>
      <c r="H16" s="1831" t="s">
        <v>1821</v>
      </c>
      <c r="I16" s="1832"/>
      <c r="J16" s="1300"/>
      <c r="K16" s="3170" t="s">
        <v>1821</v>
      </c>
      <c r="L16" s="3171"/>
      <c r="M16" s="3171"/>
      <c r="N16" s="3171"/>
      <c r="O16" s="3171"/>
      <c r="P16" s="3172"/>
    </row>
    <row r="17" spans="1:19" ht="15">
      <c r="A17" s="1833" t="s">
        <v>1822</v>
      </c>
      <c r="B17" s="1834" t="s">
        <v>1823</v>
      </c>
      <c r="C17" s="1835" t="s">
        <v>1824</v>
      </c>
      <c r="D17" s="1836" t="s">
        <v>1812</v>
      </c>
      <c r="E17" s="1837" t="s">
        <v>1813</v>
      </c>
      <c r="F17" s="1838"/>
      <c r="G17" s="1839"/>
      <c r="H17" s="1840" t="s">
        <v>1825</v>
      </c>
      <c r="I17" s="1841" t="s">
        <v>1810</v>
      </c>
      <c r="J17" s="1300"/>
      <c r="K17" s="3167" t="s">
        <v>1826</v>
      </c>
      <c r="L17" s="3168"/>
      <c r="M17" s="3169"/>
      <c r="N17" s="3167" t="s">
        <v>1827</v>
      </c>
      <c r="O17" s="3168"/>
      <c r="P17" s="3169"/>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0" t="s">
        <v>3121</v>
      </c>
      <c r="D19" s="48">
        <f>ROUND($D$3*E19/$E$3,2)</f>
        <v>27014.799999999999</v>
      </c>
      <c r="E19" s="56">
        <f t="shared" ref="E19:E26" si="1">SUM(F19:G19)</f>
        <v>43436.4</v>
      </c>
      <c r="F19" s="3024">
        <f>'数据-基础表'!I13</f>
        <v>43436.4</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27014.799999999999</v>
      </c>
      <c r="S19" s="1157">
        <f t="shared" si="5"/>
        <v>43436.4</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27014.799999999999</v>
      </c>
      <c r="E27" s="1302">
        <f>IF(SUM(E19:E26)='数据-基础表'!BA5,SUM(E19:E26),IF(F27="地上面积有误","面积有误","地下面积有误"))</f>
        <v>43436.4</v>
      </c>
      <c r="F27" s="1301">
        <f>IF(SUM(F19:F26)=E8,SUM(F19:F26),"地上面积有误")</f>
        <v>43436.4</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27014.799999999999</v>
      </c>
      <c r="S27" s="1156">
        <f>IF(SUM(S19:S26)=$E$3,SUM(S19:S26),SUM(S19:S26)&amp;"误差"&amp;ROUND(SUM(S19:S26)-E3,2))</f>
        <v>43436.4</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27014.799999999999</v>
      </c>
      <c r="E31" s="684">
        <f>E27+E30</f>
        <v>43436.4</v>
      </c>
      <c r="F31" s="685">
        <f>F27+F30</f>
        <v>43436.4</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5"/>
  <sheetViews>
    <sheetView workbookViewId="0">
      <selection activeCell="G19" sqref="G19"/>
    </sheetView>
  </sheetViews>
  <sheetFormatPr defaultColWidth="9" defaultRowHeight="14.25"/>
  <cols>
    <col min="1" max="1" width="9" style="3071"/>
    <col min="2" max="2" width="29.375" style="3071" customWidth="1"/>
    <col min="3" max="3" width="20.5" style="3071" customWidth="1"/>
    <col min="4" max="4" width="19.5" style="3071" customWidth="1"/>
    <col min="5" max="5" width="9" style="3071"/>
    <col min="6" max="6" width="10.875" style="3071" customWidth="1"/>
    <col min="7" max="16384" width="9" style="3071"/>
  </cols>
  <sheetData>
    <row r="3" spans="2:9">
      <c r="B3" s="3071" t="s">
        <v>3122</v>
      </c>
      <c r="C3" s="3071" t="s">
        <v>3124</v>
      </c>
      <c r="D3" s="3071" t="s">
        <v>3126</v>
      </c>
      <c r="E3" s="3071" t="s">
        <v>3128</v>
      </c>
      <c r="F3" s="3071" t="s">
        <v>3130</v>
      </c>
      <c r="G3" s="3071" t="s">
        <v>3131</v>
      </c>
    </row>
    <row r="4" spans="2:9">
      <c r="B4" s="3071" t="s">
        <v>3123</v>
      </c>
      <c r="C4" s="3071" t="s">
        <v>3125</v>
      </c>
      <c r="D4" s="3071" t="s">
        <v>3127</v>
      </c>
      <c r="E4" s="3071" t="s">
        <v>3129</v>
      </c>
      <c r="F4" s="3072">
        <v>47965</v>
      </c>
      <c r="G4" s="3071">
        <v>2773.6</v>
      </c>
      <c r="I4" s="3071">
        <f>G10-I5-I6</f>
        <v>4408.0700000000033</v>
      </c>
    </row>
    <row r="5" spans="2:9">
      <c r="B5" s="3071" t="s">
        <v>3132</v>
      </c>
      <c r="C5" s="3071" t="s">
        <v>3125</v>
      </c>
      <c r="D5" s="3071" t="s">
        <v>3127</v>
      </c>
      <c r="E5" s="3071" t="s">
        <v>3129</v>
      </c>
      <c r="F5" s="3072">
        <v>47965</v>
      </c>
      <c r="G5" s="3071">
        <v>10767.3</v>
      </c>
      <c r="I5" s="3071">
        <f>ROUND(G5*1.61,2)</f>
        <v>17335.349999999999</v>
      </c>
    </row>
    <row r="6" spans="2:9">
      <c r="B6" s="3071" t="s">
        <v>3133</v>
      </c>
      <c r="C6" s="3071" t="s">
        <v>3125</v>
      </c>
      <c r="D6" s="3071" t="s">
        <v>3127</v>
      </c>
      <c r="E6" s="3071" t="s">
        <v>3129</v>
      </c>
      <c r="F6" s="3072">
        <v>47965</v>
      </c>
      <c r="G6" s="3071">
        <v>13473.9</v>
      </c>
      <c r="I6" s="3071">
        <f>ROUND(G6*1.61,2)</f>
        <v>21692.98</v>
      </c>
    </row>
    <row r="7" spans="2:9">
      <c r="G7" s="3071">
        <f>SUM(G4:G6)</f>
        <v>27014.799999999999</v>
      </c>
    </row>
    <row r="9" spans="2:9">
      <c r="B9" s="3071" t="s">
        <v>3134</v>
      </c>
      <c r="C9" s="3071" t="s">
        <v>3136</v>
      </c>
      <c r="D9" s="3071" t="s">
        <v>3137</v>
      </c>
      <c r="E9" s="3071" t="s">
        <v>3139</v>
      </c>
      <c r="F9" s="3071" t="s">
        <v>3141</v>
      </c>
      <c r="G9" s="3071" t="s">
        <v>3142</v>
      </c>
    </row>
    <row r="10" spans="2:9">
      <c r="B10" s="3071" t="s">
        <v>3135</v>
      </c>
      <c r="C10" s="3071" t="s">
        <v>3125</v>
      </c>
      <c r="D10" s="3071" t="s">
        <v>3138</v>
      </c>
      <c r="E10" s="3071" t="s">
        <v>3140</v>
      </c>
      <c r="F10" s="3071">
        <v>3</v>
      </c>
      <c r="G10" s="3071">
        <v>43436.4</v>
      </c>
    </row>
    <row r="12" spans="2:9">
      <c r="F12" s="3071" t="s">
        <v>3148</v>
      </c>
      <c r="G12" s="3071">
        <v>15347.3</v>
      </c>
    </row>
    <row r="13" spans="2:9">
      <c r="F13" s="3071" t="s">
        <v>3149</v>
      </c>
      <c r="G13" s="3071">
        <v>13292.8</v>
      </c>
    </row>
    <row r="14" spans="2:9">
      <c r="F14" s="3071" t="s">
        <v>3150</v>
      </c>
      <c r="G14" s="3071">
        <v>14796.3</v>
      </c>
    </row>
    <row r="15" spans="2:9">
      <c r="G15" s="3071">
        <f>SUM(G12:G14)</f>
        <v>43436.399999999994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2.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44561</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3071</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47965</v>
      </c>
      <c r="F6" s="68">
        <f>SUMIF(项目基本情况!D$12:I$12,C6,项目基本情况!D$15:I$15)</f>
        <v>9.32</v>
      </c>
      <c r="G6" s="69">
        <f>IF(ISERROR(ROUND(POWER(1+H6,D6-F6)*(POWER(1+H6,F6)-1)/(POWER(1+H6,D6)-1),3)),0,ROUND(POWER(1+H6,D6-F6)*(POWER(1+H6,F6)-1)/(POWER(1+H6,D6)-1),3))</f>
        <v>0.42599999999999999</v>
      </c>
      <c r="H6" s="740">
        <v>0.05</v>
      </c>
      <c r="I6" s="740">
        <v>5.5E-2</v>
      </c>
      <c r="J6" s="70">
        <v>7.4999999999999997E-2</v>
      </c>
      <c r="K6" s="1160">
        <f>SUMIF('数据-汇总表'!C$19:C$33,A6,'数据-汇总表'!E$19:E$33)</f>
        <v>43436.4</v>
      </c>
      <c r="L6" s="741">
        <v>3500</v>
      </c>
      <c r="M6" s="71">
        <f t="shared" ref="M6:M14" si="0">ROUND(K6*L6/10000,0)</f>
        <v>15203</v>
      </c>
      <c r="N6" s="739">
        <f>N21</f>
        <v>0.81</v>
      </c>
      <c r="O6" s="71" t="str">
        <f>IF($N$5="成新度","——",ROUND(M6*N6,0))</f>
        <v>——</v>
      </c>
      <c r="P6" s="72" t="str">
        <f>IF($N$5="成新度","——",M6-O6)</f>
        <v>——</v>
      </c>
      <c r="Q6" s="742">
        <v>0.2</v>
      </c>
      <c r="R6" s="73">
        <f ca="1">SUMIF('数据-汇总表'!C$19:C$33,A6,'数据-汇总表'!R$19:R$27)</f>
        <v>27014.799999999999</v>
      </c>
      <c r="S6" s="54">
        <f>IF('数据-汇总表'!$I$17="按面积比例",SUMIF('数据-汇总表'!C$19:C$33,A6,'数据-汇总表'!K$19:K$33),SUMIF('数据-汇总表'!C$19:C$33,A6,'数据-汇总表'!N$19:N$33))</f>
        <v>0</v>
      </c>
      <c r="T6" s="1333">
        <f>ROUND($L$14*S6/10000,0)</f>
        <v>0</v>
      </c>
      <c r="U6" s="3070">
        <v>1</v>
      </c>
      <c r="V6" s="3086">
        <v>0.03</v>
      </c>
      <c r="W6" s="75">
        <v>0.1</v>
      </c>
      <c r="X6" s="1170"/>
      <c r="Y6" s="76">
        <f>N6</f>
        <v>0.81</v>
      </c>
      <c r="Z6" s="77"/>
      <c r="AA6" s="70"/>
      <c r="AB6" s="70"/>
      <c r="AC6" s="1170"/>
      <c r="AD6" s="78"/>
      <c r="AE6" s="1171">
        <f ca="1">IF(AN6="",0,SUMIF(INDIRECT("'"&amp;AN6&amp;"'"&amp;"!E:E"),$AE$5,INDIRECT("'"&amp;AN6&amp;"'"&amp;"!F:F")))</f>
        <v>9.32</v>
      </c>
      <c r="AF6" s="1530"/>
      <c r="AG6" s="143">
        <f>IF(AF6="",0,AE6-AF6)</f>
        <v>0</v>
      </c>
      <c r="AH6" s="79"/>
      <c r="AI6" s="81">
        <v>365</v>
      </c>
      <c r="AJ6" s="82"/>
      <c r="AK6" s="90">
        <v>1.4999999999999999E-2</v>
      </c>
      <c r="AL6" s="84">
        <v>1.5E-3</v>
      </c>
      <c r="AM6" s="85">
        <v>1.4999999999999999E-2</v>
      </c>
      <c r="AN6" s="1899" t="s">
        <v>3073</v>
      </c>
      <c r="AO6" s="55">
        <f ca="1">SUMIF(INDIRECT("'"&amp;AN6&amp;"'"&amp;"!A:A"),"总价",INDIRECT("'"&amp;AN6&amp;"'"&amp;"!B:B"))</f>
        <v>13108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14.25">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0.42599999999999999</v>
      </c>
      <c r="H16" s="95">
        <f>ROUND(SUMPRODUCT(H6:H13,K6:K13)/SUMPRODUCT((H6:H13&gt;0)*(K6:K13)),3)</f>
        <v>0.05</v>
      </c>
      <c r="I16" s="96"/>
      <c r="J16" s="96"/>
      <c r="K16" s="97">
        <f>SUM(K6:K15)</f>
        <v>43436.4</v>
      </c>
      <c r="L16" s="98">
        <f>ROUND(M16*10000/SUM(K6:K14),0)</f>
        <v>3500</v>
      </c>
      <c r="M16" s="98">
        <f>SUM(M6:M14)</f>
        <v>15203</v>
      </c>
      <c r="N16" s="99">
        <f>ROUND(SUMPRODUCT(M6:M14,N6:N14)/M16,3)</f>
        <v>0.81</v>
      </c>
      <c r="O16" s="98">
        <f>SUM(O6:O14)</f>
        <v>0</v>
      </c>
      <c r="P16" s="98">
        <f>SUM(P6:P14)</f>
        <v>0</v>
      </c>
      <c r="Q16" s="100">
        <f>ROUND(SUMPRODUCT(Q6:Q13,K6:K13)/SUMPRODUCT((Q6:Q13&gt;0)*(K6:K13)),2)</f>
        <v>0.2</v>
      </c>
      <c r="R16" s="1164">
        <f ca="1">SUM(R6:R13)</f>
        <v>27014.799999999999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v>2008</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f>ROUND(1-(2022-N18)/60,2)</f>
        <v>0.77</v>
      </c>
      <c r="O19" s="2898"/>
      <c r="P19" s="2898"/>
      <c r="Q19" s="2898"/>
      <c r="R19" s="2898"/>
      <c r="S19" s="2898"/>
      <c r="T19" s="2898"/>
      <c r="U19" s="2898">
        <f>ROUND(12000000/365/'数据-汇总表'!F27,2)</f>
        <v>0.76</v>
      </c>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v>0.85</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f>ROUND((N19+N20)/2,2)</f>
        <v>0.81</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14.25">
      <c r="A27" s="1911" t="s">
        <v>1906</v>
      </c>
      <c r="B27" s="112"/>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120</v>
      </c>
      <c r="C28" s="2907"/>
      <c r="D28" s="2906" t="s">
        <v>3143</v>
      </c>
      <c r="E28" s="2886"/>
      <c r="F28" s="2886">
        <v>120</v>
      </c>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f ca="1">成本法!C10</f>
        <v>521</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3072</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0.04</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442</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30</v>
      </c>
      <c r="C54" s="2886">
        <v>30</v>
      </c>
      <c r="D54" s="2903" t="s">
        <v>3144</v>
      </c>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21</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v>9</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v>6</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82" t="s">
        <v>3031</v>
      </c>
      <c r="B1" s="3183"/>
      <c r="C1" s="3183"/>
      <c r="D1" s="3183"/>
      <c r="E1" s="3183"/>
      <c r="F1" s="3183"/>
      <c r="G1" s="318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c r="A1" s="2736" t="s">
        <v>1331</v>
      </c>
      <c r="B1" s="2736">
        <f>SUM(B14:B23)</f>
        <v>43436.4</v>
      </c>
      <c r="C1" s="2913"/>
      <c r="D1" s="2913"/>
      <c r="E1" s="2913"/>
      <c r="F1" s="2913"/>
      <c r="G1" s="2914"/>
      <c r="H1" s="2915"/>
      <c r="I1" s="2915"/>
      <c r="J1" s="2915"/>
      <c r="K1" s="2915"/>
    </row>
    <row r="2" spans="1:11">
      <c r="A2" s="2736" t="s">
        <v>1319</v>
      </c>
      <c r="B2" s="2736">
        <f>SUM(C14:C23)</f>
        <v>27014.799999999999</v>
      </c>
      <c r="C2" s="2913"/>
      <c r="D2" s="2913"/>
      <c r="E2" s="2913"/>
      <c r="F2" s="2913"/>
      <c r="G2" s="2914"/>
      <c r="H2" s="2915"/>
      <c r="I2" s="2915"/>
      <c r="J2" s="2915"/>
      <c r="K2" s="2915"/>
    </row>
    <row r="3" spans="1:11">
      <c r="A3" s="2736" t="s">
        <v>1328</v>
      </c>
      <c r="B3" s="2738">
        <f>项目基本情况!D3</f>
        <v>44561</v>
      </c>
      <c r="C3" s="2913"/>
      <c r="D3" s="2913"/>
      <c r="E3" s="2913"/>
      <c r="F3" s="2913"/>
      <c r="G3" s="2914"/>
      <c r="H3" s="2915"/>
      <c r="I3" s="2915"/>
      <c r="J3" s="2915"/>
      <c r="K3" s="2915"/>
    </row>
    <row r="4" spans="1:11" ht="27">
      <c r="A4" s="2736" t="s">
        <v>1327</v>
      </c>
      <c r="B4" s="2736" t="s">
        <v>1326</v>
      </c>
      <c r="C4" s="2736" t="s">
        <v>1325</v>
      </c>
      <c r="D4" s="2736" t="s">
        <v>1324</v>
      </c>
      <c r="E4" s="2913"/>
      <c r="F4" s="2914"/>
      <c r="G4" s="2914"/>
      <c r="H4" s="2915"/>
      <c r="I4" s="2915"/>
      <c r="J4" s="2915"/>
      <c r="K4" s="2915"/>
    </row>
    <row r="5" spans="1:11">
      <c r="A5" s="2736" t="s">
        <v>1323</v>
      </c>
      <c r="B5" s="2736">
        <f ca="1">SUM(D14:D23)</f>
        <v>27299</v>
      </c>
      <c r="C5" s="2736">
        <f ca="1">ROUND(B5*10000/$B$1,0)</f>
        <v>6285</v>
      </c>
      <c r="D5" s="2736">
        <f ca="1">ROUND(B5*10000/$B$2,0)</f>
        <v>10105</v>
      </c>
      <c r="E5" s="2913"/>
      <c r="F5" s="2914"/>
      <c r="G5" s="2914"/>
      <c r="H5" s="2915"/>
      <c r="I5" s="2915"/>
      <c r="J5" s="2915"/>
      <c r="K5" s="2915"/>
    </row>
    <row r="6" spans="1:11">
      <c r="A6" s="2736" t="s">
        <v>1322</v>
      </c>
      <c r="B6" s="2736">
        <f ca="1">SUM(G14:G23)</f>
        <v>27299</v>
      </c>
      <c r="C6" s="2736">
        <f ca="1">ROUND(B6*10000/$B$1,0)</f>
        <v>6285</v>
      </c>
      <c r="D6" s="2736">
        <f ca="1">ROUND(B6*10000/$B$2,0)</f>
        <v>10105</v>
      </c>
      <c r="E6" s="2913"/>
      <c r="F6" s="2914"/>
      <c r="G6" s="2914"/>
      <c r="H6" s="2915"/>
      <c r="I6" s="2915"/>
      <c r="J6" s="2915"/>
      <c r="K6" s="2915"/>
    </row>
    <row r="7" spans="1:11">
      <c r="A7" s="2736" t="s">
        <v>1330</v>
      </c>
      <c r="B7" s="2736">
        <f>SUM(H14:H23)</f>
        <v>0</v>
      </c>
      <c r="C7" s="2736">
        <f>ROUND(B7*10000/$B$1,0)</f>
        <v>0</v>
      </c>
      <c r="D7" s="2736">
        <f>ROUND(B7*10000/$B$2,0)</f>
        <v>0</v>
      </c>
      <c r="E7" s="2913"/>
      <c r="F7" s="2914"/>
      <c r="G7" s="2914"/>
      <c r="H7" s="2915"/>
      <c r="I7" s="2915"/>
      <c r="J7" s="2915"/>
      <c r="K7" s="2915"/>
    </row>
    <row r="8" spans="1:11">
      <c r="A8" s="2736" t="s">
        <v>1252</v>
      </c>
      <c r="B8" s="2736">
        <f>SUM(I14:I23)</f>
        <v>0</v>
      </c>
      <c r="C8" s="2736">
        <f>ROUND(B8*10000/$B$1,0)</f>
        <v>0</v>
      </c>
      <c r="D8" s="2736">
        <f>ROUND(B8*10000/$B$2,0)</f>
        <v>0</v>
      </c>
      <c r="E8" s="2913"/>
      <c r="F8" s="2914"/>
      <c r="G8" s="2914"/>
      <c r="H8" s="2915"/>
      <c r="I8" s="2915"/>
      <c r="J8" s="2915"/>
      <c r="K8" s="2915"/>
    </row>
    <row r="9" spans="1:11">
      <c r="A9" s="2736" t="s">
        <v>1321</v>
      </c>
      <c r="B9" s="2744"/>
      <c r="C9" s="2913"/>
      <c r="D9" s="2913"/>
      <c r="E9" s="2913"/>
      <c r="F9" s="2914"/>
      <c r="G9" s="2914"/>
      <c r="H9" s="2915"/>
      <c r="I9" s="2915"/>
      <c r="J9" s="2915"/>
      <c r="K9" s="2915"/>
    </row>
    <row r="10" spans="1:11">
      <c r="A10" s="2736" t="s">
        <v>1320</v>
      </c>
      <c r="B10" s="2744"/>
      <c r="C10" s="2913"/>
      <c r="D10" s="2913"/>
      <c r="E10" s="2913"/>
      <c r="F10" s="2914"/>
      <c r="G10" s="2914"/>
      <c r="H10" s="2915"/>
      <c r="I10" s="2915"/>
      <c r="J10" s="2915"/>
      <c r="K10" s="2915"/>
    </row>
    <row r="11" spans="1:11">
      <c r="A11" s="2736" t="s">
        <v>1336</v>
      </c>
      <c r="B11" s="2744"/>
      <c r="C11" s="2913"/>
      <c r="D11" s="2913"/>
      <c r="E11" s="2913"/>
      <c r="F11" s="2914"/>
      <c r="G11" s="2914"/>
      <c r="H11" s="2915"/>
      <c r="I11" s="2915"/>
      <c r="J11" s="2915"/>
      <c r="K11" s="2915"/>
    </row>
    <row r="12" spans="1:11">
      <c r="A12" s="2913"/>
      <c r="B12" s="2913"/>
      <c r="C12" s="2913"/>
      <c r="D12" s="2913"/>
      <c r="E12" s="2913"/>
      <c r="F12" s="2914"/>
      <c r="G12" s="2914"/>
      <c r="H12" s="2915"/>
      <c r="I12" s="2915"/>
      <c r="J12" s="2915"/>
      <c r="K12" s="2915"/>
    </row>
    <row r="13" spans="1:11" ht="27">
      <c r="A13" s="2739" t="s">
        <v>1335</v>
      </c>
      <c r="B13" s="2740" t="s">
        <v>1332</v>
      </c>
      <c r="C13" s="2740" t="s">
        <v>1334</v>
      </c>
      <c r="D13" s="2740" t="s">
        <v>1333</v>
      </c>
      <c r="E13" s="2736" t="s">
        <v>1325</v>
      </c>
      <c r="F13" s="2736" t="s">
        <v>1324</v>
      </c>
      <c r="G13" s="2740" t="s">
        <v>1318</v>
      </c>
      <c r="H13" s="2740" t="s">
        <v>1329</v>
      </c>
      <c r="I13" s="2740" t="s">
        <v>1317</v>
      </c>
      <c r="J13" s="2914"/>
      <c r="K13" s="2915"/>
    </row>
    <row r="14" spans="1:11">
      <c r="A14" s="2741" t="s">
        <v>1316</v>
      </c>
      <c r="B14" s="2742">
        <f>结果表!B118</f>
        <v>43436.4</v>
      </c>
      <c r="C14" s="2742">
        <f>结果表!C118</f>
        <v>27014.799999999999</v>
      </c>
      <c r="D14" s="2742">
        <f ca="1">结果表!H118</f>
        <v>27299</v>
      </c>
      <c r="E14" s="2742">
        <f ca="1">ROUND(D14*10000/B14,0)</f>
        <v>6285</v>
      </c>
      <c r="F14" s="2742">
        <f ca="1">ROUND(D14*10000/C14,0)</f>
        <v>10105</v>
      </c>
      <c r="G14" s="2742">
        <f ca="1">结果表!D122</f>
        <v>27299</v>
      </c>
      <c r="H14" s="2742" t="str">
        <f>结果表!D124</f>
        <v>——</v>
      </c>
      <c r="I14" s="2742" t="str">
        <f>结果表!D126</f>
        <v>——</v>
      </c>
      <c r="J14" s="2914"/>
      <c r="K14" s="2915"/>
    </row>
    <row r="15" spans="1:11">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c r="A16" s="2741" t="s">
        <v>1314</v>
      </c>
      <c r="B16" s="2743"/>
      <c r="C16" s="2743"/>
      <c r="D16" s="2743"/>
      <c r="E16" s="2742" t="e">
        <f t="shared" si="0"/>
        <v>#DIV/0!</v>
      </c>
      <c r="F16" s="2742" t="e">
        <f t="shared" si="1"/>
        <v>#DIV/0!</v>
      </c>
      <c r="G16" s="1498"/>
      <c r="H16" s="1498"/>
      <c r="I16" s="2743"/>
      <c r="J16" s="2915"/>
      <c r="K16" s="2915"/>
    </row>
    <row r="17" spans="1:11">
      <c r="A17" s="2741" t="s">
        <v>1313</v>
      </c>
      <c r="B17" s="2743"/>
      <c r="C17" s="2743"/>
      <c r="D17" s="2743"/>
      <c r="E17" s="2742" t="e">
        <f t="shared" si="0"/>
        <v>#DIV/0!</v>
      </c>
      <c r="F17" s="2742" t="e">
        <f t="shared" si="1"/>
        <v>#DIV/0!</v>
      </c>
      <c r="G17" s="1498"/>
      <c r="H17" s="1498"/>
      <c r="I17" s="2743"/>
      <c r="J17" s="2915"/>
      <c r="K17" s="2915"/>
    </row>
    <row r="18" spans="1:11">
      <c r="A18" s="2741" t="s">
        <v>1312</v>
      </c>
      <c r="B18" s="2743"/>
      <c r="C18" s="2743"/>
      <c r="D18" s="2743"/>
      <c r="E18" s="2742" t="e">
        <f t="shared" si="0"/>
        <v>#DIV/0!</v>
      </c>
      <c r="F18" s="2742" t="e">
        <f t="shared" si="1"/>
        <v>#DIV/0!</v>
      </c>
      <c r="G18" s="2743"/>
      <c r="H18" s="2743"/>
      <c r="I18" s="2743"/>
      <c r="J18" s="2915"/>
      <c r="K18" s="2915"/>
    </row>
    <row r="19" spans="1:11">
      <c r="A19" s="2741" t="s">
        <v>1311</v>
      </c>
      <c r="B19" s="2743"/>
      <c r="C19" s="2743"/>
      <c r="D19" s="2743"/>
      <c r="E19" s="2742" t="e">
        <f t="shared" si="0"/>
        <v>#DIV/0!</v>
      </c>
      <c r="F19" s="2742" t="e">
        <f t="shared" si="1"/>
        <v>#DIV/0!</v>
      </c>
      <c r="G19" s="2743"/>
      <c r="H19" s="2743"/>
      <c r="I19" s="2743"/>
      <c r="J19" s="2915"/>
      <c r="K19" s="2915"/>
    </row>
    <row r="20" spans="1:11">
      <c r="A20" s="2741" t="s">
        <v>1310</v>
      </c>
      <c r="B20" s="2743"/>
      <c r="C20" s="2743"/>
      <c r="D20" s="2743"/>
      <c r="E20" s="2742" t="e">
        <f t="shared" si="0"/>
        <v>#DIV/0!</v>
      </c>
      <c r="F20" s="2742" t="e">
        <f t="shared" si="1"/>
        <v>#DIV/0!</v>
      </c>
      <c r="G20" s="2743"/>
      <c r="H20" s="2743"/>
      <c r="I20" s="2743"/>
      <c r="J20" s="2915"/>
      <c r="K20" s="2915"/>
    </row>
    <row r="21" spans="1:11">
      <c r="A21" s="2741" t="s">
        <v>1309</v>
      </c>
      <c r="B21" s="2743"/>
      <c r="C21" s="2743"/>
      <c r="D21" s="2743"/>
      <c r="E21" s="2742" t="e">
        <f t="shared" si="0"/>
        <v>#DIV/0!</v>
      </c>
      <c r="F21" s="2742" t="e">
        <f t="shared" si="1"/>
        <v>#DIV/0!</v>
      </c>
      <c r="G21" s="2743"/>
      <c r="H21" s="2743"/>
      <c r="I21" s="2743"/>
      <c r="J21" s="2915"/>
      <c r="K21" s="2915"/>
    </row>
    <row r="22" spans="1:11">
      <c r="A22" s="2741" t="s">
        <v>1308</v>
      </c>
      <c r="B22" s="2743"/>
      <c r="C22" s="2743"/>
      <c r="D22" s="2743"/>
      <c r="E22" s="2742" t="e">
        <f t="shared" si="0"/>
        <v>#DIV/0!</v>
      </c>
      <c r="F22" s="2742" t="e">
        <f t="shared" si="1"/>
        <v>#DIV/0!</v>
      </c>
      <c r="G22" s="2743"/>
      <c r="H22" s="2743"/>
      <c r="I22" s="2743"/>
      <c r="J22" s="2915"/>
      <c r="K22" s="2915"/>
    </row>
    <row r="23" spans="1:11">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18" t="str">
        <f>项目基本情况!S2</f>
        <v>房地产</v>
      </c>
      <c r="B2" s="3219"/>
      <c r="C2" s="3219"/>
      <c r="D2" s="3219"/>
      <c r="E2" s="3219"/>
      <c r="F2" s="3219"/>
      <c r="G2" s="3219"/>
      <c r="H2" s="3219"/>
      <c r="I2" s="3220"/>
    </row>
    <row r="3" spans="1:12" ht="12.75">
      <c r="A3" s="3222" t="s">
        <v>1950</v>
      </c>
      <c r="B3" s="3223"/>
      <c r="C3" s="3223"/>
      <c r="D3" s="3223"/>
      <c r="E3" s="3223"/>
      <c r="F3" s="3223"/>
      <c r="G3" s="3223"/>
      <c r="H3" s="3223"/>
      <c r="I3" s="3223"/>
    </row>
    <row r="4" spans="1:12" ht="14.25">
      <c r="A4" s="1938" t="s">
        <v>1951</v>
      </c>
      <c r="B4" s="1939" t="s">
        <v>1952</v>
      </c>
      <c r="C4" s="3090" t="s">
        <v>3287</v>
      </c>
      <c r="D4" s="1940" t="s">
        <v>3073</v>
      </c>
      <c r="E4" s="3224" t="s">
        <v>1953</v>
      </c>
      <c r="F4" s="3225"/>
      <c r="G4" s="3225"/>
      <c r="H4" s="3225"/>
      <c r="I4" s="322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8" t="s">
        <v>1954</v>
      </c>
      <c r="B5" s="3185">
        <v>25</v>
      </c>
      <c r="C5" s="3201"/>
      <c r="D5" s="3221"/>
      <c r="E5" s="136" t="s">
        <v>1955</v>
      </c>
      <c r="F5" s="1941"/>
      <c r="G5" s="1941"/>
      <c r="H5" s="1941"/>
      <c r="I5" s="1555"/>
    </row>
    <row r="6" spans="1:12" ht="12.75">
      <c r="A6" s="3198"/>
      <c r="B6" s="3185"/>
      <c r="C6" s="3202"/>
      <c r="D6" s="3221"/>
      <c r="E6" s="136" t="s">
        <v>1956</v>
      </c>
      <c r="F6" s="1941"/>
      <c r="G6" s="1941"/>
      <c r="H6" s="1941"/>
      <c r="I6" s="1555"/>
    </row>
    <row r="7" spans="1:12" ht="12.75">
      <c r="A7" s="3198"/>
      <c r="B7" s="3185"/>
      <c r="C7" s="3203"/>
      <c r="D7" s="3221"/>
      <c r="E7" s="136" t="s">
        <v>1957</v>
      </c>
      <c r="F7" s="1941"/>
      <c r="G7" s="1941"/>
      <c r="H7" s="1941"/>
      <c r="I7" s="1555"/>
    </row>
    <row r="8" spans="1:12" ht="12.75">
      <c r="A8" s="3198" t="s">
        <v>1958</v>
      </c>
      <c r="B8" s="3185">
        <v>15</v>
      </c>
      <c r="C8" s="3201"/>
      <c r="D8" s="3221"/>
      <c r="E8" s="136" t="s">
        <v>1959</v>
      </c>
      <c r="F8" s="1941"/>
      <c r="G8" s="1941"/>
      <c r="H8" s="1941"/>
      <c r="I8" s="1555"/>
    </row>
    <row r="9" spans="1:12" ht="12.75">
      <c r="A9" s="3198"/>
      <c r="B9" s="3185"/>
      <c r="C9" s="3203"/>
      <c r="D9" s="3221"/>
      <c r="E9" s="136" t="s">
        <v>1960</v>
      </c>
      <c r="F9" s="1941"/>
      <c r="G9" s="1941"/>
      <c r="H9" s="1941"/>
      <c r="I9" s="1555"/>
    </row>
    <row r="10" spans="1:12" ht="12.75">
      <c r="A10" s="3198" t="s">
        <v>1961</v>
      </c>
      <c r="B10" s="3185">
        <v>15</v>
      </c>
      <c r="C10" s="3201"/>
      <c r="D10" s="3221"/>
      <c r="E10" s="136" t="s">
        <v>1962</v>
      </c>
      <c r="F10" s="1941"/>
      <c r="G10" s="1941"/>
      <c r="H10" s="1941"/>
      <c r="I10" s="1555"/>
    </row>
    <row r="11" spans="1:12" ht="12.75">
      <c r="A11" s="3198"/>
      <c r="B11" s="3185"/>
      <c r="C11" s="3203"/>
      <c r="D11" s="3221"/>
      <c r="E11" s="136" t="s">
        <v>1963</v>
      </c>
      <c r="F11" s="1941"/>
      <c r="G11" s="1941"/>
      <c r="H11" s="1941"/>
      <c r="I11" s="1555"/>
    </row>
    <row r="12" spans="1:12" ht="12.75">
      <c r="A12" s="3198" t="s">
        <v>1964</v>
      </c>
      <c r="B12" s="3185">
        <v>15</v>
      </c>
      <c r="C12" s="3201"/>
      <c r="D12" s="3221"/>
      <c r="E12" s="136" t="s">
        <v>1965</v>
      </c>
      <c r="F12" s="1941"/>
      <c r="G12" s="1941"/>
      <c r="H12" s="1941"/>
      <c r="I12" s="1555"/>
    </row>
    <row r="13" spans="1:12" ht="12.75">
      <c r="A13" s="3198"/>
      <c r="B13" s="3185"/>
      <c r="C13" s="3203"/>
      <c r="D13" s="3221"/>
      <c r="E13" s="136" t="s">
        <v>1966</v>
      </c>
      <c r="F13" s="1941"/>
      <c r="G13" s="1941"/>
      <c r="H13" s="1941"/>
      <c r="I13" s="1555"/>
    </row>
    <row r="14" spans="1:12" ht="12.75">
      <c r="A14" s="3198" t="s">
        <v>1967</v>
      </c>
      <c r="B14" s="3185">
        <v>30</v>
      </c>
      <c r="C14" s="3201">
        <v>4</v>
      </c>
      <c r="D14" s="3221">
        <v>6</v>
      </c>
      <c r="E14" s="136" t="s">
        <v>1968</v>
      </c>
      <c r="F14" s="1941"/>
      <c r="G14" s="1941"/>
      <c r="H14" s="1941"/>
      <c r="I14" s="1555"/>
    </row>
    <row r="15" spans="1:12" ht="12.75">
      <c r="A15" s="3198"/>
      <c r="B15" s="3185"/>
      <c r="C15" s="3202"/>
      <c r="D15" s="3221"/>
      <c r="E15" s="136" t="s">
        <v>1969</v>
      </c>
      <c r="F15" s="1941"/>
      <c r="G15" s="1941"/>
      <c r="H15" s="1941"/>
      <c r="I15" s="1555"/>
    </row>
    <row r="16" spans="1:12" ht="12.75">
      <c r="A16" s="3198"/>
      <c r="B16" s="3185"/>
      <c r="C16" s="3203"/>
      <c r="D16" s="3221"/>
      <c r="E16" s="136" t="s">
        <v>1970</v>
      </c>
      <c r="F16" s="1941"/>
      <c r="G16" s="1941"/>
      <c r="H16" s="1941"/>
      <c r="I16" s="1555"/>
    </row>
    <row r="17" spans="1:36" ht="15">
      <c r="A17" s="1942" t="s">
        <v>1971</v>
      </c>
      <c r="B17" s="60"/>
      <c r="C17" s="137">
        <f>SUM(C5:C16)</f>
        <v>4</v>
      </c>
      <c r="D17" s="137">
        <f>SUM(D5:D16)</f>
        <v>6</v>
      </c>
      <c r="E17" s="134"/>
      <c r="F17" s="134"/>
      <c r="G17" s="134"/>
      <c r="H17" s="134"/>
      <c r="I17" s="134"/>
      <c r="K17" s="308"/>
      <c r="L17" s="308" t="s">
        <v>1972</v>
      </c>
      <c r="M17" s="308" t="s">
        <v>1973</v>
      </c>
    </row>
    <row r="18" spans="1:36" ht="31.9" customHeight="1" thickBot="1">
      <c r="A18" s="1943" t="s">
        <v>1974</v>
      </c>
      <c r="B18" s="1944"/>
      <c r="C18" s="138">
        <f>ROUND(C17/SUM(C17:D17),2)</f>
        <v>0.4</v>
      </c>
      <c r="D18" s="138">
        <f>1-C18</f>
        <v>0.6</v>
      </c>
      <c r="E18" s="3208" t="s">
        <v>2872</v>
      </c>
      <c r="F18" s="3209"/>
      <c r="G18" s="3209"/>
      <c r="H18" s="3209"/>
      <c r="I18" s="3209"/>
      <c r="K18" s="308" t="s">
        <v>1975</v>
      </c>
      <c r="L18" s="308">
        <f>IF(C1="",'数据-汇总表'!E3,SUMIF(项目类型,C1,'数据-汇总表'!E17:E26)+SUMIF(项目类型,C1,'数据-汇总表'!I17:I26))</f>
        <v>43436.4</v>
      </c>
      <c r="M18" s="308">
        <f>IF(C1="",'数据-汇总表'!E3,SUMIF(项目类型,C1,'数据-汇总表'!E17:E26))</f>
        <v>43436.4</v>
      </c>
    </row>
    <row r="19" spans="1:36" ht="15">
      <c r="A19" s="1945" t="s">
        <v>1976</v>
      </c>
      <c r="B19" s="1946" t="s">
        <v>1977</v>
      </c>
      <c r="C19" s="139">
        <f ca="1">SUMIF(INDIRECT("'"&amp;C4&amp;"'"&amp;"!A:A"),结果表!B19,INDIRECT("'"&amp;C4&amp;"'"&amp;"!B:B"))</f>
        <v>48585</v>
      </c>
      <c r="D19" s="140">
        <f ca="1">SUMIF(INDIRECT("'"&amp;D4&amp;"'"&amp;"!A:A"),结果表!B19,INDIRECT("'"&amp;D4&amp;"'"&amp;"!B:B"))</f>
        <v>13108</v>
      </c>
      <c r="E19" s="1945" t="s">
        <v>1978</v>
      </c>
      <c r="F19" s="1946" t="s">
        <v>1977</v>
      </c>
      <c r="G19" s="141">
        <f ca="1">ROUND(C19*$C$18+D19*$D$18,0)</f>
        <v>27299</v>
      </c>
      <c r="H19" s="1947" t="s">
        <v>1979</v>
      </c>
      <c r="I19" s="134"/>
      <c r="K19" s="308" t="s">
        <v>1980</v>
      </c>
      <c r="L19" s="308">
        <f>IF(C1="",'数据-汇总表'!D3,SUMIF(项目类型,C1,'数据-汇总表'!D17:D26)+SUMIF(项目类型,C1,'数据-汇总表'!H17:H27))</f>
        <v>27014.799999999999</v>
      </c>
      <c r="M19" s="308">
        <f>IF(C1="",'数据-汇总表'!D3,SUMIF(项目类型,C1,'数据-汇总表'!D17:D26))</f>
        <v>27014.799999999999</v>
      </c>
    </row>
    <row r="20" spans="1:36" ht="15">
      <c r="A20" s="1948"/>
      <c r="B20" s="1156" t="s">
        <v>1981</v>
      </c>
      <c r="C20" s="142">
        <f ca="1">SUMIF(INDIRECT("'"&amp;C4&amp;"'"&amp;"!A:A"),结果表!B20,INDIRECT("'"&amp;C4&amp;"'"&amp;"!B:B"))</f>
        <v>11185</v>
      </c>
      <c r="D20" s="143">
        <f ca="1">SUMIF(INDIRECT("'"&amp;D4&amp;"'"&amp;"!A:A"),结果表!B20,INDIRECT("'"&amp;D4&amp;"'"&amp;"!B:B"))</f>
        <v>3018</v>
      </c>
      <c r="E20" s="1948"/>
      <c r="F20" s="1156" t="s">
        <v>1981</v>
      </c>
      <c r="G20" s="144">
        <f ca="1">ROUND(C20*$C$18+D20*$D$18,0)</f>
        <v>6285</v>
      </c>
      <c r="H20" s="916" t="s">
        <v>1982</v>
      </c>
      <c r="I20" s="134"/>
    </row>
    <row r="21" spans="1:36" ht="15" customHeight="1" thickBot="1">
      <c r="A21" s="936"/>
      <c r="B21" s="1949" t="s">
        <v>1983</v>
      </c>
      <c r="C21" s="727">
        <f ca="1">ROUND(C19*10000/L19,0)</f>
        <v>17985</v>
      </c>
      <c r="D21" s="728">
        <f ca="1">ROUND(D19*10000/L19,0)</f>
        <v>4852</v>
      </c>
      <c r="E21" s="936"/>
      <c r="F21" s="1949" t="s">
        <v>1983</v>
      </c>
      <c r="G21" s="145">
        <f ca="1">ROUND(G19*10000/L19,0)</f>
        <v>10105</v>
      </c>
      <c r="H21" s="1950" t="s">
        <v>1982</v>
      </c>
      <c r="I21" s="134"/>
    </row>
    <row r="22" spans="1:36" ht="15" thickBot="1">
      <c r="A22" s="1872" t="s">
        <v>1984</v>
      </c>
      <c r="B22" s="1951"/>
      <c r="C22" s="1952"/>
      <c r="D22" s="729">
        <f ca="1">IF(C19&lt;D19,D19/C19-1,C19/D19-1)</f>
        <v>2.7065151052792187</v>
      </c>
      <c r="E22" s="134"/>
      <c r="F22" s="134"/>
      <c r="G22" s="134"/>
      <c r="H22" s="134"/>
      <c r="I22" s="134"/>
    </row>
    <row r="23" spans="1:36" ht="13.5" thickBot="1">
      <c r="A23" s="1931"/>
      <c r="B23" s="1931"/>
      <c r="C23" s="1931"/>
      <c r="D23" s="1931"/>
      <c r="E23" s="134"/>
      <c r="F23" s="134"/>
      <c r="G23" s="134"/>
      <c r="H23" s="134"/>
      <c r="I23" s="134"/>
    </row>
    <row r="24" spans="1:36" ht="14.25">
      <c r="A24" s="3192" t="s">
        <v>1985</v>
      </c>
      <c r="B24" s="1946" t="s">
        <v>1977</v>
      </c>
      <c r="C24" s="141">
        <f>IF(B30=0,0,D30)</f>
        <v>0</v>
      </c>
      <c r="D24" s="1953"/>
      <c r="E24" s="134"/>
      <c r="F24" s="134"/>
      <c r="G24" s="134"/>
      <c r="H24" s="134"/>
      <c r="I24" s="134"/>
    </row>
    <row r="25" spans="1:36" ht="14.25">
      <c r="A25" s="3193"/>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27299</v>
      </c>
      <c r="D32" s="1959" t="s">
        <v>3074</v>
      </c>
      <c r="E32" s="134"/>
      <c r="F32" s="134"/>
      <c r="G32" s="134"/>
      <c r="H32" s="134"/>
      <c r="I32" s="134"/>
    </row>
    <row r="33" spans="1:15" ht="15">
      <c r="A33" s="893" t="s">
        <v>1992</v>
      </c>
      <c r="B33" s="1960"/>
      <c r="C33" s="1961"/>
      <c r="D33" s="1962" t="s">
        <v>3073</v>
      </c>
      <c r="E33" s="1963" t="s">
        <v>1993</v>
      </c>
      <c r="F33" s="1964" t="str">
        <f>IF(D32="楼面单价","取值（单价）","取值（总价）")</f>
        <v>取值（总价）</v>
      </c>
      <c r="G33" s="134"/>
      <c r="H33" s="134"/>
      <c r="I33" s="134"/>
    </row>
    <row r="34" spans="1:15" ht="15">
      <c r="A34" s="1965"/>
      <c r="B34" s="1966" t="s">
        <v>1994</v>
      </c>
      <c r="C34" s="153">
        <f ca="1">IF(C33="自定义",F34,C32-C35)</f>
        <v>-57082</v>
      </c>
      <c r="D34" s="969">
        <f ca="1">IF(C33="自定义",ROUND(C34/C32,3),IF(C33="收益比率",SUMIF(INDIRECT("'"&amp;D33&amp;"'"&amp;"!b:b"),"土地收益比率",INDIRECT("'"&amp;D33&amp;"'"&amp;"!c:c")),SUMIF(INDIRECT("'"&amp;D33&amp;"'"&amp;"!b:b"),"土地成本比率",INDIRECT("'"&amp;D33&amp;"'"&amp;"!c:c"))))</f>
        <v>-2.0910000000000002</v>
      </c>
      <c r="E34" s="1967" t="s">
        <v>1995</v>
      </c>
      <c r="F34" s="1496"/>
      <c r="G34" s="134"/>
      <c r="H34" s="134"/>
      <c r="I34" s="134"/>
    </row>
    <row r="35" spans="1:15" ht="15.75" thickBot="1">
      <c r="A35" s="1968"/>
      <c r="B35" s="1969" t="s">
        <v>1996</v>
      </c>
      <c r="C35" s="1331">
        <f ca="1">IF(C33="自定义",F35,ROUND(C32*D35,0))</f>
        <v>84381</v>
      </c>
      <c r="D35" s="1332">
        <f ca="1">IF(C33="自定义",ROUND(C35/C32,3),IF(C33="收益比率",SUMIF(INDIRECT("'"&amp;D33&amp;"'"&amp;"!b:b"),"建筑物收益比率",INDIRECT("'"&amp;D33&amp;"'"&amp;"!c:c")),SUMIF(INDIRECT("'"&amp;D33&amp;"'"&amp;"!b:b"),"建筑物成本比率",INDIRECT("'"&amp;D33&amp;"'"&amp;"!c:c"))))</f>
        <v>3.0910000000000002</v>
      </c>
      <c r="E35" s="1970" t="s">
        <v>1997</v>
      </c>
      <c r="F35" s="159"/>
      <c r="G35" s="134"/>
      <c r="H35" s="134"/>
      <c r="I35" s="134"/>
    </row>
    <row r="36" spans="1:15" ht="15.75" thickBot="1">
      <c r="A36" s="3212" t="s">
        <v>1998</v>
      </c>
      <c r="B36" s="1971" t="s">
        <v>1999</v>
      </c>
      <c r="C36" s="150"/>
      <c r="D36" s="1972"/>
      <c r="E36" s="1973"/>
      <c r="F36" s="1974"/>
      <c r="G36" s="134"/>
      <c r="H36" s="134"/>
      <c r="I36" s="134"/>
    </row>
    <row r="37" spans="1:15" ht="15.75" thickBot="1">
      <c r="A37" s="3213"/>
      <c r="B37" s="1858" t="s">
        <v>2000</v>
      </c>
      <c r="C37" s="152"/>
      <c r="D37" s="1300"/>
      <c r="E37" s="1300"/>
      <c r="F37" s="1974"/>
      <c r="G37" s="134"/>
      <c r="H37" s="134"/>
      <c r="I37" s="134"/>
    </row>
    <row r="38" spans="1:15" ht="15.75" thickBot="1">
      <c r="A38" s="3214"/>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9" t="s">
        <v>2012</v>
      </c>
      <c r="B45" s="3190"/>
      <c r="C45" s="3191"/>
      <c r="D45" s="160">
        <f ca="1">ROUND(H101*F45,0)</f>
        <v>27299</v>
      </c>
      <c r="E45" s="161" t="s">
        <v>2013</v>
      </c>
      <c r="F45" s="162">
        <v>1</v>
      </c>
      <c r="G45" s="163" t="s">
        <v>2014</v>
      </c>
      <c r="H45" s="134"/>
      <c r="I45" s="134"/>
      <c r="J45" s="3270" t="s">
        <v>2015</v>
      </c>
      <c r="K45" s="3270"/>
      <c r="L45" s="3270"/>
      <c r="M45" s="3270"/>
      <c r="N45" s="3270"/>
      <c r="O45" s="3270"/>
    </row>
    <row r="46" spans="1:15" ht="14.25" customHeight="1">
      <c r="A46" s="3186" t="s">
        <v>2016</v>
      </c>
      <c r="B46" s="3187"/>
      <c r="C46" s="3187"/>
      <c r="D46" s="3187"/>
      <c r="E46" s="3187"/>
      <c r="F46" s="3187"/>
      <c r="G46" s="3188"/>
      <c r="H46" s="1990"/>
      <c r="I46" s="164"/>
      <c r="J46" s="2747">
        <v>1</v>
      </c>
      <c r="K46" s="3251" t="s">
        <v>2017</v>
      </c>
      <c r="L46" s="3251"/>
      <c r="M46" s="3271"/>
      <c r="N46" s="3271"/>
      <c r="O46" s="3271"/>
    </row>
    <row r="47" spans="1:15" ht="12" customHeight="1">
      <c r="A47" s="165" t="s">
        <v>2018</v>
      </c>
      <c r="B47" s="166"/>
      <c r="C47" s="167"/>
      <c r="D47" s="1246" t="s">
        <v>2019</v>
      </c>
      <c r="E47" s="308" t="s">
        <v>2020</v>
      </c>
      <c r="F47" s="168" t="s">
        <v>2021</v>
      </c>
      <c r="G47" s="2770" t="s">
        <v>2022</v>
      </c>
      <c r="H47" s="2771"/>
      <c r="I47" s="164"/>
      <c r="J47" s="2747">
        <v>2</v>
      </c>
      <c r="K47" s="3251" t="s">
        <v>2023</v>
      </c>
      <c r="L47" s="3251"/>
      <c r="M47" s="3272">
        <f>'数据-取费表'!B2</f>
        <v>44561</v>
      </c>
      <c r="N47" s="3272"/>
      <c r="O47" s="3272"/>
    </row>
    <row r="48" spans="1:15" ht="25.5">
      <c r="A48" s="3217" t="s">
        <v>2024</v>
      </c>
      <c r="B48" s="3200"/>
      <c r="C48" s="3200"/>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51" t="s">
        <v>2026</v>
      </c>
      <c r="L48" s="3251"/>
      <c r="M48" s="3273">
        <f ca="1">H101</f>
        <v>27299</v>
      </c>
      <c r="N48" s="3273"/>
      <c r="O48" s="3273"/>
    </row>
    <row r="49" spans="1:35" ht="25.5" customHeight="1">
      <c r="A49" s="2554" t="s">
        <v>2027</v>
      </c>
      <c r="B49" s="3184" t="s">
        <v>2028</v>
      </c>
      <c r="C49" s="3184"/>
      <c r="D49" s="1773">
        <v>0</v>
      </c>
      <c r="E49" s="330" t="s">
        <v>2029</v>
      </c>
      <c r="F49" s="2648" t="s">
        <v>34</v>
      </c>
      <c r="G49" s="3257"/>
      <c r="H49" s="2526" t="s">
        <v>2875</v>
      </c>
      <c r="I49" s="2527"/>
      <c r="J49" s="2747">
        <v>4</v>
      </c>
      <c r="K49" s="3251" t="str">
        <f>IF(项目基本情况!E8="房地产抵押价值","房地产抵押价值","抵押担保权已注销时的房地产抵押价值")</f>
        <v>房地产抵押价值</v>
      </c>
      <c r="L49" s="3251"/>
      <c r="M49" s="3273">
        <f ca="1">IF(项目基本情况!E8="房地产抵押价值",H107,H109)</f>
        <v>27299</v>
      </c>
      <c r="N49" s="3273"/>
      <c r="O49" s="3273"/>
    </row>
    <row r="50" spans="1:35" ht="25.5" customHeight="1">
      <c r="A50" s="2775"/>
      <c r="B50" s="3184" t="s">
        <v>2030</v>
      </c>
      <c r="C50" s="3184"/>
      <c r="D50" s="2776"/>
      <c r="E50" s="338"/>
      <c r="F50" s="2648"/>
      <c r="G50" s="3258"/>
      <c r="H50" s="2528" t="s">
        <v>2876</v>
      </c>
      <c r="I50" s="2527"/>
      <c r="J50" s="3270" t="s">
        <v>2031</v>
      </c>
      <c r="K50" s="3270"/>
      <c r="L50" s="3270"/>
      <c r="M50" s="3270"/>
      <c r="N50" s="3270"/>
      <c r="O50" s="3270"/>
    </row>
    <row r="51" spans="1:35" ht="20.45" customHeight="1">
      <c r="A51" s="2777"/>
      <c r="B51" s="3184" t="s">
        <v>2032</v>
      </c>
      <c r="C51" s="3184"/>
      <c r="D51" s="1246"/>
      <c r="E51" s="333"/>
      <c r="F51" s="2648"/>
      <c r="G51" s="3259"/>
      <c r="H51" s="2528" t="s">
        <v>2877</v>
      </c>
      <c r="I51" s="2527"/>
      <c r="J51" s="2748" t="s">
        <v>2033</v>
      </c>
      <c r="K51" s="3251" t="s">
        <v>2034</v>
      </c>
      <c r="L51" s="3251"/>
      <c r="M51" s="2748" t="s">
        <v>2035</v>
      </c>
      <c r="N51" s="2748" t="s">
        <v>2036</v>
      </c>
      <c r="O51" s="2748" t="s">
        <v>2037</v>
      </c>
    </row>
    <row r="52" spans="1:35" ht="24" customHeight="1">
      <c r="A52" s="2556" t="s">
        <v>2038</v>
      </c>
      <c r="B52" s="3184" t="s">
        <v>2039</v>
      </c>
      <c r="C52" s="3184"/>
      <c r="D52" s="1246">
        <f ca="1">ROUND(D45*'数据-取费表'!B41/(1+'数据-取费表'!C42),0)</f>
        <v>1456</v>
      </c>
      <c r="E52" s="2555" t="s">
        <v>2040</v>
      </c>
      <c r="F52" s="2778">
        <f>'数据-取费表'!B41</f>
        <v>5.6000000000000001E-2</v>
      </c>
      <c r="G52" s="2779"/>
      <c r="H52" s="2768"/>
      <c r="I52" s="1991"/>
      <c r="J52" s="2747">
        <v>1</v>
      </c>
      <c r="K52" s="3252" t="s">
        <v>2041</v>
      </c>
      <c r="L52" s="3252"/>
      <c r="M52" s="2749" t="b">
        <f>D48</f>
        <v>0</v>
      </c>
      <c r="N52" s="2747" t="str">
        <f>E48</f>
        <v>销售额×税（费）率</v>
      </c>
      <c r="O52" s="2750">
        <f>F48</f>
        <v>5.6000000000000001E-2</v>
      </c>
    </row>
    <row r="53" spans="1:35" ht="12" customHeight="1">
      <c r="A53" s="2556" t="s">
        <v>2042</v>
      </c>
      <c r="B53" s="3210" t="s">
        <v>3036</v>
      </c>
      <c r="C53" s="3211"/>
      <c r="D53" s="1246">
        <f ca="1">ROUND(D45*'数据-取费表'!B41/(1+'数据-取费表'!C42),0)</f>
        <v>1456</v>
      </c>
      <c r="E53" s="2555" t="s">
        <v>2040</v>
      </c>
      <c r="F53" s="2778">
        <f>'数据-取费表'!B41</f>
        <v>5.6000000000000001E-2</v>
      </c>
      <c r="G53" s="2779"/>
      <c r="H53" s="2768"/>
      <c r="I53" s="1991"/>
      <c r="J53" s="2747">
        <v>2</v>
      </c>
      <c r="K53" s="3252" t="s">
        <v>2043</v>
      </c>
      <c r="L53" s="3252"/>
      <c r="M53" s="2749">
        <f t="shared" ref="M53:O54" ca="1" si="0">D55</f>
        <v>14</v>
      </c>
      <c r="N53" s="2747" t="str">
        <f t="shared" si="0"/>
        <v>销售额×税（费）率</v>
      </c>
      <c r="O53" s="2750" t="str">
        <f t="shared" si="0"/>
        <v>免征</v>
      </c>
    </row>
    <row r="54" spans="1:35" ht="12" customHeight="1">
      <c r="A54" s="2556" t="s">
        <v>2044</v>
      </c>
      <c r="B54" s="3210" t="s">
        <v>3037</v>
      </c>
      <c r="C54" s="3211"/>
      <c r="D54" s="1246">
        <f ca="1">C68</f>
        <v>1456</v>
      </c>
      <c r="E54" s="333" t="s">
        <v>2045</v>
      </c>
      <c r="F54" s="2778">
        <f>'数据-取费表'!B41</f>
        <v>5.6000000000000001E-2</v>
      </c>
      <c r="G54" s="2779"/>
      <c r="H54" s="2780"/>
      <c r="I54" s="1991"/>
      <c r="J54" s="2747">
        <v>3</v>
      </c>
      <c r="K54" s="3252" t="s">
        <v>2046</v>
      </c>
      <c r="L54" s="3252"/>
      <c r="M54" s="2749">
        <f t="shared" ca="1" si="0"/>
        <v>15451</v>
      </c>
      <c r="N54" s="2747" t="str">
        <f t="shared" si="0"/>
        <v>增值额×税（费）率</v>
      </c>
      <c r="O54" s="2751" t="str">
        <f t="shared" si="0"/>
        <v>免征</v>
      </c>
    </row>
    <row r="55" spans="1:35" ht="24" customHeight="1">
      <c r="A55" s="3199" t="s">
        <v>2047</v>
      </c>
      <c r="B55" s="3200"/>
      <c r="C55" s="3200"/>
      <c r="D55" s="2545">
        <f ca="1">IF(H55="个人住宅",0,ROUND(D45*I55,0))</f>
        <v>14</v>
      </c>
      <c r="E55" s="2555" t="s">
        <v>2048</v>
      </c>
      <c r="F55" s="2778" t="str">
        <f>IF(H55="正常",I55,"免征")</f>
        <v>免征</v>
      </c>
      <c r="G55" s="2779"/>
      <c r="H55" s="2774"/>
      <c r="I55" s="170">
        <f>'数据-取费表'!B49</f>
        <v>5.0000000000000001E-4</v>
      </c>
      <c r="J55" s="2747">
        <f>IF(H59="非个人房产","",4)</f>
        <v>4</v>
      </c>
      <c r="K55" s="3252" t="str">
        <f>IF(H59="非个人房产","——","个人所得税")</f>
        <v>个人所得税</v>
      </c>
      <c r="L55" s="3252"/>
      <c r="M55" s="2752">
        <f ca="1">D59</f>
        <v>260</v>
      </c>
      <c r="N55" s="2226" t="str">
        <f>E59</f>
        <v>差额计税</v>
      </c>
      <c r="O55" s="2753">
        <f>F59</f>
        <v>0.01</v>
      </c>
    </row>
    <row r="56" spans="1:35" ht="24.75">
      <c r="A56" s="3199" t="s">
        <v>2049</v>
      </c>
      <c r="B56" s="3200"/>
      <c r="C56" s="3200"/>
      <c r="D56" s="2545">
        <f ca="1">IF(H56="个人住宅",D57,D58)</f>
        <v>15451</v>
      </c>
      <c r="E56" s="2555" t="s">
        <v>2050</v>
      </c>
      <c r="F56" s="2778" t="str">
        <f>IF(H56="正常",F58,"免征")</f>
        <v>免征</v>
      </c>
      <c r="G56" s="2781" t="s">
        <v>2051</v>
      </c>
      <c r="H56" s="2782"/>
      <c r="I56" s="1992"/>
      <c r="J56" s="2747" t="str">
        <f>IF(项目基本情况!K6="上海银行",IF(J55="",4,J55+1),"")</f>
        <v/>
      </c>
      <c r="K56" s="3275" t="str">
        <f>IF(项目基本情况!K6="上海银行","其他处置费用","")</f>
        <v/>
      </c>
      <c r="L56" s="3276"/>
      <c r="M56" s="2749" t="str">
        <f>IF(项目基本情况!K6="上海银行",M69,"")</f>
        <v/>
      </c>
      <c r="N56" s="3275" t="str">
        <f>IF(项目基本情况!K6="上海银行","包含处置中涉及的律师、诉讼、拍卖、评估等费用","")</f>
        <v/>
      </c>
      <c r="O56" s="3278"/>
    </row>
    <row r="57" spans="1:35" ht="12.75">
      <c r="A57" s="2556" t="s">
        <v>2027</v>
      </c>
      <c r="B57" s="3210" t="s">
        <v>2052</v>
      </c>
      <c r="C57" s="3211"/>
      <c r="D57" s="1773">
        <v>0</v>
      </c>
      <c r="E57" s="330" t="s">
        <v>2029</v>
      </c>
      <c r="F57" s="308"/>
      <c r="G57" s="2779"/>
      <c r="H57" s="2783"/>
      <c r="I57" s="1992"/>
      <c r="J57" s="3252">
        <f>IF(AND(J55="",J56=""),4,IF(项目基本情况!K6="上海银行",结果表!J56+1,结果表!J55+1))</f>
        <v>5</v>
      </c>
      <c r="K57" s="3252" t="s">
        <v>2053</v>
      </c>
      <c r="L57" s="2754" t="s">
        <v>2054</v>
      </c>
      <c r="M57" s="2755"/>
      <c r="N57" s="2756">
        <f ca="1">SUMIF(M52:M56,"&lt;9e307")</f>
        <v>15725</v>
      </c>
      <c r="O57" s="2757"/>
      <c r="P57" s="2917">
        <f ca="1">N57/M49</f>
        <v>0.57602842594966852</v>
      </c>
    </row>
    <row r="58" spans="1:35" ht="24.75">
      <c r="A58" s="2556" t="s">
        <v>2038</v>
      </c>
      <c r="B58" s="3210" t="s">
        <v>2055</v>
      </c>
      <c r="C58" s="3184"/>
      <c r="D58" s="2545">
        <f ca="1">IF(H58="转让取得",C81,C97)</f>
        <v>15451</v>
      </c>
      <c r="E58" s="2555" t="s">
        <v>2050</v>
      </c>
      <c r="F58" s="308" t="s">
        <v>34</v>
      </c>
      <c r="G58" s="2779"/>
      <c r="H58" s="2782"/>
      <c r="I58" s="1992"/>
      <c r="J58" s="3252"/>
      <c r="K58" s="3252"/>
      <c r="L58" s="2754" t="s">
        <v>2056</v>
      </c>
      <c r="M58" s="2758"/>
      <c r="N58" s="2759" t="str">
        <f ca="1">NUMBERSTRING(INT(N57*10000),2)&amp;"元整"</f>
        <v>壹亿伍仟柒佰贰拾伍万元整</v>
      </c>
      <c r="O58" s="2760"/>
    </row>
    <row r="59" spans="1:35" ht="24.75" thickBot="1">
      <c r="A59" s="3255" t="s">
        <v>2057</v>
      </c>
      <c r="B59" s="3256"/>
      <c r="C59" s="3256"/>
      <c r="D59" s="2784">
        <f ca="1">IF(H59="非个人房产","——",IF(H59="个人住宅（满五唯一有凭证）",0,IF(H59="个人其他（无凭证）",ROUND(D45*F59,0),ROUND(C67*F59,0))))</f>
        <v>260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53">
        <f>J57+1</f>
        <v>6</v>
      </c>
      <c r="K59" s="3252" t="s">
        <v>2058</v>
      </c>
      <c r="L59" s="2747" t="s">
        <v>2054</v>
      </c>
      <c r="M59" s="2761"/>
      <c r="N59" s="2762">
        <f ca="1">M49-N57</f>
        <v>11574</v>
      </c>
      <c r="O59" s="2763"/>
    </row>
    <row r="60" spans="1:35" ht="12" customHeight="1">
      <c r="A60" s="1993"/>
      <c r="B60" s="1931"/>
      <c r="C60" s="1931"/>
      <c r="D60" s="1931"/>
      <c r="E60" s="1761"/>
      <c r="F60" s="1992"/>
      <c r="G60" s="1992"/>
      <c r="H60" s="1994"/>
      <c r="I60" s="134"/>
      <c r="J60" s="3254"/>
      <c r="K60" s="3252"/>
      <c r="L60" s="2754" t="s">
        <v>2056</v>
      </c>
      <c r="M60" s="2758"/>
      <c r="N60" s="2759" t="str">
        <f ca="1">NUMBERSTRING(INT(N59*10000),2)&amp;"元整"</f>
        <v>壹亿壹仟伍佰柒拾肆万元整</v>
      </c>
      <c r="O60" s="2760"/>
    </row>
    <row r="61" spans="1:35" ht="13.5" thickBot="1">
      <c r="A61" s="3197" t="s">
        <v>2059</v>
      </c>
      <c r="B61" s="3197"/>
      <c r="C61" s="3197"/>
      <c r="D61" s="3197"/>
      <c r="E61" s="3197"/>
      <c r="F61" s="1992"/>
      <c r="G61" s="1992"/>
      <c r="H61" s="1994"/>
      <c r="I61" s="134"/>
      <c r="J61" s="2747">
        <f>J59+1</f>
        <v>7</v>
      </c>
      <c r="K61" s="3252" t="s">
        <v>2060</v>
      </c>
      <c r="L61" s="3252"/>
      <c r="M61" s="2764"/>
      <c r="N61" s="2765">
        <f ca="1">ROUND(N59*10000/'数据-汇总表'!E3,0)</f>
        <v>2665</v>
      </c>
      <c r="O61" s="2766"/>
    </row>
    <row r="62" spans="1:35" ht="12.75">
      <c r="A62" s="3215" t="s">
        <v>2061</v>
      </c>
      <c r="B62" s="3216"/>
      <c r="C62" s="2207"/>
      <c r="D62" s="2207" t="s">
        <v>2062</v>
      </c>
      <c r="E62" s="171" t="s">
        <v>2063</v>
      </c>
      <c r="F62" s="1992"/>
      <c r="G62" s="1992"/>
      <c r="H62" s="1994"/>
      <c r="I62" s="134"/>
    </row>
    <row r="63" spans="1:35" ht="12.75">
      <c r="A63" s="178" t="s">
        <v>775</v>
      </c>
      <c r="B63" s="172" t="s">
        <v>2064</v>
      </c>
      <c r="C63" s="2788">
        <f ca="1">ROUND((C64+C65)/(1+'数据-取费表'!C42),0)</f>
        <v>25999</v>
      </c>
      <c r="D63" s="172"/>
      <c r="E63" s="173"/>
      <c r="F63" s="1992"/>
      <c r="G63" s="1992"/>
      <c r="H63" s="1994"/>
      <c r="I63" s="134"/>
      <c r="J63" s="3277" t="s">
        <v>2065</v>
      </c>
      <c r="K63" s="1499" t="s">
        <v>2066</v>
      </c>
      <c r="L63" s="1499">
        <f ca="1">IF(M49&gt;10000,M49*0.5%,IF(AND(M49&gt;1000,M49&lt;=10000),M49*1%,IF(AND(M49&gt;100,M49&lt;=1000),M49*3%,IF(AND(M49&gt;10,M49&lt;=100),M49*5%,M49*8%))))</f>
        <v>136.495</v>
      </c>
      <c r="M63" s="308">
        <f ca="1">ROUND(L63,1)</f>
        <v>136.5</v>
      </c>
      <c r="N63" s="2767"/>
      <c r="Z63" s="1936"/>
      <c r="AI63" s="1937"/>
    </row>
    <row r="64" spans="1:35" ht="14.25" customHeight="1">
      <c r="A64" s="174" t="s">
        <v>770</v>
      </c>
      <c r="B64" s="175" t="s">
        <v>2067</v>
      </c>
      <c r="C64" s="2789">
        <f ca="1">D45</f>
        <v>27299</v>
      </c>
      <c r="D64" s="175" t="s">
        <v>32</v>
      </c>
      <c r="E64" s="177"/>
      <c r="F64" s="1992"/>
      <c r="G64" s="1992"/>
      <c r="H64" s="1994"/>
      <c r="I64" s="134"/>
      <c r="J64" s="3277"/>
      <c r="K64" s="1499" t="s">
        <v>2068</v>
      </c>
      <c r="L64" s="1499">
        <f ca="1">IF(M49&gt;2000,M49*0.5%,IF(AND(M49&gt;1000,M49&lt;=2000),M49*0.6%,IF(AND(M49&gt;500,M49&lt;=1000),M49*0.7%,IF(AND(M49&gt;200,M49&lt;=500),M49*0.8%,IF(AND(M49&gt;100,M49&lt;=200),M49*0.9%,IF(AND(M49&gt;50,M49&lt;=100),M49*1%,IF(AND(M49&gt;20,M49&lt;=50),M49*1.5%,IF(AND(M49&gt;10,M49&lt;=20),M49*2%,IF(AND(M49&gt;1,M49&lt;=10),M49*2.5%)))))))))</f>
        <v>136.495</v>
      </c>
      <c r="M64" s="308">
        <f t="shared" ref="M64:M65" ca="1" si="1">ROUND(L64,1)</f>
        <v>136.5</v>
      </c>
      <c r="N64" s="2768" t="s">
        <v>2069</v>
      </c>
      <c r="Z64" s="1936"/>
      <c r="AI64" s="1937"/>
    </row>
    <row r="65" spans="1:35" ht="14.25" customHeight="1">
      <c r="A65" s="174" t="s">
        <v>771</v>
      </c>
      <c r="B65" s="175" t="s">
        <v>2070</v>
      </c>
      <c r="C65" s="2790"/>
      <c r="D65" s="175"/>
      <c r="E65" s="177"/>
      <c r="F65" s="1992"/>
      <c r="G65" s="1992"/>
      <c r="H65" s="1994"/>
      <c r="I65" s="134"/>
      <c r="J65" s="3277"/>
      <c r="K65" s="1499" t="s">
        <v>2071</v>
      </c>
      <c r="L65" s="1499">
        <f ca="1">IF(M49&gt;1000,M49*0.1%,IF(AND(M49&gt;500,M49&lt;=1000),M49*0.5%,IF(AND(M49&gt;50,M49&lt;=500),M49*1%,IF(AND(M49&gt;1,M49&lt;=50),M49*1.5%))))</f>
        <v>27.298999999999999</v>
      </c>
      <c r="M65" s="308">
        <f t="shared" ca="1" si="1"/>
        <v>27.3</v>
      </c>
      <c r="N65" s="2768" t="s">
        <v>2069</v>
      </c>
      <c r="Z65" s="1936"/>
      <c r="AI65" s="1937"/>
    </row>
    <row r="66" spans="1:35" ht="14.25" customHeight="1">
      <c r="A66" s="178" t="s">
        <v>772</v>
      </c>
      <c r="B66" s="179" t="s">
        <v>2072</v>
      </c>
      <c r="C66" s="2791"/>
      <c r="D66" s="179" t="s">
        <v>32</v>
      </c>
      <c r="E66" s="1507" t="s">
        <v>1337</v>
      </c>
      <c r="F66" s="1992"/>
      <c r="G66" s="1992"/>
      <c r="H66" s="1994"/>
      <c r="I66" s="134"/>
      <c r="J66" s="3277"/>
      <c r="K66" s="1499" t="s">
        <v>2073</v>
      </c>
      <c r="L66" s="1499">
        <f ca="1">M49*0.5%</f>
        <v>136.495</v>
      </c>
      <c r="M66" s="308">
        <f ca="1">IF(L66&gt;0.5,0.5,ROUND(L66,0))</f>
        <v>0.5</v>
      </c>
      <c r="N66" s="2768" t="s">
        <v>2074</v>
      </c>
      <c r="Z66" s="1936"/>
      <c r="AI66" s="1937"/>
    </row>
    <row r="67" spans="1:35" ht="14.25" customHeight="1">
      <c r="A67" s="178" t="s">
        <v>773</v>
      </c>
      <c r="B67" s="179" t="s">
        <v>2075</v>
      </c>
      <c r="C67" s="2792">
        <f ca="1">C63-C66</f>
        <v>25999</v>
      </c>
      <c r="D67" s="175" t="s">
        <v>32</v>
      </c>
      <c r="E67" s="177"/>
      <c r="F67" s="1992"/>
      <c r="G67" s="1992"/>
      <c r="H67" s="1994"/>
      <c r="I67" s="134"/>
      <c r="J67" s="3277"/>
      <c r="K67" s="1499" t="s">
        <v>2076</v>
      </c>
      <c r="L67" s="1499">
        <f ca="1">IF(M49&gt;=10000,(8.25+(M49-10000)*0.01%),IF(AND(M49&gt;=8000,M49&lt;10000),(7.85+(M49-8000)*0.02%),IF(AND(M49&gt;=5000,M49&lt;8000),(6.65+(M49-5000)*0.04%),IF(AND(M49&gt;=2000,M49&lt;5000),(4.25+(PM49-2000)*0.08%),IF(AND(M49&gt;=1000,M49&lt;2000),(2.75+(M49-1000)*0.15%),IF(AND(M49&gt;=100,M49&lt;1000),(0.5+(M49-100)*0.25%),IF(AND(M49&gt;0,M49&lt;100),M49*0.5%)))))))</f>
        <v>9.9799000000000007</v>
      </c>
      <c r="M67" s="308">
        <f ca="1">ROUND(L67*0.9,1)</f>
        <v>9</v>
      </c>
      <c r="N67" s="2767"/>
      <c r="Z67" s="1936"/>
      <c r="AI67" s="1937"/>
    </row>
    <row r="68" spans="1:35" ht="14.25" customHeight="1" thickBot="1">
      <c r="A68" s="181" t="s">
        <v>774</v>
      </c>
      <c r="B68" s="182" t="s">
        <v>2077</v>
      </c>
      <c r="C68" s="2793">
        <f ca="1">IF(C67&lt;=0,0,ROUND(C67*D68,0))</f>
        <v>1456</v>
      </c>
      <c r="D68" s="2794">
        <f>'数据-取费表'!B41</f>
        <v>5.6000000000000001E-2</v>
      </c>
      <c r="E68" s="184"/>
      <c r="F68" s="1992"/>
      <c r="G68" s="1992"/>
      <c r="H68" s="1994"/>
      <c r="I68" s="134"/>
      <c r="J68" s="3277"/>
      <c r="K68" s="1499" t="s">
        <v>2078</v>
      </c>
      <c r="L68" s="1499">
        <f ca="1">IF(M49&gt;10000,M49*0.5%,IF(AND(M49&gt;5000,M49&lt;=10000),M49*1%,IF(AND(M49&gt;1000,M49&lt;=5000),M49*2%,IF(AND(M49&gt;200,M49&lt;=1000),M49*3%,M49*5%))))</f>
        <v>136.495</v>
      </c>
      <c r="M68" s="308">
        <f ca="1">ROUND(L68,1)</f>
        <v>136.5</v>
      </c>
      <c r="N68" s="2767"/>
      <c r="Z68" s="1936"/>
      <c r="AI68" s="1937"/>
    </row>
    <row r="69" spans="1:35" s="1956" customFormat="1" ht="16.5" customHeight="1">
      <c r="A69" s="1995"/>
      <c r="B69" s="1996"/>
      <c r="C69" s="1997"/>
      <c r="D69" s="1998"/>
      <c r="E69" s="1999"/>
      <c r="F69" s="1761"/>
      <c r="G69" s="1761"/>
      <c r="H69" s="1760"/>
      <c r="I69" s="1931"/>
      <c r="J69" s="3277"/>
      <c r="K69" s="1499" t="s">
        <v>2079</v>
      </c>
      <c r="L69" s="1499"/>
      <c r="M69" s="308">
        <f ca="1">ROUND(SUM(M63:M68),0)</f>
        <v>446</v>
      </c>
      <c r="N69" s="2769">
        <f ca="1">M69/M49</f>
        <v>1.6337594783691709E-2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6" t="s">
        <v>2080</v>
      </c>
      <c r="B70" s="3237"/>
      <c r="C70" s="3237"/>
      <c r="D70" s="3237"/>
      <c r="E70" s="3237"/>
      <c r="F70" s="3237"/>
      <c r="G70" s="3237"/>
      <c r="H70" s="3237"/>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5" t="s">
        <v>2061</v>
      </c>
      <c r="B71" s="3216"/>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25999</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156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10" t="s">
        <v>2088</v>
      </c>
      <c r="F76" s="3184"/>
      <c r="G76" s="3184"/>
      <c r="H76" s="3235"/>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4.0500000000000001E-2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156</v>
      </c>
      <c r="D78" s="2801">
        <f>'数据-取费表'!B43</f>
        <v>6.000000000000001E-3</v>
      </c>
      <c r="E78" s="3194" t="s">
        <v>2092</v>
      </c>
      <c r="F78" s="3195"/>
      <c r="G78" s="3195"/>
      <c r="H78" s="320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25843</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165.66025641025641</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15451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6" t="s">
        <v>2096</v>
      </c>
      <c r="B83" s="3237"/>
      <c r="C83" s="3237"/>
      <c r="D83" s="3237"/>
      <c r="E83" s="3237"/>
      <c r="F83" s="3237"/>
      <c r="G83" s="3237"/>
      <c r="H83" s="3237"/>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5" t="s">
        <v>2061</v>
      </c>
      <c r="B84" s="3216"/>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25999</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156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4.0500000000000001E-2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79" t="s">
        <v>2870</v>
      </c>
      <c r="H90" s="3280"/>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94" t="s">
        <v>2105</v>
      </c>
      <c r="F91" s="3195"/>
      <c r="G91" s="319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94" t="s">
        <v>2108</v>
      </c>
      <c r="F92" s="3195"/>
      <c r="G92" s="3195"/>
      <c r="H92" s="3204"/>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156</v>
      </c>
      <c r="D93" s="2801">
        <f>'数据-取费表'!B43</f>
        <v>6.000000000000001E-3</v>
      </c>
      <c r="E93" s="3194" t="s">
        <v>2092</v>
      </c>
      <c r="F93" s="3195"/>
      <c r="G93" s="3195"/>
      <c r="H93" s="320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05" t="s">
        <v>2112</v>
      </c>
      <c r="F94" s="3206"/>
      <c r="G94" s="3206"/>
      <c r="H94" s="320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25843</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165.66025641025641</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15451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8" t="s">
        <v>2114</v>
      </c>
      <c r="B100" s="3179"/>
      <c r="C100" s="3179"/>
      <c r="D100" s="3196"/>
      <c r="E100" s="3179" t="s">
        <v>2115</v>
      </c>
      <c r="F100" s="3179"/>
      <c r="G100" s="3179"/>
      <c r="H100" s="3196"/>
      <c r="I100" s="134"/>
    </row>
    <row r="101" spans="1:35" ht="18.75" customHeight="1">
      <c r="A101" s="3260" t="s">
        <v>2116</v>
      </c>
      <c r="B101" s="3261"/>
      <c r="C101" s="2809" t="str">
        <f>C4</f>
        <v>典型户型修正 (2)</v>
      </c>
      <c r="D101" s="2810" t="str">
        <f>D4</f>
        <v>收益法</v>
      </c>
      <c r="E101" s="3274" t="s">
        <v>2117</v>
      </c>
      <c r="F101" s="3228"/>
      <c r="G101" s="2011" t="s">
        <v>2118</v>
      </c>
      <c r="H101" s="2819">
        <f ca="1">H118</f>
        <v>27299</v>
      </c>
      <c r="I101" s="134"/>
    </row>
    <row r="102" spans="1:35" ht="18.75" customHeight="1">
      <c r="A102" s="3230" t="s">
        <v>2119</v>
      </c>
      <c r="B102" s="2808" t="s">
        <v>2118</v>
      </c>
      <c r="C102" s="2809">
        <f ca="1">C19</f>
        <v>48585</v>
      </c>
      <c r="D102" s="2810">
        <f ca="1">D19</f>
        <v>13108</v>
      </c>
      <c r="E102" s="3274"/>
      <c r="F102" s="3228"/>
      <c r="G102" s="2011" t="s">
        <v>2120</v>
      </c>
      <c r="H102" s="2779">
        <f ca="1">I118</f>
        <v>6285</v>
      </c>
      <c r="I102" s="134"/>
    </row>
    <row r="103" spans="1:35" ht="42.75" customHeight="1">
      <c r="A103" s="3230"/>
      <c r="B103" s="2808" t="s">
        <v>2120</v>
      </c>
      <c r="C103" s="2811">
        <f ca="1">C20</f>
        <v>11185</v>
      </c>
      <c r="D103" s="2812">
        <f ca="1">D20</f>
        <v>3018</v>
      </c>
      <c r="E103" s="3268" t="s">
        <v>2121</v>
      </c>
      <c r="F103" s="3269"/>
      <c r="G103" s="2012" t="s">
        <v>2122</v>
      </c>
      <c r="H103" s="2819">
        <f>IF(D36="正常操作",H104+H105+H106,H105+H106)</f>
        <v>0</v>
      </c>
      <c r="I103" s="134"/>
    </row>
    <row r="104" spans="1:35" ht="18.75" customHeight="1">
      <c r="A104" s="3230" t="s">
        <v>2123</v>
      </c>
      <c r="B104" s="2813" t="s">
        <v>2118</v>
      </c>
      <c r="C104" s="2814">
        <f ca="1">H118</f>
        <v>27299</v>
      </c>
      <c r="D104" s="2815"/>
      <c r="E104" s="1858" t="s">
        <v>2124</v>
      </c>
      <c r="F104" s="1849"/>
      <c r="G104" s="2012" t="s">
        <v>2122</v>
      </c>
      <c r="H104" s="2820">
        <f>IF(D36="同一抵押权人同一抵押物续贷",C36&amp;"（续贷，未扣减，详见特别提示）",C36)</f>
        <v>0</v>
      </c>
      <c r="I104" s="134"/>
    </row>
    <row r="105" spans="1:35" ht="18.75" customHeight="1" thickBot="1">
      <c r="A105" s="3231"/>
      <c r="B105" s="2816" t="s">
        <v>2120</v>
      </c>
      <c r="C105" s="2817">
        <f ca="1">I118</f>
        <v>6285</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7" t="str">
        <f>IF(项目基本情况!E8="已注销","——","3.房地产抵押价值")</f>
        <v>3.房地产抵押价值</v>
      </c>
      <c r="F107" s="3228"/>
      <c r="G107" s="2011" t="s">
        <v>2118</v>
      </c>
      <c r="H107" s="2819">
        <f ca="1">IF(E107="——","——",H101-H103)</f>
        <v>27299</v>
      </c>
      <c r="I107" s="134"/>
    </row>
    <row r="108" spans="1:35" ht="18.75" customHeight="1">
      <c r="A108" s="134"/>
      <c r="B108" s="134"/>
      <c r="C108" s="134"/>
      <c r="D108" s="134"/>
      <c r="E108" s="3227"/>
      <c r="F108" s="3228"/>
      <c r="G108" s="2011" t="s">
        <v>2120</v>
      </c>
      <c r="H108" s="2779">
        <f ca="1">ROUND(H107*10000/'数据-汇总表'!E3,0)</f>
        <v>6285</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228"/>
      <c r="G109" s="2011" t="s">
        <v>2118</v>
      </c>
      <c r="H109" s="2822" t="str">
        <f>IF(E109="——","——",H101-H105-H106)</f>
        <v>——</v>
      </c>
      <c r="I109" s="134"/>
    </row>
    <row r="110" spans="1:35" ht="18.75" customHeight="1">
      <c r="A110" s="134"/>
      <c r="B110" s="134"/>
      <c r="C110" s="134"/>
      <c r="D110" s="134"/>
      <c r="E110" s="3227"/>
      <c r="F110" s="3228"/>
      <c r="G110" s="2011" t="s">
        <v>2120</v>
      </c>
      <c r="H110" s="2779" t="str">
        <f>IF(H109="——","——",ROUND(H109*10000/'数据-汇总表'!E3,0))</f>
        <v>——</v>
      </c>
      <c r="I110" s="134"/>
    </row>
    <row r="111" spans="1:35" ht="18.75" customHeight="1">
      <c r="A111" s="134"/>
      <c r="B111" s="134"/>
      <c r="C111" s="134"/>
      <c r="D111" s="134"/>
      <c r="E111" s="3262" t="str">
        <f>IF(项目基本情况!E9="抵押净值",IF(OR(项目基本情况!E8="已注销",项目基本情况!E8="房地产抵押价值"),"4.抵押净值","5.抵押净值"),"——")</f>
        <v>——</v>
      </c>
      <c r="F111" s="3229"/>
      <c r="G111" s="2011" t="s">
        <v>2118</v>
      </c>
      <c r="H111" s="2819" t="str">
        <f>IF(E111="——","——",N59)</f>
        <v>——</v>
      </c>
      <c r="I111" s="134"/>
    </row>
    <row r="112" spans="1:35" ht="18.75" customHeight="1" thickBot="1">
      <c r="A112" s="134"/>
      <c r="B112" s="134"/>
      <c r="C112" s="134"/>
      <c r="D112" s="134"/>
      <c r="E112" s="3263"/>
      <c r="F112" s="3264"/>
      <c r="G112" s="2014" t="s">
        <v>2120</v>
      </c>
      <c r="H112" s="2823" t="str">
        <f>IF(E111="——","——",N61)</f>
        <v>——</v>
      </c>
      <c r="I112" s="134"/>
    </row>
    <row r="113" spans="1:27" ht="18.75" customHeight="1">
      <c r="A113" s="134"/>
      <c r="B113" s="134"/>
      <c r="C113" s="134"/>
      <c r="D113" s="134"/>
      <c r="E113" s="3232" t="s">
        <v>2126</v>
      </c>
      <c r="F113" s="3232"/>
      <c r="G113" s="3232"/>
      <c r="H113" s="3232"/>
      <c r="I113" s="134"/>
    </row>
    <row r="114" spans="1:27" ht="3.75" customHeight="1">
      <c r="A114" s="1931"/>
      <c r="B114" s="1931"/>
      <c r="C114" s="1931"/>
      <c r="D114" s="1931"/>
      <c r="E114" s="1993"/>
      <c r="F114" s="1993"/>
      <c r="G114" s="1993"/>
      <c r="H114" s="1993"/>
      <c r="I114" s="1931"/>
    </row>
    <row r="115" spans="1:27" ht="18.75" customHeight="1">
      <c r="A115" s="3245" t="s">
        <v>2128</v>
      </c>
      <c r="B115" s="3246"/>
      <c r="C115" s="3246"/>
      <c r="D115" s="3246"/>
      <c r="E115" s="3246"/>
      <c r="F115" s="3246"/>
      <c r="G115" s="3246"/>
      <c r="H115" s="3246"/>
      <c r="I115" s="3247"/>
    </row>
    <row r="116" spans="1:27" ht="27" customHeight="1">
      <c r="A116" s="3198" t="s">
        <v>2129</v>
      </c>
      <c r="B116" s="3233" t="s">
        <v>2130</v>
      </c>
      <c r="C116" s="3233" t="s">
        <v>2131</v>
      </c>
      <c r="D116" s="3249" t="s">
        <v>2132</v>
      </c>
      <c r="E116" s="3250"/>
      <c r="F116" s="3241" t="s">
        <v>2133</v>
      </c>
      <c r="G116" s="3241"/>
      <c r="H116" s="3198" t="s">
        <v>2134</v>
      </c>
      <c r="I116" s="3198"/>
    </row>
    <row r="117" spans="1:27" ht="18.75" customHeight="1">
      <c r="A117" s="3198"/>
      <c r="B117" s="3234"/>
      <c r="C117" s="3234"/>
      <c r="D117" s="2550" t="s">
        <v>2135</v>
      </c>
      <c r="E117" s="2550" t="s">
        <v>2136</v>
      </c>
      <c r="F117" s="2550" t="s">
        <v>2135</v>
      </c>
      <c r="G117" s="2550" t="s">
        <v>2137</v>
      </c>
      <c r="H117" s="2550" t="s">
        <v>2135</v>
      </c>
      <c r="I117" s="2550" t="s">
        <v>2137</v>
      </c>
    </row>
    <row r="118" spans="1:27" ht="24.75" customHeight="1">
      <c r="A118" s="2824" t="str">
        <f>项目基本情况!S2</f>
        <v>房地产</v>
      </c>
      <c r="B118" s="2550">
        <f>M18</f>
        <v>43436.4</v>
      </c>
      <c r="C118" s="2550">
        <f>M19</f>
        <v>27014.799999999999</v>
      </c>
      <c r="D118" s="2550">
        <f ca="1">ROUND(IF(D32="总价",C34,E118*B118/10000),0)</f>
        <v>-57082</v>
      </c>
      <c r="E118" s="2550">
        <f ca="1">ROUND(IF(C33="自定义",IF(D32="楼面单价",C34,D118*10000/B118),I118-G118),0)</f>
        <v>-13141</v>
      </c>
      <c r="F118" s="2550">
        <f ca="1">ROUND(IF(D32="总价",C35,G118*B118/10000),0)</f>
        <v>84381</v>
      </c>
      <c r="G118" s="2550">
        <f ca="1">ROUND(IF(D32="楼面单价",C35,F118*10000/B118),0)</f>
        <v>19426</v>
      </c>
      <c r="H118" s="2550">
        <f ca="1">ROUND(IF(D32="总价",C32,I118*B118/10000),0)</f>
        <v>27299</v>
      </c>
      <c r="I118" s="2550">
        <f ca="1">ROUND(IF(D32="楼面单价",C32,H118*10000/B118),0)</f>
        <v>6285</v>
      </c>
    </row>
    <row r="119" spans="1:27" ht="18.75" customHeight="1">
      <c r="A119" s="3198" t="s">
        <v>2138</v>
      </c>
      <c r="B119" s="3198"/>
      <c r="C119" s="3198"/>
      <c r="D119" s="3238" t="e">
        <f ca="1">NUMBERSTRING(INT(D118*10000),2)&amp;"元整"</f>
        <v>#NUM!</v>
      </c>
      <c r="E119" s="3240"/>
      <c r="F119" s="3238" t="str">
        <f ca="1">NUMBERSTRING(INT(F118*10000),2)&amp;"元整"</f>
        <v>捌亿肆仟叁佰捌拾壹万元整</v>
      </c>
      <c r="G119" s="3240"/>
      <c r="H119" s="3238" t="str">
        <f ca="1">NUMBERSTRING(INT(H118*10000),2)&amp;"元整"</f>
        <v>贰亿柒仟贰佰玖拾玖万元整</v>
      </c>
      <c r="I119" s="3240"/>
    </row>
    <row r="120" spans="1:27" ht="18.75" customHeight="1">
      <c r="A120" s="3265" t="str">
        <f>IF(项目基本情况!B9="房地产市场价值","",MID(E103,3,LEN(E103)-2))</f>
        <v/>
      </c>
      <c r="B120" s="3266"/>
      <c r="C120" s="3267"/>
      <c r="D120" s="3265">
        <f>H103</f>
        <v>0</v>
      </c>
      <c r="E120" s="3266"/>
      <c r="F120" s="3266"/>
      <c r="G120" s="3266"/>
      <c r="H120" s="3266"/>
      <c r="I120" s="3267"/>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42" t="s">
        <v>2138</v>
      </c>
      <c r="B121" s="3243"/>
      <c r="C121" s="3244"/>
      <c r="D121" s="3238" t="str">
        <f>IF(D120=0,"零元整",NUMBERSTRING(INT(D120*10000),2)&amp;"元整")</f>
        <v>零元整</v>
      </c>
      <c r="E121" s="3239"/>
      <c r="F121" s="3239"/>
      <c r="G121" s="3239"/>
      <c r="H121" s="3239"/>
      <c r="I121" s="3240"/>
      <c r="AA121" s="733"/>
    </row>
    <row r="122" spans="1:27" ht="18.75" customHeight="1">
      <c r="A122" s="3229" t="str">
        <f>IF(项目基本情况!B9="房地产市场价值","",MID(E107,3,LEN(E107)-2))</f>
        <v/>
      </c>
      <c r="B122" s="3229"/>
      <c r="C122" s="3229"/>
      <c r="D122" s="3265">
        <f ca="1">H107</f>
        <v>27299</v>
      </c>
      <c r="E122" s="3266"/>
      <c r="F122" s="3266"/>
      <c r="G122" s="3266"/>
      <c r="H122" s="3266"/>
      <c r="I122" s="3267"/>
      <c r="AA122" s="733"/>
    </row>
    <row r="123" spans="1:27" ht="18.75" customHeight="1">
      <c r="A123" s="3198" t="s">
        <v>2138</v>
      </c>
      <c r="B123" s="3198"/>
      <c r="C123" s="3198"/>
      <c r="D123" s="3238" t="str">
        <f ca="1">NUMBERSTRING(INT(D122*10000),2)&amp;"元整"</f>
        <v>贰亿柒仟贰佰玖拾玖万元整</v>
      </c>
      <c r="E123" s="3239"/>
      <c r="F123" s="3239"/>
      <c r="G123" s="3239"/>
      <c r="H123" s="3239"/>
      <c r="I123" s="3240"/>
      <c r="AA123" s="733"/>
    </row>
    <row r="124" spans="1:27" ht="18.75" customHeight="1">
      <c r="A124" s="3229" t="str">
        <f>IF(项目基本情况!B9="房地产市场价值","",MID(E109,3,LEN(E109)-2))</f>
        <v/>
      </c>
      <c r="B124" s="3229"/>
      <c r="C124" s="3229"/>
      <c r="D124" s="3265" t="str">
        <f>H109</f>
        <v>——</v>
      </c>
      <c r="E124" s="3266"/>
      <c r="F124" s="3266"/>
      <c r="G124" s="3266"/>
      <c r="H124" s="3266"/>
      <c r="I124" s="3267"/>
      <c r="AA124" s="733"/>
    </row>
    <row r="125" spans="1:27" ht="18.75" customHeight="1">
      <c r="A125" s="3198" t="s">
        <v>2138</v>
      </c>
      <c r="B125" s="3198"/>
      <c r="C125" s="3198"/>
      <c r="D125" s="3238" t="e">
        <f>NUMBERSTRING(INT(D124*10000),2)&amp;"元整"</f>
        <v>#VALUE!</v>
      </c>
      <c r="E125" s="3239"/>
      <c r="F125" s="3239"/>
      <c r="G125" s="3239"/>
      <c r="H125" s="3239"/>
      <c r="I125" s="3240"/>
      <c r="AA125" s="733"/>
    </row>
    <row r="126" spans="1:27" ht="18.75" customHeight="1">
      <c r="A126" s="3229" t="str">
        <f>IF(项目基本情况!B9="房地产市场价值","",MID(E111,3,LEN(E111)-2))</f>
        <v/>
      </c>
      <c r="B126" s="3229"/>
      <c r="C126" s="3229"/>
      <c r="D126" s="3265" t="str">
        <f>H111</f>
        <v>——</v>
      </c>
      <c r="E126" s="3266"/>
      <c r="F126" s="3266"/>
      <c r="G126" s="3266"/>
      <c r="H126" s="3266"/>
      <c r="I126" s="3267"/>
      <c r="AA126" s="733"/>
    </row>
    <row r="127" spans="1:27" ht="18.75" customHeight="1">
      <c r="A127" s="3198" t="s">
        <v>2138</v>
      </c>
      <c r="B127" s="3198"/>
      <c r="C127" s="3198"/>
      <c r="D127" s="3238" t="e">
        <f>NUMBERSTRING(INT(D126*10000),2)&amp;"元整"</f>
        <v>#VALUE!</v>
      </c>
      <c r="E127" s="3239"/>
      <c r="F127" s="3239"/>
      <c r="G127" s="3239"/>
      <c r="H127" s="3239"/>
      <c r="I127" s="3240"/>
      <c r="AA127" s="733"/>
    </row>
    <row r="128" spans="1:27" ht="21.75" customHeight="1">
      <c r="A128" s="3248" t="s">
        <v>2139</v>
      </c>
      <c r="B128" s="3248"/>
      <c r="C128" s="3248"/>
      <c r="D128" s="3248"/>
      <c r="E128" s="3248"/>
      <c r="F128" s="3248"/>
      <c r="G128" s="3248"/>
      <c r="H128" s="3248"/>
      <c r="I128" s="3248"/>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2" t="str">
        <f>项目基本情况!B1</f>
        <v>房地产市场价值预评估</v>
      </c>
      <c r="C37" s="3092"/>
      <c r="D37" s="3092"/>
      <c r="E37" s="3092"/>
      <c r="F37" s="3092"/>
      <c r="G37" s="3092"/>
      <c r="H37" s="3092"/>
      <c r="I37" s="3092"/>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L40" sqref="L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6.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t="s">
        <v>27</v>
      </c>
      <c r="E1" s="1400"/>
      <c r="F1" s="2063" t="s">
        <v>3080</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IF(C2="——",ROUND(C50*D3/10000,0),ROUND(C50*D3/10000,0)-D2)</f>
        <v>#REF!</v>
      </c>
      <c r="C2" s="2065" t="s">
        <v>70</v>
      </c>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IF(C2="——",C50,ROUND(B2*10000/D3,0))</f>
        <v>#REF!</v>
      </c>
      <c r="C3" s="360" t="s">
        <v>2465</v>
      </c>
      <c r="D3" s="359">
        <f>IF(D1="",'数据-汇总表'!E3,SUMIF('数据-汇总表'!$C19:$C33,D1,'数据-汇总表'!$E19:$E33))</f>
        <v>0</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299" t="s">
        <v>2467</v>
      </c>
      <c r="D4" s="3300"/>
      <c r="E4" s="3301" t="s">
        <v>2468</v>
      </c>
      <c r="F4" s="3302"/>
      <c r="G4" s="3299" t="s">
        <v>2469</v>
      </c>
      <c r="H4" s="3300"/>
      <c r="I4" s="3299" t="s">
        <v>2470</v>
      </c>
      <c r="J4" s="3300"/>
      <c r="K4" s="567" t="s">
        <v>2471</v>
      </c>
      <c r="L4" s="2942"/>
      <c r="M4" s="2943"/>
      <c r="N4" s="2943"/>
      <c r="O4" s="2943"/>
      <c r="P4" s="3303" t="s">
        <v>2472</v>
      </c>
      <c r="Q4" s="3304"/>
      <c r="R4" s="3309" t="s">
        <v>2468</v>
      </c>
      <c r="S4" s="3310"/>
      <c r="T4" s="3309" t="s">
        <v>2469</v>
      </c>
      <c r="U4" s="3310"/>
      <c r="V4" s="3315" t="s">
        <v>2470</v>
      </c>
      <c r="W4" s="3315"/>
      <c r="X4" s="2142"/>
      <c r="Y4" s="3309" t="s">
        <v>2472</v>
      </c>
      <c r="Z4" s="3310"/>
      <c r="AA4" s="3328" t="s">
        <v>2468</v>
      </c>
      <c r="AB4" s="3328" t="s">
        <v>2469</v>
      </c>
      <c r="AC4" s="3296" t="s">
        <v>2470</v>
      </c>
    </row>
    <row r="5" spans="1:29" ht="15">
      <c r="A5" s="364"/>
      <c r="B5" s="365"/>
      <c r="C5" s="3325" t="s">
        <v>2363</v>
      </c>
      <c r="D5" s="3320"/>
      <c r="E5" s="3331" t="s">
        <v>3104</v>
      </c>
      <c r="F5" s="3332"/>
      <c r="G5" s="3319" t="s">
        <v>3118</v>
      </c>
      <c r="H5" s="3320"/>
      <c r="I5" s="3319" t="s">
        <v>3115</v>
      </c>
      <c r="J5" s="3320"/>
      <c r="K5" s="567"/>
      <c r="L5" s="2942"/>
      <c r="M5" s="2943"/>
      <c r="N5" s="2943"/>
      <c r="O5" s="2943"/>
      <c r="P5" s="3305"/>
      <c r="Q5" s="3306"/>
      <c r="R5" s="3311"/>
      <c r="S5" s="3312"/>
      <c r="T5" s="3311"/>
      <c r="U5" s="3312"/>
      <c r="V5" s="3316"/>
      <c r="W5" s="3316"/>
      <c r="X5" s="1537"/>
      <c r="Y5" s="3311"/>
      <c r="Z5" s="3312"/>
      <c r="AA5" s="3329"/>
      <c r="AB5" s="3329"/>
      <c r="AC5" s="3297"/>
    </row>
    <row r="6" spans="1:29" ht="15.75" thickBot="1">
      <c r="A6" s="366"/>
      <c r="B6" s="367"/>
      <c r="C6" s="3317" t="s">
        <v>2367</v>
      </c>
      <c r="D6" s="3318"/>
      <c r="E6" s="3326" t="s">
        <v>2367</v>
      </c>
      <c r="F6" s="3327"/>
      <c r="G6" s="3317" t="s">
        <v>2367</v>
      </c>
      <c r="H6" s="3318"/>
      <c r="I6" s="3317" t="s">
        <v>2367</v>
      </c>
      <c r="J6" s="3318"/>
      <c r="K6" s="567" t="s">
        <v>2368</v>
      </c>
      <c r="L6" s="2942"/>
      <c r="M6" s="2943"/>
      <c r="N6" s="2943"/>
      <c r="O6" s="2943"/>
      <c r="P6" s="3307"/>
      <c r="Q6" s="3308"/>
      <c r="R6" s="3311"/>
      <c r="S6" s="3312"/>
      <c r="T6" s="3313"/>
      <c r="U6" s="3314"/>
      <c r="V6" s="3316"/>
      <c r="W6" s="3316"/>
      <c r="X6" s="1537"/>
      <c r="Y6" s="3313"/>
      <c r="Z6" s="3314"/>
      <c r="AA6" s="3330"/>
      <c r="AB6" s="3330"/>
      <c r="AC6" s="3298"/>
    </row>
    <row r="7" spans="1:29" s="113" customFormat="1" ht="15.75" thickBot="1">
      <c r="A7" s="368" t="s">
        <v>2369</v>
      </c>
      <c r="B7" s="369"/>
      <c r="C7" s="370">
        <f>'数据-取费表'!B2</f>
        <v>44561</v>
      </c>
      <c r="D7" s="371">
        <v>100</v>
      </c>
      <c r="E7" s="372">
        <v>44538</v>
      </c>
      <c r="F7" s="373">
        <f>SUMIF(59:59,YEAR(E7)&amp;"-"&amp;MONTH(E7),60:60)</f>
        <v>100</v>
      </c>
      <c r="G7" s="372">
        <v>44535</v>
      </c>
      <c r="H7" s="371">
        <f>SUMIF(59:59,YEAR(G7)&amp;"-"&amp;MONTH(G7),60:60)</f>
        <v>100</v>
      </c>
      <c r="I7" s="372">
        <v>44540</v>
      </c>
      <c r="J7" s="371">
        <f>SUMIF(59:59,YEAR(I7)&amp;"-"&amp;MONTH(I7),60:60)</f>
        <v>100</v>
      </c>
      <c r="K7" s="568"/>
      <c r="L7" s="2944"/>
      <c r="M7" s="2945"/>
      <c r="N7" s="2945"/>
      <c r="O7" s="2945"/>
      <c r="P7" s="3321" t="s">
        <v>2370</v>
      </c>
      <c r="Q7" s="3324"/>
      <c r="R7" s="709" t="s">
        <v>17</v>
      </c>
      <c r="S7" s="710">
        <f t="shared" ref="S7:S15" si="0">F7</f>
        <v>100</v>
      </c>
      <c r="T7" s="709" t="s">
        <v>17</v>
      </c>
      <c r="U7" s="710">
        <f t="shared" ref="U7:U15" si="1">H7</f>
        <v>100</v>
      </c>
      <c r="V7" s="709" t="s">
        <v>17</v>
      </c>
      <c r="W7" s="710">
        <f t="shared" ref="W7:W15" si="2">J7</f>
        <v>100</v>
      </c>
      <c r="X7" s="711"/>
      <c r="Y7" s="3323" t="s">
        <v>2370</v>
      </c>
      <c r="Z7" s="3322"/>
      <c r="AA7" s="712">
        <f>D7/F7</f>
        <v>1</v>
      </c>
      <c r="AB7" s="712">
        <f>D7/H7</f>
        <v>1</v>
      </c>
      <c r="AC7" s="2143">
        <f>D7/J7</f>
        <v>1</v>
      </c>
    </row>
    <row r="8" spans="1:29" s="113" customFormat="1" ht="15.75" thickBot="1">
      <c r="A8" s="368" t="s">
        <v>2371</v>
      </c>
      <c r="B8" s="369"/>
      <c r="C8" s="374" t="s">
        <v>2473</v>
      </c>
      <c r="D8" s="371">
        <v>100</v>
      </c>
      <c r="E8" s="374" t="s">
        <v>3081</v>
      </c>
      <c r="F8" s="373">
        <f>SUMIF(62:62,E8,63:63)-SUMIF(62:62,C8,63:63)+100</f>
        <v>100</v>
      </c>
      <c r="G8" s="374" t="s">
        <v>3081</v>
      </c>
      <c r="H8" s="371">
        <f>SUMIF(62:62,G8,63:63)-SUMIF(62:62,C8,63:63)+100</f>
        <v>100</v>
      </c>
      <c r="I8" s="374" t="s">
        <v>3081</v>
      </c>
      <c r="J8" s="371">
        <f>SUMIF(62:62,I8,63:63)-SUMIF(62:62,C8,63:63)+100</f>
        <v>100</v>
      </c>
      <c r="K8" s="568"/>
      <c r="L8" s="2944"/>
      <c r="M8" s="2945"/>
      <c r="N8" s="2945"/>
      <c r="O8" s="2945"/>
      <c r="P8" s="3321" t="s">
        <v>2373</v>
      </c>
      <c r="Q8" s="3322"/>
      <c r="R8" s="709" t="s">
        <v>17</v>
      </c>
      <c r="S8" s="710">
        <f t="shared" si="0"/>
        <v>100</v>
      </c>
      <c r="T8" s="709" t="s">
        <v>17</v>
      </c>
      <c r="U8" s="710">
        <f t="shared" si="1"/>
        <v>100</v>
      </c>
      <c r="V8" s="709" t="s">
        <v>17</v>
      </c>
      <c r="W8" s="710">
        <f t="shared" si="2"/>
        <v>100</v>
      </c>
      <c r="X8" s="711"/>
      <c r="Y8" s="3323" t="s">
        <v>2373</v>
      </c>
      <c r="Z8" s="3322"/>
      <c r="AA8" s="712">
        <f t="shared" ref="AA8:AA47" si="3">D8/F8</f>
        <v>1</v>
      </c>
      <c r="AB8" s="712">
        <f t="shared" ref="AB8:AB47" si="4">D8/H8</f>
        <v>1</v>
      </c>
      <c r="AC8" s="2143">
        <f t="shared" ref="AC8:AC47" si="5">D8/J8</f>
        <v>1</v>
      </c>
    </row>
    <row r="9" spans="1:29" s="113" customFormat="1">
      <c r="A9" s="375" t="s">
        <v>2374</v>
      </c>
      <c r="B9" s="67" t="s">
        <v>2375</v>
      </c>
      <c r="C9" s="3061" t="s">
        <v>3082</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281" t="s">
        <v>2376</v>
      </c>
      <c r="Q9" s="1525" t="str">
        <f t="shared" ref="Q9:Q15" si="6">B9</f>
        <v>用途</v>
      </c>
      <c r="R9" s="709" t="s">
        <v>17</v>
      </c>
      <c r="S9" s="710">
        <f t="shared" si="0"/>
        <v>100</v>
      </c>
      <c r="T9" s="709" t="s">
        <v>17</v>
      </c>
      <c r="U9" s="710">
        <f t="shared" si="1"/>
        <v>100</v>
      </c>
      <c r="V9" s="709" t="s">
        <v>17</v>
      </c>
      <c r="W9" s="710">
        <f t="shared" si="2"/>
        <v>100</v>
      </c>
      <c r="X9" s="711"/>
      <c r="Y9" s="3185" t="s">
        <v>2377</v>
      </c>
      <c r="Z9" s="55" t="str">
        <f t="shared" ref="Z9:Z15" si="7">Q9</f>
        <v>用途</v>
      </c>
      <c r="AA9" s="712">
        <f t="shared" si="3"/>
        <v>1</v>
      </c>
      <c r="AB9" s="712">
        <f t="shared" si="4"/>
        <v>1</v>
      </c>
      <c r="AC9" s="2143">
        <f t="shared" si="5"/>
        <v>1</v>
      </c>
    </row>
    <row r="10" spans="1:29" s="386" customFormat="1" ht="27">
      <c r="A10" s="380"/>
      <c r="B10" s="381" t="s">
        <v>2378</v>
      </c>
      <c r="C10" s="382" t="s">
        <v>3109</v>
      </c>
      <c r="D10" s="132">
        <v>100</v>
      </c>
      <c r="E10" s="382" t="s">
        <v>3109</v>
      </c>
      <c r="F10" s="132">
        <f>SUMIF(66:66,E10,67:67)-SUMIF(66:66,C10,67:67)+100</f>
        <v>100</v>
      </c>
      <c r="G10" s="383" t="s">
        <v>3116</v>
      </c>
      <c r="H10" s="132">
        <f>SUMIF(66:66,G10,67:67)-SUMIF(66:66,C10,67:67)+100</f>
        <v>98</v>
      </c>
      <c r="I10" s="382" t="s">
        <v>3109</v>
      </c>
      <c r="J10" s="132">
        <f>SUMIF(66:66,I10,67:67)-SUMIF(66:66,C10,67:67)+100</f>
        <v>100</v>
      </c>
      <c r="K10" s="569">
        <v>2</v>
      </c>
      <c r="L10" s="2946"/>
      <c r="M10" s="2947"/>
      <c r="N10" s="2947"/>
      <c r="O10" s="2947"/>
      <c r="P10" s="3281"/>
      <c r="Q10" s="1525" t="str">
        <f t="shared" si="6"/>
        <v>土地使用年限（年）</v>
      </c>
      <c r="R10" s="709" t="s">
        <v>17</v>
      </c>
      <c r="S10" s="710">
        <f t="shared" si="0"/>
        <v>100</v>
      </c>
      <c r="T10" s="709" t="s">
        <v>17</v>
      </c>
      <c r="U10" s="710">
        <f t="shared" si="1"/>
        <v>98</v>
      </c>
      <c r="V10" s="709" t="s">
        <v>17</v>
      </c>
      <c r="W10" s="710">
        <f t="shared" si="2"/>
        <v>100</v>
      </c>
      <c r="X10" s="711"/>
      <c r="Y10" s="3185"/>
      <c r="Z10" s="55" t="str">
        <f t="shared" si="7"/>
        <v>土地使用年限（年）</v>
      </c>
      <c r="AA10" s="712">
        <f t="shared" si="3"/>
        <v>1</v>
      </c>
      <c r="AB10" s="712">
        <f t="shared" si="4"/>
        <v>1.0204081632653061</v>
      </c>
      <c r="AC10" s="2143">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281"/>
      <c r="Q11" s="1525" t="str">
        <f t="shared" si="6"/>
        <v>容积率</v>
      </c>
      <c r="R11" s="709" t="s">
        <v>17</v>
      </c>
      <c r="S11" s="710">
        <f t="shared" si="0"/>
        <v>100</v>
      </c>
      <c r="T11" s="709" t="s">
        <v>17</v>
      </c>
      <c r="U11" s="710">
        <f t="shared" si="1"/>
        <v>100</v>
      </c>
      <c r="V11" s="709" t="s">
        <v>17</v>
      </c>
      <c r="W11" s="710">
        <f t="shared" si="2"/>
        <v>100</v>
      </c>
      <c r="X11" s="711"/>
      <c r="Y11" s="3185"/>
      <c r="Z11" s="55" t="str">
        <f t="shared" si="7"/>
        <v>容积率</v>
      </c>
      <c r="AA11" s="712">
        <f t="shared" si="3"/>
        <v>1</v>
      </c>
      <c r="AB11" s="712">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81"/>
      <c r="Q12" s="1525">
        <f t="shared" si="6"/>
        <v>111</v>
      </c>
      <c r="R12" s="709" t="s">
        <v>17</v>
      </c>
      <c r="S12" s="710">
        <f t="shared" si="0"/>
        <v>100</v>
      </c>
      <c r="T12" s="709" t="s">
        <v>17</v>
      </c>
      <c r="U12" s="710">
        <f t="shared" si="1"/>
        <v>100</v>
      </c>
      <c r="V12" s="709" t="s">
        <v>17</v>
      </c>
      <c r="W12" s="710">
        <f t="shared" si="2"/>
        <v>100</v>
      </c>
      <c r="X12" s="711"/>
      <c r="Y12" s="3185"/>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81"/>
      <c r="Q13" s="1525">
        <f t="shared" si="6"/>
        <v>111</v>
      </c>
      <c r="R13" s="709" t="s">
        <v>17</v>
      </c>
      <c r="S13" s="710">
        <f t="shared" si="0"/>
        <v>100</v>
      </c>
      <c r="T13" s="709" t="s">
        <v>17</v>
      </c>
      <c r="U13" s="710">
        <f t="shared" si="1"/>
        <v>100</v>
      </c>
      <c r="V13" s="709" t="s">
        <v>17</v>
      </c>
      <c r="W13" s="710">
        <f t="shared" si="2"/>
        <v>100</v>
      </c>
      <c r="X13" s="711"/>
      <c r="Y13" s="3185"/>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81"/>
      <c r="Q14" s="1525">
        <f t="shared" si="6"/>
        <v>111</v>
      </c>
      <c r="R14" s="709" t="s">
        <v>17</v>
      </c>
      <c r="S14" s="710">
        <f t="shared" si="0"/>
        <v>100</v>
      </c>
      <c r="T14" s="709" t="s">
        <v>17</v>
      </c>
      <c r="U14" s="710">
        <f t="shared" si="1"/>
        <v>100</v>
      </c>
      <c r="V14" s="709" t="s">
        <v>17</v>
      </c>
      <c r="W14" s="710">
        <f t="shared" si="2"/>
        <v>100</v>
      </c>
      <c r="X14" s="711"/>
      <c r="Y14" s="3185"/>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287" t="s">
        <v>2381</v>
      </c>
      <c r="Q15" s="1534" t="str">
        <f t="shared" si="6"/>
        <v>办公集聚程度</v>
      </c>
      <c r="R15" s="713" t="s">
        <v>17</v>
      </c>
      <c r="S15" s="714">
        <f t="shared" si="0"/>
        <v>100</v>
      </c>
      <c r="T15" s="713" t="s">
        <v>17</v>
      </c>
      <c r="U15" s="714">
        <f t="shared" si="1"/>
        <v>100</v>
      </c>
      <c r="V15" s="713" t="s">
        <v>17</v>
      </c>
      <c r="W15" s="714">
        <f t="shared" si="2"/>
        <v>100</v>
      </c>
      <c r="X15" s="1537"/>
      <c r="Y15" s="3289" t="s">
        <v>2381</v>
      </c>
      <c r="Z15" s="1538" t="str">
        <f t="shared" si="7"/>
        <v>办公集聚程度</v>
      </c>
      <c r="AA15" s="1535">
        <f t="shared" si="3"/>
        <v>1</v>
      </c>
      <c r="AB15" s="1535">
        <f t="shared" si="4"/>
        <v>1</v>
      </c>
      <c r="AC15" s="2146">
        <f t="shared" si="5"/>
        <v>1</v>
      </c>
    </row>
    <row r="16" spans="1:29" ht="15">
      <c r="A16" s="387"/>
      <c r="B16" s="586"/>
      <c r="C16" s="2088" t="s">
        <v>3083</v>
      </c>
      <c r="D16" s="407"/>
      <c r="E16" s="406" t="s">
        <v>3083</v>
      </c>
      <c r="F16" s="407"/>
      <c r="G16" s="2088" t="s">
        <v>3083</v>
      </c>
      <c r="H16" s="409"/>
      <c r="I16" s="406" t="s">
        <v>3083</v>
      </c>
      <c r="J16" s="407"/>
      <c r="K16" s="572"/>
      <c r="L16" s="2949"/>
      <c r="M16" s="2943"/>
      <c r="N16" s="2943"/>
      <c r="O16" s="2943"/>
      <c r="P16" s="3288"/>
      <c r="Q16" s="1534"/>
      <c r="R16" s="713"/>
      <c r="S16" s="714"/>
      <c r="T16" s="713"/>
      <c r="U16" s="714"/>
      <c r="V16" s="713"/>
      <c r="W16" s="714"/>
      <c r="X16" s="1537"/>
      <c r="Y16" s="3290"/>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288"/>
      <c r="Q17" s="1534" t="str">
        <f>B17</f>
        <v>交通便捷度</v>
      </c>
      <c r="R17" s="713" t="s">
        <v>17</v>
      </c>
      <c r="S17" s="714">
        <f>F17</f>
        <v>100</v>
      </c>
      <c r="T17" s="713" t="s">
        <v>17</v>
      </c>
      <c r="U17" s="714">
        <f>H17</f>
        <v>100</v>
      </c>
      <c r="V17" s="713" t="s">
        <v>17</v>
      </c>
      <c r="W17" s="714">
        <f>J17</f>
        <v>100</v>
      </c>
      <c r="X17" s="1537"/>
      <c r="Y17" s="3290"/>
      <c r="Z17" s="1538" t="str">
        <f>Q17</f>
        <v>交通便捷度</v>
      </c>
      <c r="AA17" s="1535">
        <f t="shared" si="3"/>
        <v>1</v>
      </c>
      <c r="AB17" s="1535">
        <f t="shared" si="4"/>
        <v>1</v>
      </c>
      <c r="AC17" s="2146">
        <f t="shared" si="5"/>
        <v>1</v>
      </c>
    </row>
    <row r="18" spans="1:29" ht="15">
      <c r="A18" s="387"/>
      <c r="B18" s="588"/>
      <c r="C18" s="2148" t="s">
        <v>3083</v>
      </c>
      <c r="D18" s="409"/>
      <c r="E18" s="2086" t="s">
        <v>3083</v>
      </c>
      <c r="F18" s="409"/>
      <c r="G18" s="2087" t="s">
        <v>3083</v>
      </c>
      <c r="H18" s="407"/>
      <c r="I18" s="2087" t="s">
        <v>3083</v>
      </c>
      <c r="J18" s="407"/>
      <c r="K18" s="572"/>
      <c r="L18" s="2949"/>
      <c r="M18" s="2943"/>
      <c r="N18" s="2943"/>
      <c r="O18" s="2943"/>
      <c r="P18" s="3288"/>
      <c r="Q18" s="1534"/>
      <c r="R18" s="713"/>
      <c r="S18" s="714"/>
      <c r="T18" s="713"/>
      <c r="U18" s="714"/>
      <c r="V18" s="713"/>
      <c r="W18" s="714"/>
      <c r="X18" s="1537"/>
      <c r="Y18" s="3290"/>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98</v>
      </c>
      <c r="K19" s="571">
        <v>2</v>
      </c>
      <c r="L19" s="2949"/>
      <c r="M19" s="2943"/>
      <c r="N19" s="2943"/>
      <c r="O19" s="2943"/>
      <c r="P19" s="3288"/>
      <c r="Q19" s="1534" t="str">
        <f>B19</f>
        <v>公共配套设施</v>
      </c>
      <c r="R19" s="713" t="s">
        <v>17</v>
      </c>
      <c r="S19" s="714">
        <f>F19</f>
        <v>100</v>
      </c>
      <c r="T19" s="713" t="s">
        <v>17</v>
      </c>
      <c r="U19" s="714">
        <f>H19</f>
        <v>100</v>
      </c>
      <c r="V19" s="713" t="s">
        <v>17</v>
      </c>
      <c r="W19" s="714">
        <f>J19</f>
        <v>98</v>
      </c>
      <c r="X19" s="1537"/>
      <c r="Y19" s="3290"/>
      <c r="Z19" s="1538" t="str">
        <f>Q19</f>
        <v>公共配套设施</v>
      </c>
      <c r="AA19" s="1535">
        <f t="shared" si="3"/>
        <v>1</v>
      </c>
      <c r="AB19" s="1535">
        <f t="shared" si="4"/>
        <v>1</v>
      </c>
      <c r="AC19" s="2146">
        <f t="shared" si="5"/>
        <v>1.0204081632653061</v>
      </c>
    </row>
    <row r="20" spans="1:29" ht="15">
      <c r="A20" s="387"/>
      <c r="B20" s="588"/>
      <c r="C20" s="2088" t="s">
        <v>3083</v>
      </c>
      <c r="D20" s="407"/>
      <c r="E20" s="2081" t="s">
        <v>3083</v>
      </c>
      <c r="F20" s="407"/>
      <c r="G20" s="2082" t="s">
        <v>3083</v>
      </c>
      <c r="H20" s="407"/>
      <c r="I20" s="2082" t="s">
        <v>3085</v>
      </c>
      <c r="J20" s="407"/>
      <c r="K20" s="572"/>
      <c r="L20" s="2949"/>
      <c r="M20" s="2943"/>
      <c r="N20" s="2943"/>
      <c r="O20" s="2943"/>
      <c r="P20" s="3288"/>
      <c r="Q20" s="1534"/>
      <c r="R20" s="713"/>
      <c r="S20" s="714"/>
      <c r="T20" s="713"/>
      <c r="U20" s="714"/>
      <c r="V20" s="713"/>
      <c r="W20" s="714"/>
      <c r="X20" s="1537"/>
      <c r="Y20" s="3290"/>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9"/>
      <c r="M21" s="2943"/>
      <c r="N21" s="2943"/>
      <c r="O21" s="2943"/>
      <c r="P21" s="3288"/>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2146">
        <f t="shared" ref="AC21" si="10">D21/J21</f>
        <v>1</v>
      </c>
    </row>
    <row r="22" spans="1:29" ht="15">
      <c r="A22" s="387"/>
      <c r="B22" s="589"/>
      <c r="C22" s="2148" t="s">
        <v>3084</v>
      </c>
      <c r="D22" s="407"/>
      <c r="E22" s="406" t="s">
        <v>3084</v>
      </c>
      <c r="F22" s="407"/>
      <c r="G22" s="2088" t="s">
        <v>3084</v>
      </c>
      <c r="H22" s="407"/>
      <c r="I22" s="2088" t="s">
        <v>3084</v>
      </c>
      <c r="J22" s="407"/>
      <c r="K22" s="1291"/>
      <c r="L22" s="2949"/>
      <c r="M22" s="2943"/>
      <c r="N22" s="2943"/>
      <c r="O22" s="2943"/>
      <c r="P22" s="3288"/>
      <c r="Q22" s="1534"/>
      <c r="R22" s="713"/>
      <c r="S22" s="714"/>
      <c r="T22" s="713"/>
      <c r="U22" s="714"/>
      <c r="V22" s="713"/>
      <c r="W22" s="714"/>
      <c r="X22" s="1537"/>
      <c r="Y22" s="3290"/>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102</v>
      </c>
      <c r="K23" s="571">
        <v>2</v>
      </c>
      <c r="L23" s="2949"/>
      <c r="M23" s="2943"/>
      <c r="N23" s="2943"/>
      <c r="O23" s="2943"/>
      <c r="P23" s="3288"/>
      <c r="Q23" s="1534" t="str">
        <f>B23</f>
        <v>环境质量</v>
      </c>
      <c r="R23" s="713" t="s">
        <v>17</v>
      </c>
      <c r="S23" s="714">
        <f>F23</f>
        <v>100</v>
      </c>
      <c r="T23" s="713" t="s">
        <v>17</v>
      </c>
      <c r="U23" s="714">
        <f>H23</f>
        <v>100</v>
      </c>
      <c r="V23" s="713" t="s">
        <v>17</v>
      </c>
      <c r="W23" s="714">
        <f>J23</f>
        <v>102</v>
      </c>
      <c r="X23" s="1537"/>
      <c r="Y23" s="3290"/>
      <c r="Z23" s="1538" t="str">
        <f>Q23</f>
        <v>环境质量</v>
      </c>
      <c r="AA23" s="1535">
        <f t="shared" si="3"/>
        <v>1</v>
      </c>
      <c r="AB23" s="1535">
        <f t="shared" si="4"/>
        <v>1</v>
      </c>
      <c r="AC23" s="2146">
        <f t="shared" si="5"/>
        <v>0.98039215686274506</v>
      </c>
    </row>
    <row r="24" spans="1:29" ht="15">
      <c r="A24" s="387"/>
      <c r="B24" s="589"/>
      <c r="C24" s="2088" t="s">
        <v>3085</v>
      </c>
      <c r="D24" s="407"/>
      <c r="E24" s="2081" t="s">
        <v>3085</v>
      </c>
      <c r="F24" s="407"/>
      <c r="G24" s="2082" t="s">
        <v>3085</v>
      </c>
      <c r="H24" s="407"/>
      <c r="I24" s="2082" t="s">
        <v>3083</v>
      </c>
      <c r="J24" s="407"/>
      <c r="K24" s="572"/>
      <c r="L24" s="2949"/>
      <c r="M24" s="2943"/>
      <c r="N24" s="2943"/>
      <c r="O24" s="2943"/>
      <c r="P24" s="3288"/>
      <c r="Q24" s="1534"/>
      <c r="R24" s="713"/>
      <c r="S24" s="714"/>
      <c r="T24" s="713"/>
      <c r="U24" s="714"/>
      <c r="V24" s="713"/>
      <c r="W24" s="714"/>
      <c r="X24" s="1537"/>
      <c r="Y24" s="3290"/>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v>2</v>
      </c>
      <c r="L25" s="2949"/>
      <c r="M25" s="2943"/>
      <c r="N25" s="2943"/>
      <c r="O25" s="2943"/>
      <c r="P25" s="3288"/>
      <c r="Q25" s="1534" t="str">
        <f>B25</f>
        <v>毗邻道路的类型与等级</v>
      </c>
      <c r="R25" s="713" t="s">
        <v>17</v>
      </c>
      <c r="S25" s="714">
        <f>F25</f>
        <v>100</v>
      </c>
      <c r="T25" s="713" t="s">
        <v>17</v>
      </c>
      <c r="U25" s="714">
        <f>H25</f>
        <v>100</v>
      </c>
      <c r="V25" s="713" t="s">
        <v>17</v>
      </c>
      <c r="W25" s="714">
        <f>J25</f>
        <v>100</v>
      </c>
      <c r="X25" s="1537"/>
      <c r="Y25" s="3290"/>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288"/>
      <c r="Q26" s="1534"/>
      <c r="R26" s="713"/>
      <c r="S26" s="714"/>
      <c r="T26" s="713"/>
      <c r="U26" s="714"/>
      <c r="V26" s="713"/>
      <c r="W26" s="714"/>
      <c r="X26" s="1537"/>
      <c r="Y26" s="3290"/>
      <c r="Z26" s="1538"/>
      <c r="AA26" s="1535">
        <v>1</v>
      </c>
      <c r="AB26" s="1535">
        <v>1</v>
      </c>
      <c r="AC26" s="2146">
        <v>1</v>
      </c>
    </row>
    <row r="27" spans="1:29" ht="15">
      <c r="A27" s="387"/>
      <c r="B27" s="588" t="s">
        <v>2480</v>
      </c>
      <c r="C27" s="590" t="s">
        <v>3110</v>
      </c>
      <c r="D27" s="394">
        <v>100</v>
      </c>
      <c r="E27" s="573" t="s">
        <v>3112</v>
      </c>
      <c r="F27" s="394">
        <f>SUMIF(89:89,E27,90:90)-SUMIF(89:89,C27,90:90)+100</f>
        <v>97</v>
      </c>
      <c r="G27" s="590" t="s">
        <v>3112</v>
      </c>
      <c r="H27" s="394">
        <f>SUMIF(89:89,G27,90:90)-SUMIF(89:89,C27,90:90)+100</f>
        <v>97</v>
      </c>
      <c r="I27" s="573" t="s">
        <v>3112</v>
      </c>
      <c r="J27" s="394">
        <f>SUMIF(89:89,I27,90:90)-SUMIF(89:89,C27,90:90)+100</f>
        <v>97</v>
      </c>
      <c r="K27" s="569">
        <v>3</v>
      </c>
      <c r="L27" s="2949"/>
      <c r="M27" s="2943"/>
      <c r="N27" s="2943"/>
      <c r="O27" s="2943"/>
      <c r="P27" s="3288"/>
      <c r="Q27" s="1534" t="str">
        <f t="shared" ref="Q27:Q47" si="11">B27</f>
        <v>楼层</v>
      </c>
      <c r="R27" s="713" t="s">
        <v>17</v>
      </c>
      <c r="S27" s="714">
        <f>F27</f>
        <v>97</v>
      </c>
      <c r="T27" s="713" t="s">
        <v>17</v>
      </c>
      <c r="U27" s="714">
        <f>H27</f>
        <v>97</v>
      </c>
      <c r="V27" s="713" t="s">
        <v>17</v>
      </c>
      <c r="W27" s="714">
        <f>J27</f>
        <v>97</v>
      </c>
      <c r="X27" s="1537"/>
      <c r="Y27" s="3290"/>
      <c r="Z27" s="1538" t="str">
        <f>Q27</f>
        <v>楼层</v>
      </c>
      <c r="AA27" s="1535">
        <f t="shared" si="3"/>
        <v>1.0309278350515463</v>
      </c>
      <c r="AB27" s="1535">
        <f t="shared" si="4"/>
        <v>1.0309278350515463</v>
      </c>
      <c r="AC27" s="2146">
        <f t="shared" si="5"/>
        <v>1.0309278350515463</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88"/>
      <c r="Q28" s="1525" t="str">
        <f t="shared" si="11"/>
        <v>朝向</v>
      </c>
      <c r="R28" s="709" t="s">
        <v>17</v>
      </c>
      <c r="S28" s="710">
        <f>F28</f>
        <v>100</v>
      </c>
      <c r="T28" s="709" t="s">
        <v>17</v>
      </c>
      <c r="U28" s="710">
        <f>H28</f>
        <v>100</v>
      </c>
      <c r="V28" s="709" t="s">
        <v>17</v>
      </c>
      <c r="W28" s="710">
        <f>J28</f>
        <v>100</v>
      </c>
      <c r="X28" s="711"/>
      <c r="Y28" s="3290"/>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88"/>
      <c r="Q29" s="1534">
        <f t="shared" si="11"/>
        <v>111</v>
      </c>
      <c r="R29" s="713" t="s">
        <v>17</v>
      </c>
      <c r="S29" s="714">
        <f t="shared" ref="S29:S47" si="12">F29</f>
        <v>100</v>
      </c>
      <c r="T29" s="713" t="s">
        <v>17</v>
      </c>
      <c r="U29" s="714">
        <f t="shared" ref="U29:U47" si="13">H29</f>
        <v>100</v>
      </c>
      <c r="V29" s="713" t="s">
        <v>17</v>
      </c>
      <c r="W29" s="714">
        <f t="shared" ref="W29:W47" si="14">J29</f>
        <v>100</v>
      </c>
      <c r="X29" s="1537"/>
      <c r="Y29" s="3290"/>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88"/>
      <c r="Q30" s="1534">
        <f t="shared" si="11"/>
        <v>111</v>
      </c>
      <c r="R30" s="713" t="s">
        <v>17</v>
      </c>
      <c r="S30" s="714">
        <f t="shared" si="12"/>
        <v>100</v>
      </c>
      <c r="T30" s="713" t="s">
        <v>17</v>
      </c>
      <c r="U30" s="714">
        <f t="shared" si="13"/>
        <v>100</v>
      </c>
      <c r="V30" s="713" t="s">
        <v>17</v>
      </c>
      <c r="W30" s="714">
        <f t="shared" si="14"/>
        <v>100</v>
      </c>
      <c r="X30" s="1537"/>
      <c r="Y30" s="3290"/>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88"/>
      <c r="Q31" s="1534">
        <f t="shared" si="11"/>
        <v>111</v>
      </c>
      <c r="R31" s="713" t="s">
        <v>17</v>
      </c>
      <c r="S31" s="714">
        <f t="shared" si="12"/>
        <v>100</v>
      </c>
      <c r="T31" s="713" t="s">
        <v>17</v>
      </c>
      <c r="U31" s="714">
        <f t="shared" si="13"/>
        <v>100</v>
      </c>
      <c r="V31" s="713" t="s">
        <v>17</v>
      </c>
      <c r="W31" s="714">
        <f t="shared" si="14"/>
        <v>100</v>
      </c>
      <c r="X31" s="1537"/>
      <c r="Y31" s="3290"/>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88"/>
      <c r="Q32" s="1534">
        <f t="shared" si="11"/>
        <v>111</v>
      </c>
      <c r="R32" s="713" t="s">
        <v>17</v>
      </c>
      <c r="S32" s="714">
        <f t="shared" si="12"/>
        <v>100</v>
      </c>
      <c r="T32" s="713" t="s">
        <v>17</v>
      </c>
      <c r="U32" s="714">
        <f t="shared" si="13"/>
        <v>100</v>
      </c>
      <c r="V32" s="713" t="s">
        <v>17</v>
      </c>
      <c r="W32" s="714">
        <f t="shared" si="14"/>
        <v>100</v>
      </c>
      <c r="X32" s="1537"/>
      <c r="Y32" s="3290"/>
      <c r="Z32" s="1538">
        <f t="shared" si="15"/>
        <v>111</v>
      </c>
      <c r="AA32" s="1535">
        <f t="shared" si="3"/>
        <v>1</v>
      </c>
      <c r="AB32" s="1535">
        <f t="shared" si="4"/>
        <v>1</v>
      </c>
      <c r="AC32" s="2146">
        <f t="shared" si="5"/>
        <v>1</v>
      </c>
    </row>
    <row r="33" spans="1:29" ht="15">
      <c r="A33" s="399" t="s">
        <v>2384</v>
      </c>
      <c r="B33" s="67" t="s">
        <v>2514</v>
      </c>
      <c r="C33" s="2151" t="s">
        <v>3086</v>
      </c>
      <c r="D33" s="426">
        <v>100</v>
      </c>
      <c r="E33" s="2151" t="s">
        <v>3086</v>
      </c>
      <c r="F33" s="420">
        <f>SUMIF(101:101,E33,102:102)-SUMIF(101:101,C33,102:102)+100</f>
        <v>100</v>
      </c>
      <c r="G33" s="2151" t="s">
        <v>3086</v>
      </c>
      <c r="H33" s="394">
        <f>SUMIF(101:101,G33,102:102)-SUMIF(101:101,C33,102:102)+100</f>
        <v>100</v>
      </c>
      <c r="I33" s="2151" t="s">
        <v>3086</v>
      </c>
      <c r="J33" s="426">
        <f>SUMIF(101:101,I33,102:102)-SUMIF(101:101,C33,102:102)+100</f>
        <v>100</v>
      </c>
      <c r="K33" s="569">
        <v>2</v>
      </c>
      <c r="L33" s="2949"/>
      <c r="M33" s="2943"/>
      <c r="N33" s="2943"/>
      <c r="O33" s="2943"/>
      <c r="P33" s="3291" t="s">
        <v>2386</v>
      </c>
      <c r="Q33" s="1534" t="str">
        <f t="shared" si="11"/>
        <v>建筑类型</v>
      </c>
      <c r="R33" s="713" t="s">
        <v>17</v>
      </c>
      <c r="S33" s="714">
        <f t="shared" si="12"/>
        <v>100</v>
      </c>
      <c r="T33" s="713" t="s">
        <v>17</v>
      </c>
      <c r="U33" s="714">
        <f t="shared" si="13"/>
        <v>100</v>
      </c>
      <c r="V33" s="713" t="s">
        <v>17</v>
      </c>
      <c r="W33" s="714">
        <f t="shared" si="14"/>
        <v>100</v>
      </c>
      <c r="X33" s="1537"/>
      <c r="Y33" s="3294" t="s">
        <v>2386</v>
      </c>
      <c r="Z33" s="1538" t="str">
        <f t="shared" si="15"/>
        <v>建筑类型</v>
      </c>
      <c r="AA33" s="1535">
        <f t="shared" si="3"/>
        <v>1</v>
      </c>
      <c r="AB33" s="1535">
        <f t="shared" si="4"/>
        <v>1</v>
      </c>
      <c r="AC33" s="2146">
        <f t="shared" si="5"/>
        <v>1</v>
      </c>
    </row>
    <row r="34" spans="1:29" s="430" customFormat="1" ht="15">
      <c r="A34" s="427"/>
      <c r="B34" s="381" t="s">
        <v>2387</v>
      </c>
      <c r="C34" s="428" t="e">
        <f>#REF!</f>
        <v>#REF!</v>
      </c>
      <c r="D34" s="132">
        <v>100</v>
      </c>
      <c r="E34" s="389">
        <v>100</v>
      </c>
      <c r="F34" s="384" t="e">
        <f>LOOKUP(E34,104:104,105:105)-LOOKUP(C34,104:104,105:105)+100</f>
        <v>#REF!</v>
      </c>
      <c r="G34" s="388">
        <v>75</v>
      </c>
      <c r="H34" s="132" t="e">
        <f>LOOKUP(G34,104:104,105:105)-LOOKUP(C34,104:104,105:105)+100</f>
        <v>#REF!</v>
      </c>
      <c r="I34" s="388">
        <v>1400</v>
      </c>
      <c r="J34" s="132" t="e">
        <f>LOOKUP(I34,104:104,105:105)-LOOKUP(C34,104:104,105:105)+100</f>
        <v>#REF!</v>
      </c>
      <c r="K34" s="570"/>
      <c r="L34" s="2948"/>
      <c r="M34" s="2950"/>
      <c r="N34" s="2950"/>
      <c r="O34" s="2950"/>
      <c r="P34" s="3292"/>
      <c r="Q34" s="715" t="str">
        <f t="shared" si="11"/>
        <v>项目建筑规模</v>
      </c>
      <c r="R34" s="716" t="s">
        <v>17</v>
      </c>
      <c r="S34" s="717" t="e">
        <f t="shared" si="12"/>
        <v>#REF!</v>
      </c>
      <c r="T34" s="716" t="s">
        <v>17</v>
      </c>
      <c r="U34" s="717" t="e">
        <f t="shared" si="13"/>
        <v>#REF!</v>
      </c>
      <c r="V34" s="716" t="s">
        <v>17</v>
      </c>
      <c r="W34" s="717" t="e">
        <f t="shared" si="14"/>
        <v>#REF!</v>
      </c>
      <c r="X34" s="718"/>
      <c r="Y34" s="3294"/>
      <c r="Z34" s="719" t="str">
        <f t="shared" si="15"/>
        <v>项目建筑规模</v>
      </c>
      <c r="AA34" s="1535" t="e">
        <f t="shared" si="3"/>
        <v>#REF!</v>
      </c>
      <c r="AB34" s="1535" t="e">
        <f t="shared" si="4"/>
        <v>#REF!</v>
      </c>
      <c r="AC34" s="2146" t="e">
        <f t="shared" si="5"/>
        <v>#REF!</v>
      </c>
    </row>
    <row r="35" spans="1:29" ht="15">
      <c r="A35" s="431"/>
      <c r="B35" s="381" t="s">
        <v>2388</v>
      </c>
      <c r="C35" s="419" t="s">
        <v>3076</v>
      </c>
      <c r="D35" s="394">
        <v>100</v>
      </c>
      <c r="E35" s="419" t="s">
        <v>3076</v>
      </c>
      <c r="F35" s="420">
        <f>SUMIF(106:106,E35,107:107)-SUMIF(106:106,C35,107:107)+100</f>
        <v>100</v>
      </c>
      <c r="G35" s="419" t="s">
        <v>3076</v>
      </c>
      <c r="H35" s="394">
        <f>SUMIF(106:106,G35,107:107)-SUMIF(106:106,C35,107:107)+100</f>
        <v>100</v>
      </c>
      <c r="I35" s="419" t="s">
        <v>3076</v>
      </c>
      <c r="J35" s="394">
        <f>SUMIF(106:106,I35,107:107)-SUMIF(106:106,C35,107:107)+100</f>
        <v>100</v>
      </c>
      <c r="K35" s="569">
        <v>2</v>
      </c>
      <c r="L35" s="2949"/>
      <c r="M35" s="2943"/>
      <c r="N35" s="2943"/>
      <c r="O35" s="2943"/>
      <c r="P35" s="3292"/>
      <c r="Q35" s="1534" t="str">
        <f t="shared" si="11"/>
        <v>建筑结构</v>
      </c>
      <c r="R35" s="713" t="s">
        <v>17</v>
      </c>
      <c r="S35" s="714">
        <f t="shared" si="12"/>
        <v>100</v>
      </c>
      <c r="T35" s="713" t="s">
        <v>17</v>
      </c>
      <c r="U35" s="714">
        <f t="shared" si="13"/>
        <v>100</v>
      </c>
      <c r="V35" s="713" t="s">
        <v>17</v>
      </c>
      <c r="W35" s="714">
        <f t="shared" si="14"/>
        <v>100</v>
      </c>
      <c r="X35" s="1537"/>
      <c r="Y35" s="3294"/>
      <c r="Z35" s="1538" t="str">
        <f t="shared" si="15"/>
        <v>建筑结构</v>
      </c>
      <c r="AA35" s="1535">
        <f t="shared" si="3"/>
        <v>1</v>
      </c>
      <c r="AB35" s="1535">
        <f t="shared" si="4"/>
        <v>1</v>
      </c>
      <c r="AC35" s="2146">
        <f t="shared" si="5"/>
        <v>1</v>
      </c>
    </row>
    <row r="36" spans="1:29" ht="15">
      <c r="A36" s="431"/>
      <c r="B36" s="381" t="s">
        <v>2482</v>
      </c>
      <c r="C36" s="419" t="s">
        <v>3089</v>
      </c>
      <c r="D36" s="394">
        <v>100</v>
      </c>
      <c r="E36" s="419" t="s">
        <v>3089</v>
      </c>
      <c r="F36" s="420">
        <f>SUMIF(108:108,E36,109:109)-SUMIF(108:108,C36,109:109)+100</f>
        <v>100</v>
      </c>
      <c r="G36" s="419" t="s">
        <v>3089</v>
      </c>
      <c r="H36" s="394">
        <f>SUMIF(108:108,G36,109:109)-SUMIF(108:108,C36,109:109)+100</f>
        <v>100</v>
      </c>
      <c r="I36" s="419" t="s">
        <v>3089</v>
      </c>
      <c r="J36" s="394">
        <f>SUMIF(108:108,I36,109:109)-SUMIF(108:108,C36,109:109)+100</f>
        <v>100</v>
      </c>
      <c r="K36" s="569">
        <v>2</v>
      </c>
      <c r="L36" s="2949"/>
      <c r="M36" s="2943"/>
      <c r="N36" s="2943"/>
      <c r="O36" s="2943"/>
      <c r="P36" s="3292"/>
      <c r="Q36" s="1534" t="str">
        <f t="shared" si="11"/>
        <v>公共部分装修</v>
      </c>
      <c r="R36" s="713" t="s">
        <v>17</v>
      </c>
      <c r="S36" s="714">
        <f t="shared" si="12"/>
        <v>100</v>
      </c>
      <c r="T36" s="713" t="s">
        <v>17</v>
      </c>
      <c r="U36" s="714">
        <f t="shared" si="13"/>
        <v>100</v>
      </c>
      <c r="V36" s="713" t="s">
        <v>17</v>
      </c>
      <c r="W36" s="714">
        <f t="shared" si="14"/>
        <v>100</v>
      </c>
      <c r="X36" s="1537"/>
      <c r="Y36" s="3294"/>
      <c r="Z36" s="1538" t="str">
        <f t="shared" si="15"/>
        <v>公共部分装修</v>
      </c>
      <c r="AA36" s="1535">
        <f t="shared" si="3"/>
        <v>1</v>
      </c>
      <c r="AB36" s="1535">
        <f t="shared" si="4"/>
        <v>1</v>
      </c>
      <c r="AC36" s="2146">
        <f t="shared" si="5"/>
        <v>1</v>
      </c>
    </row>
    <row r="37" spans="1:29" ht="15">
      <c r="A37" s="431"/>
      <c r="B37" s="381" t="s">
        <v>2483</v>
      </c>
      <c r="C37" s="433">
        <f>'数据-取费表'!N6</f>
        <v>0.81</v>
      </c>
      <c r="D37" s="394">
        <v>100</v>
      </c>
      <c r="E37" s="433">
        <v>0.85</v>
      </c>
      <c r="F37" s="420">
        <f>LOOKUP(E37,111:111,112:112)-LOOKUP(C37,111:111,112:112)+100</f>
        <v>100</v>
      </c>
      <c r="G37" s="433">
        <f>1-(2021-G51)/60</f>
        <v>0.85</v>
      </c>
      <c r="H37" s="420">
        <f>LOOKUP(G37,111:111,112:112)-LOOKUP(C37,111:111,112:112)+100</f>
        <v>100</v>
      </c>
      <c r="I37" s="433">
        <f>1-(2021-I51)/60</f>
        <v>0.93333333333333335</v>
      </c>
      <c r="J37" s="394">
        <f>LOOKUP(I37,111:111,112:112)-LOOKUP(C37,111:111,112:112)+100</f>
        <v>102</v>
      </c>
      <c r="K37" s="569">
        <v>2</v>
      </c>
      <c r="L37" s="2949"/>
      <c r="M37" s="2943"/>
      <c r="N37" s="2943"/>
      <c r="O37" s="2943"/>
      <c r="P37" s="3292"/>
      <c r="Q37" s="1534" t="str">
        <f t="shared" si="11"/>
        <v>成新度</v>
      </c>
      <c r="R37" s="713" t="s">
        <v>17</v>
      </c>
      <c r="S37" s="714">
        <f t="shared" si="12"/>
        <v>100</v>
      </c>
      <c r="T37" s="713" t="s">
        <v>17</v>
      </c>
      <c r="U37" s="714">
        <f t="shared" si="13"/>
        <v>100</v>
      </c>
      <c r="V37" s="713" t="s">
        <v>17</v>
      </c>
      <c r="W37" s="714">
        <f t="shared" si="14"/>
        <v>102</v>
      </c>
      <c r="X37" s="1537"/>
      <c r="Y37" s="3294"/>
      <c r="Z37" s="1538" t="str">
        <f t="shared" si="15"/>
        <v>成新度</v>
      </c>
      <c r="AA37" s="1535">
        <f t="shared" si="3"/>
        <v>1</v>
      </c>
      <c r="AB37" s="1535">
        <f t="shared" si="4"/>
        <v>1</v>
      </c>
      <c r="AC37" s="2146">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292"/>
      <c r="Q38" s="1525" t="str">
        <f t="shared" si="11"/>
        <v>写字楼等级</v>
      </c>
      <c r="R38" s="709" t="s">
        <v>17</v>
      </c>
      <c r="S38" s="710">
        <f t="shared" si="12"/>
        <v>100</v>
      </c>
      <c r="T38" s="709" t="s">
        <v>17</v>
      </c>
      <c r="U38" s="710">
        <f t="shared" si="13"/>
        <v>100</v>
      </c>
      <c r="V38" s="709" t="s">
        <v>17</v>
      </c>
      <c r="W38" s="710">
        <f t="shared" si="14"/>
        <v>100</v>
      </c>
      <c r="X38" s="711"/>
      <c r="Y38" s="3294"/>
      <c r="Z38" s="55" t="str">
        <f t="shared" si="15"/>
        <v>写字楼等级</v>
      </c>
      <c r="AA38" s="712">
        <f t="shared" si="3"/>
        <v>1</v>
      </c>
      <c r="AB38" s="712">
        <f t="shared" si="4"/>
        <v>1</v>
      </c>
      <c r="AC38" s="2143">
        <f t="shared" si="5"/>
        <v>1</v>
      </c>
    </row>
    <row r="39" spans="1:29" ht="15">
      <c r="A39" s="431"/>
      <c r="B39" s="381" t="s">
        <v>2516</v>
      </c>
      <c r="C39" s="419" t="s">
        <v>3092</v>
      </c>
      <c r="D39" s="394">
        <v>100</v>
      </c>
      <c r="E39" s="419" t="s">
        <v>3092</v>
      </c>
      <c r="F39" s="420">
        <f>SUMIF(115:115,E39,116:116)-SUMIF(115:115,C39,116:116)+100</f>
        <v>100</v>
      </c>
      <c r="G39" s="419" t="s">
        <v>3092</v>
      </c>
      <c r="H39" s="394">
        <f>SUMIF(115:115,G39,116:116)-SUMIF(115:115,C39,116:116)+100</f>
        <v>100</v>
      </c>
      <c r="I39" s="419" t="s">
        <v>3092</v>
      </c>
      <c r="J39" s="394">
        <f>SUMIF(115:115,I39,116:116)-SUMIF(115:115,C39,116:116)+100</f>
        <v>100</v>
      </c>
      <c r="K39" s="569">
        <v>2</v>
      </c>
      <c r="L39" s="2949"/>
      <c r="M39" s="2943"/>
      <c r="N39" s="2943"/>
      <c r="O39" s="2943"/>
      <c r="P39" s="3292" t="s">
        <v>2386</v>
      </c>
      <c r="Q39" s="1534" t="str">
        <f t="shared" si="11"/>
        <v>物业管理</v>
      </c>
      <c r="R39" s="713" t="s">
        <v>17</v>
      </c>
      <c r="S39" s="714">
        <f t="shared" si="12"/>
        <v>100</v>
      </c>
      <c r="T39" s="713" t="s">
        <v>17</v>
      </c>
      <c r="U39" s="714">
        <f t="shared" si="13"/>
        <v>100</v>
      </c>
      <c r="V39" s="713" t="s">
        <v>17</v>
      </c>
      <c r="W39" s="714">
        <f t="shared" si="14"/>
        <v>100</v>
      </c>
      <c r="X39" s="1537"/>
      <c r="Y39" s="3294"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949"/>
      <c r="M40" s="2943"/>
      <c r="N40" s="2943"/>
      <c r="O40" s="2943"/>
      <c r="P40" s="3292"/>
      <c r="Q40" s="1534" t="str">
        <f t="shared" si="11"/>
        <v>市政基础设施</v>
      </c>
      <c r="R40" s="713" t="s">
        <v>17</v>
      </c>
      <c r="S40" s="714">
        <f t="shared" si="12"/>
        <v>100</v>
      </c>
      <c r="T40" s="713" t="s">
        <v>17</v>
      </c>
      <c r="U40" s="714">
        <f t="shared" si="13"/>
        <v>100</v>
      </c>
      <c r="V40" s="713" t="s">
        <v>17</v>
      </c>
      <c r="W40" s="714">
        <f t="shared" si="14"/>
        <v>100</v>
      </c>
      <c r="X40" s="1537"/>
      <c r="Y40" s="3294"/>
      <c r="Z40" s="1538" t="str">
        <f t="shared" si="15"/>
        <v>市政基础设施</v>
      </c>
      <c r="AA40" s="1535">
        <f t="shared" si="3"/>
        <v>1</v>
      </c>
      <c r="AB40" s="1535">
        <f t="shared" si="4"/>
        <v>1</v>
      </c>
      <c r="AC40" s="2146">
        <f t="shared" si="5"/>
        <v>1</v>
      </c>
    </row>
    <row r="41" spans="1:29" ht="15">
      <c r="A41" s="431"/>
      <c r="B41" s="381" t="s">
        <v>2486</v>
      </c>
      <c r="C41" s="573" t="s">
        <v>3098</v>
      </c>
      <c r="D41" s="394">
        <v>100</v>
      </c>
      <c r="E41" s="573" t="s">
        <v>3098</v>
      </c>
      <c r="F41" s="420">
        <f>SUMIF(119:119,E41,120:120)-SUMIF(119:119,C41,120:120)+100</f>
        <v>100</v>
      </c>
      <c r="G41" s="573" t="s">
        <v>3098</v>
      </c>
      <c r="H41" s="394">
        <f>SUMIF(119:119,G41,120:120)-SUMIF(119:119,C41,120:120)+100</f>
        <v>100</v>
      </c>
      <c r="I41" s="573" t="s">
        <v>3098</v>
      </c>
      <c r="J41" s="394">
        <f>SUMIF(119:119,I41,120:120)-SUMIF(119:119,C41,120:120)+100</f>
        <v>100</v>
      </c>
      <c r="K41" s="569">
        <v>5</v>
      </c>
      <c r="L41" s="2949"/>
      <c r="M41" s="2943"/>
      <c r="N41" s="2943"/>
      <c r="O41" s="2943"/>
      <c r="P41" s="3292"/>
      <c r="Q41" s="1534" t="str">
        <f t="shared" si="11"/>
        <v>层高</v>
      </c>
      <c r="R41" s="713" t="s">
        <v>17</v>
      </c>
      <c r="S41" s="714">
        <f t="shared" si="12"/>
        <v>100</v>
      </c>
      <c r="T41" s="713" t="s">
        <v>17</v>
      </c>
      <c r="U41" s="714">
        <f t="shared" si="13"/>
        <v>100</v>
      </c>
      <c r="V41" s="713" t="s">
        <v>17</v>
      </c>
      <c r="W41" s="714">
        <f t="shared" si="14"/>
        <v>100</v>
      </c>
      <c r="X41" s="1537"/>
      <c r="Y41" s="3294"/>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92"/>
      <c r="Q42" s="715" t="str">
        <f t="shared" si="11"/>
        <v>单套建筑面积</v>
      </c>
      <c r="R42" s="716" t="s">
        <v>17</v>
      </c>
      <c r="S42" s="717">
        <f t="shared" si="12"/>
        <v>100</v>
      </c>
      <c r="T42" s="716" t="s">
        <v>17</v>
      </c>
      <c r="U42" s="717">
        <f t="shared" si="13"/>
        <v>100</v>
      </c>
      <c r="V42" s="716" t="s">
        <v>17</v>
      </c>
      <c r="W42" s="717">
        <f t="shared" si="14"/>
        <v>100</v>
      </c>
      <c r="X42" s="718"/>
      <c r="Y42" s="3294"/>
      <c r="Z42" s="719" t="str">
        <f t="shared" si="15"/>
        <v>单套建筑面积</v>
      </c>
      <c r="AA42" s="1535">
        <f t="shared" si="3"/>
        <v>1</v>
      </c>
      <c r="AB42" s="1535">
        <f t="shared" si="4"/>
        <v>1</v>
      </c>
      <c r="AC42" s="2146">
        <f t="shared" si="5"/>
        <v>1</v>
      </c>
    </row>
    <row r="43" spans="1:29" ht="15">
      <c r="A43" s="431"/>
      <c r="B43" s="381" t="s">
        <v>2489</v>
      </c>
      <c r="C43" s="419" t="s">
        <v>3089</v>
      </c>
      <c r="D43" s="394">
        <v>100</v>
      </c>
      <c r="E43" s="419" t="s">
        <v>3089</v>
      </c>
      <c r="F43" s="420">
        <f>SUMIF(123:123,E43,124:124)-SUMIF(123:123,C43,124:124)+100</f>
        <v>100</v>
      </c>
      <c r="G43" s="419" t="s">
        <v>3089</v>
      </c>
      <c r="H43" s="394">
        <f>SUMIF(123:123,G43,124:124)-SUMIF(123:123,C43,124:124)+100</f>
        <v>100</v>
      </c>
      <c r="I43" s="419" t="s">
        <v>3102</v>
      </c>
      <c r="J43" s="394">
        <f>SUMIF(123:123,I43,124:124)-SUMIF(123:123,C43,124:124)+100</f>
        <v>94</v>
      </c>
      <c r="K43" s="569">
        <v>2</v>
      </c>
      <c r="L43" s="2949"/>
      <c r="M43" s="2943"/>
      <c r="N43" s="2943"/>
      <c r="O43" s="2943"/>
      <c r="P43" s="3292"/>
      <c r="Q43" s="1534" t="str">
        <f t="shared" si="11"/>
        <v>内部装修</v>
      </c>
      <c r="R43" s="713" t="s">
        <v>17</v>
      </c>
      <c r="S43" s="714">
        <f t="shared" si="12"/>
        <v>100</v>
      </c>
      <c r="T43" s="713" t="s">
        <v>17</v>
      </c>
      <c r="U43" s="714">
        <f t="shared" si="13"/>
        <v>100</v>
      </c>
      <c r="V43" s="713" t="s">
        <v>17</v>
      </c>
      <c r="W43" s="714">
        <f t="shared" si="14"/>
        <v>94</v>
      </c>
      <c r="X43" s="1537"/>
      <c r="Y43" s="3294"/>
      <c r="Z43" s="1538" t="str">
        <f t="shared" si="15"/>
        <v>内部装修</v>
      </c>
      <c r="AA43" s="1535">
        <f t="shared" si="3"/>
        <v>1</v>
      </c>
      <c r="AB43" s="1535">
        <f t="shared" si="4"/>
        <v>1</v>
      </c>
      <c r="AC43" s="2146">
        <f t="shared" si="5"/>
        <v>1.0638297872340425</v>
      </c>
    </row>
    <row r="44" spans="1:29" ht="15">
      <c r="A44" s="431"/>
      <c r="B44" s="381" t="s">
        <v>2397</v>
      </c>
      <c r="C44" s="419" t="s">
        <v>3083</v>
      </c>
      <c r="D44" s="394">
        <v>100</v>
      </c>
      <c r="E44" s="2090" t="s">
        <v>3083</v>
      </c>
      <c r="F44" s="420">
        <f>SUMIF(125:125,E44,126:126)-SUMIF(125:125,C44,126:126)+100</f>
        <v>100</v>
      </c>
      <c r="G44" s="2090" t="s">
        <v>3083</v>
      </c>
      <c r="H44" s="394">
        <f>SUMIF(125:125,G44,126:126)-SUMIF(125:125,C44,126:126)+100</f>
        <v>100</v>
      </c>
      <c r="I44" s="2090" t="s">
        <v>3117</v>
      </c>
      <c r="J44" s="394">
        <f>SUMIF(125:125,I44,126:126)-SUMIF(125:125,C44,126:126)+100</f>
        <v>96</v>
      </c>
      <c r="K44" s="569">
        <v>2</v>
      </c>
      <c r="L44" s="2949"/>
      <c r="M44" s="2943"/>
      <c r="N44" s="2943"/>
      <c r="O44" s="2943"/>
      <c r="P44" s="3292"/>
      <c r="Q44" s="1534" t="str">
        <f t="shared" si="11"/>
        <v>内部装修维护情况</v>
      </c>
      <c r="R44" s="713" t="s">
        <v>17</v>
      </c>
      <c r="S44" s="714">
        <f t="shared" si="12"/>
        <v>100</v>
      </c>
      <c r="T44" s="713" t="s">
        <v>17</v>
      </c>
      <c r="U44" s="714">
        <f t="shared" si="13"/>
        <v>100</v>
      </c>
      <c r="V44" s="713" t="s">
        <v>17</v>
      </c>
      <c r="W44" s="714">
        <f t="shared" si="14"/>
        <v>96</v>
      </c>
      <c r="X44" s="1537"/>
      <c r="Y44" s="3294"/>
      <c r="Z44" s="1538" t="str">
        <f t="shared" si="15"/>
        <v>内部装修维护情况</v>
      </c>
      <c r="AA44" s="1535">
        <f t="shared" si="3"/>
        <v>1</v>
      </c>
      <c r="AB44" s="1535">
        <f t="shared" si="4"/>
        <v>1</v>
      </c>
      <c r="AC44" s="2146">
        <f t="shared" si="5"/>
        <v>1.0416666666666667</v>
      </c>
    </row>
    <row r="45" spans="1:29" s="113" customFormat="1" ht="15">
      <c r="A45" s="432"/>
      <c r="B45" s="3068" t="s">
        <v>3105</v>
      </c>
      <c r="C45" s="3065" t="s">
        <v>3108</v>
      </c>
      <c r="D45" s="132">
        <v>100</v>
      </c>
      <c r="E45" s="3066" t="s">
        <v>3107</v>
      </c>
      <c r="F45" s="384">
        <f>SUMIF(127:127,E45,128:128)-SUMIF(127:127,C45,128:128)+100</f>
        <v>98</v>
      </c>
      <c r="G45" s="3066" t="s">
        <v>3107</v>
      </c>
      <c r="H45" s="132">
        <f>SUMIF(127:127,G45,128:128)-SUMIF(127:127,C45,128:128)+100</f>
        <v>98</v>
      </c>
      <c r="I45" s="3066" t="s">
        <v>3107</v>
      </c>
      <c r="J45" s="132">
        <f>SUMIF(127:127,I45,128:128)-SUMIF(127:127,C45,128:128)+100</f>
        <v>98</v>
      </c>
      <c r="K45" s="570"/>
      <c r="L45" s="2944"/>
      <c r="M45" s="2945"/>
      <c r="N45" s="2945"/>
      <c r="O45" s="2945"/>
      <c r="P45" s="3292"/>
      <c r="Q45" s="1525" t="str">
        <f t="shared" si="11"/>
        <v>跃层</v>
      </c>
      <c r="R45" s="709" t="s">
        <v>17</v>
      </c>
      <c r="S45" s="710">
        <f t="shared" si="12"/>
        <v>98</v>
      </c>
      <c r="T45" s="709" t="s">
        <v>17</v>
      </c>
      <c r="U45" s="710">
        <f t="shared" si="13"/>
        <v>98</v>
      </c>
      <c r="V45" s="709" t="s">
        <v>17</v>
      </c>
      <c r="W45" s="710">
        <f t="shared" si="14"/>
        <v>98</v>
      </c>
      <c r="X45" s="711"/>
      <c r="Y45" s="3294"/>
      <c r="Z45" s="55" t="str">
        <f t="shared" si="15"/>
        <v>跃层</v>
      </c>
      <c r="AA45" s="712">
        <f t="shared" si="3"/>
        <v>1.0204081632653061</v>
      </c>
      <c r="AB45" s="712">
        <f t="shared" si="4"/>
        <v>1.0204081632653061</v>
      </c>
      <c r="AC45" s="2143">
        <f t="shared" si="5"/>
        <v>1.0204081632653061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92"/>
      <c r="Q46" s="1534">
        <f t="shared" si="11"/>
        <v>111</v>
      </c>
      <c r="R46" s="713" t="s">
        <v>17</v>
      </c>
      <c r="S46" s="714">
        <f t="shared" si="12"/>
        <v>100</v>
      </c>
      <c r="T46" s="713" t="s">
        <v>17</v>
      </c>
      <c r="U46" s="714">
        <f t="shared" si="13"/>
        <v>100</v>
      </c>
      <c r="V46" s="713" t="s">
        <v>17</v>
      </c>
      <c r="W46" s="714">
        <f t="shared" si="14"/>
        <v>100</v>
      </c>
      <c r="X46" s="1537"/>
      <c r="Y46" s="3294"/>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93"/>
      <c r="Q47" s="1534">
        <f t="shared" si="11"/>
        <v>111</v>
      </c>
      <c r="R47" s="713" t="s">
        <v>17</v>
      </c>
      <c r="S47" s="714">
        <f t="shared" si="12"/>
        <v>100</v>
      </c>
      <c r="T47" s="713" t="s">
        <v>17</v>
      </c>
      <c r="U47" s="714">
        <f t="shared" si="13"/>
        <v>100</v>
      </c>
      <c r="V47" s="713" t="s">
        <v>17</v>
      </c>
      <c r="W47" s="714">
        <f t="shared" si="14"/>
        <v>100</v>
      </c>
      <c r="X47" s="1537"/>
      <c r="Y47" s="3295"/>
      <c r="Z47" s="1538">
        <f t="shared" si="15"/>
        <v>111</v>
      </c>
      <c r="AA47" s="1535">
        <f t="shared" si="3"/>
        <v>1</v>
      </c>
      <c r="AB47" s="1535">
        <f t="shared" si="4"/>
        <v>1</v>
      </c>
      <c r="AC47" s="2146">
        <f t="shared" si="5"/>
        <v>1</v>
      </c>
    </row>
    <row r="48" spans="1:29" ht="15">
      <c r="A48" s="438" t="s">
        <v>2398</v>
      </c>
      <c r="B48" s="439"/>
      <c r="C48" s="1315" t="s">
        <v>1</v>
      </c>
      <c r="D48" s="1316"/>
      <c r="E48" s="1317">
        <v>15000</v>
      </c>
      <c r="F48" s="1318"/>
      <c r="G48" s="1319">
        <v>15700</v>
      </c>
      <c r="H48" s="1320"/>
      <c r="I48" s="1317">
        <v>12800</v>
      </c>
      <c r="J48" s="444"/>
      <c r="K48" s="722"/>
      <c r="L48" s="2951"/>
      <c r="M48" s="2943"/>
      <c r="N48" s="2943"/>
      <c r="O48" s="2943"/>
      <c r="P48" s="3281" t="str">
        <f>A48</f>
        <v>成交单价（元/平方米）</v>
      </c>
      <c r="Q48" s="3282"/>
      <c r="R48" s="3283">
        <f>E48</f>
        <v>15000</v>
      </c>
      <c r="S48" s="3283"/>
      <c r="T48" s="3283">
        <f>G48</f>
        <v>15700</v>
      </c>
      <c r="U48" s="3283"/>
      <c r="V48" s="3283">
        <f>I48</f>
        <v>12800</v>
      </c>
      <c r="W48" s="3283"/>
      <c r="X48" s="405"/>
      <c r="Y48" s="720"/>
      <c r="Z48" s="405"/>
      <c r="AA48" s="405"/>
      <c r="AB48" s="405"/>
      <c r="AC48" s="586"/>
    </row>
    <row r="49" spans="1:29" ht="15.75" thickBot="1">
      <c r="A49" s="445" t="s">
        <v>2490</v>
      </c>
      <c r="B49" s="446"/>
      <c r="C49" s="1321" t="e">
        <f>R50</f>
        <v>#REF!</v>
      </c>
      <c r="D49" s="2536" t="s">
        <v>2879</v>
      </c>
      <c r="E49" s="1322" t="e">
        <f>R49</f>
        <v>#REF!</v>
      </c>
      <c r="F49" s="2537"/>
      <c r="G49" s="1321" t="e">
        <f>T49</f>
        <v>#REF!</v>
      </c>
      <c r="H49" s="2537"/>
      <c r="I49" s="1322" t="e">
        <f>V49</f>
        <v>#REF!</v>
      </c>
      <c r="J49" s="2537"/>
      <c r="K49" s="2539">
        <f>F49+H49+J49</f>
        <v>0</v>
      </c>
      <c r="L49" s="2951"/>
      <c r="M49" s="2943"/>
      <c r="N49" s="2943"/>
      <c r="O49" s="2943"/>
      <c r="P49" s="3281" t="str">
        <f>A49</f>
        <v>比较价值（元/平方米）</v>
      </c>
      <c r="Q49" s="3282"/>
      <c r="R49" s="3283" t="e">
        <f>IF(F1="售价",ROUND(PRODUCT(R48,AA7:AA47),0),ROUND(PRODUCT(R48,AA7:AA47),1))</f>
        <v>#REF!</v>
      </c>
      <c r="S49" s="3283"/>
      <c r="T49" s="3283" t="e">
        <f>IF(F1="售价",ROUND(PRODUCT(T48,AB7:AB47),0),ROUND(PRODUCT(T48,AB7:AB47),1))</f>
        <v>#REF!</v>
      </c>
      <c r="U49" s="3283"/>
      <c r="V49" s="3283" t="e">
        <f>IF(F1="售价",ROUND(PRODUCT(V48,AC7:AC47),0),ROUND(PRODUCT(V48,AC7:AC47),1))</f>
        <v>#REF!</v>
      </c>
      <c r="W49" s="3283"/>
      <c r="X49" s="405"/>
      <c r="Y49" s="405"/>
      <c r="Z49" s="405"/>
      <c r="AA49" s="405"/>
      <c r="AB49" s="405"/>
      <c r="AC49" s="586"/>
    </row>
    <row r="50" spans="1:29" ht="15.75" thickBot="1">
      <c r="A50" s="449" t="s">
        <v>2491</v>
      </c>
      <c r="B50" s="450"/>
      <c r="C50" s="1324" t="e">
        <f>R50</f>
        <v>#REF!</v>
      </c>
      <c r="D50" s="1324"/>
      <c r="E50" s="1324"/>
      <c r="F50" s="1324"/>
      <c r="G50" s="1324"/>
      <c r="H50" s="1324"/>
      <c r="I50" s="1324"/>
      <c r="J50" s="451"/>
      <c r="K50" s="723"/>
      <c r="L50" s="2951"/>
      <c r="M50" s="2943"/>
      <c r="N50" s="2943"/>
      <c r="O50" s="2943"/>
      <c r="P50" s="3284" t="str">
        <f>A50</f>
        <v>估价对象XX用房的比较价值（楼面单价，元/平方米）</v>
      </c>
      <c r="Q50" s="3285"/>
      <c r="R50" s="3286" t="e">
        <f>IF(F1="售价",ROUND(IF(D49="简单平均",AVERAGE(R49:V49),R49*F49+T49*H49+V49*J49),0),ROUND(IF(D49="简单平均",AVERAGE(R49:V49),R49*F49+T49*H49+V49*J49),1))</f>
        <v>#REF!</v>
      </c>
      <c r="S50" s="3286"/>
      <c r="T50" s="3286"/>
      <c r="U50" s="3286"/>
      <c r="V50" s="3286"/>
      <c r="W50" s="3286"/>
      <c r="X50" s="2130"/>
      <c r="Y50" s="2130"/>
      <c r="Z50" s="2130"/>
      <c r="AA50" s="2130"/>
      <c r="AB50" s="2130"/>
      <c r="AC50" s="2131"/>
    </row>
    <row r="51" spans="1:29">
      <c r="A51" s="2952"/>
      <c r="B51" s="2952"/>
      <c r="C51" s="2952"/>
      <c r="D51" s="2952"/>
      <c r="E51" s="2952"/>
      <c r="F51" s="2952"/>
      <c r="G51" s="3067" t="s">
        <v>3119</v>
      </c>
      <c r="H51" s="2952"/>
      <c r="I51" s="2952">
        <v>2017</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#REF!</v>
      </c>
      <c r="F53" s="457" t="e">
        <f>IF(OR(E53&gt;=0.3,E53&lt;=-0.3),"超过30%","")</f>
        <v>#REF!</v>
      </c>
      <c r="G53" s="456" t="e">
        <f>IF(G48&lt;G49,G49/G48-1,G48/G49-1)</f>
        <v>#REF!</v>
      </c>
      <c r="H53" s="457" t="e">
        <f>IF(OR(G53&gt;=0.3,G53&lt;=-0.3),"超过30%","")</f>
        <v>#REF!</v>
      </c>
      <c r="I53" s="456" t="e">
        <f>IF(I48&lt;I49,I49/I48-1,I48/I49-1)</f>
        <v>#REF!</v>
      </c>
      <c r="J53" s="457" t="e">
        <f>IF(OR(I53&gt;=0.3,I53&lt;=-0.3),"超过30%","")</f>
        <v>#REF!</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#REF!</v>
      </c>
      <c r="F54" s="457" t="e">
        <f>IF(OR(E54&gt;=0.2,E54&lt;=-0.2),"超过20%","")</f>
        <v>#REF!</v>
      </c>
      <c r="G54" s="456" t="e">
        <f>IF(G49&lt;I49,I49/G49-1,G49/I49-1)</f>
        <v>#REF!</v>
      </c>
      <c r="H54" s="457" t="e">
        <f>IF(OR(G54&gt;=0.2,G54&lt;=-0.2),"超过20%","")</f>
        <v>#REF!</v>
      </c>
      <c r="I54" s="456" t="e">
        <f>IF(I49&lt;E49,E49/I49-1,I49/E49-1)</f>
        <v>#REF!</v>
      </c>
      <c r="J54" s="457" t="e">
        <f>IF(OR(I54&gt;=0.2,I54&lt;=-0.2),"超过20%","")</f>
        <v>#REF!</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4.6666666666666634E-2</v>
      </c>
      <c r="F55" s="457" t="str">
        <f>IF(OR(E55&gt;=0.3,E55&lt;=-0.3),"超过30%","")</f>
        <v/>
      </c>
      <c r="G55" s="456">
        <f>IF(G48&lt;I48,I48/G48-1,G48/I48-1)</f>
        <v>0.2265625</v>
      </c>
      <c r="H55" s="457" t="str">
        <f>IF(OR(G55&gt;=0.3,G55&lt;=-0.3),"超过30%","")</f>
        <v/>
      </c>
      <c r="I55" s="456">
        <f>IF(I48&lt;E48,E48/I48-1,I48/E48-1)</f>
        <v>0.171875</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4" t="str">
        <f>YEAR(C7)&amp;"-"&amp;MONTH(C7)</f>
        <v>2021-12</v>
      </c>
      <c r="D59" s="1345">
        <f>EDATE(C59,-1)</f>
        <v>44501</v>
      </c>
      <c r="E59" s="1345">
        <f>EDATE(D59,-1)</f>
        <v>44470</v>
      </c>
      <c r="F59" s="1345">
        <f t="shared" ref="F59:O59" si="16">EDATE(E59,-1)</f>
        <v>44440</v>
      </c>
      <c r="G59" s="1345">
        <f t="shared" si="16"/>
        <v>44409</v>
      </c>
      <c r="H59" s="1345">
        <f t="shared" si="16"/>
        <v>44378</v>
      </c>
      <c r="I59" s="1345">
        <f t="shared" si="16"/>
        <v>44348</v>
      </c>
      <c r="J59" s="1345">
        <f t="shared" si="16"/>
        <v>44317</v>
      </c>
      <c r="K59" s="1345">
        <f t="shared" si="16"/>
        <v>44287</v>
      </c>
      <c r="L59" s="1345">
        <f t="shared" si="16"/>
        <v>44256</v>
      </c>
      <c r="M59" s="1345">
        <f t="shared" si="16"/>
        <v>44228</v>
      </c>
      <c r="N59" s="1345">
        <f t="shared" si="16"/>
        <v>44197</v>
      </c>
      <c r="O59" s="1345">
        <f t="shared" si="16"/>
        <v>44166</v>
      </c>
      <c r="P59" s="2986"/>
      <c r="Q59" s="2968"/>
      <c r="R59" s="2968"/>
      <c r="S59" s="2968"/>
      <c r="T59" s="2968"/>
      <c r="U59" s="2968"/>
      <c r="V59" s="2968"/>
      <c r="W59" s="2968"/>
      <c r="X59" s="2968"/>
      <c r="Y59" s="2968"/>
      <c r="Z59" s="2968"/>
      <c r="AA59" s="2968"/>
      <c r="AB59" s="2968"/>
      <c r="AC59" s="2968"/>
    </row>
    <row r="60" spans="1:29" s="113" customFormat="1" ht="15">
      <c r="A60" s="466"/>
      <c r="B60" s="467"/>
      <c r="C60" s="1343">
        <v>100</v>
      </c>
      <c r="D60" s="469">
        <f>C60-$C$61</f>
        <v>100</v>
      </c>
      <c r="E60" s="469">
        <f t="shared" ref="E60:I60" si="17">D60-$C$61</f>
        <v>100</v>
      </c>
      <c r="F60" s="469">
        <f t="shared" si="17"/>
        <v>100</v>
      </c>
      <c r="G60" s="469">
        <f t="shared" si="17"/>
        <v>100</v>
      </c>
      <c r="H60" s="469">
        <f t="shared" si="17"/>
        <v>100</v>
      </c>
      <c r="I60" s="469">
        <f t="shared" si="17"/>
        <v>100</v>
      </c>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v>0</v>
      </c>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063" t="s">
        <v>3111</v>
      </c>
      <c r="D89" s="3063" t="s">
        <v>3113</v>
      </c>
      <c r="E89" s="3063" t="s">
        <v>3114</v>
      </c>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97</v>
      </c>
      <c r="E90" s="501">
        <f t="shared" ref="E90:M90" si="21">D90-$K27</f>
        <v>94</v>
      </c>
      <c r="F90" s="501">
        <f t="shared" si="21"/>
        <v>91</v>
      </c>
      <c r="G90" s="501">
        <f t="shared" si="21"/>
        <v>88</v>
      </c>
      <c r="H90" s="501">
        <f t="shared" si="21"/>
        <v>85</v>
      </c>
      <c r="I90" s="501">
        <f t="shared" si="21"/>
        <v>82</v>
      </c>
      <c r="J90" s="501">
        <f t="shared" si="21"/>
        <v>79</v>
      </c>
      <c r="K90" s="501">
        <f t="shared" si="21"/>
        <v>76</v>
      </c>
      <c r="L90" s="501">
        <f t="shared" si="21"/>
        <v>73</v>
      </c>
      <c r="M90" s="501">
        <f t="shared" si="21"/>
        <v>70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062" t="s">
        <v>3087</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0(含)-250</v>
      </c>
      <c r="D103" s="535" t="str">
        <f t="shared" ref="D103:L103" si="24">D104&amp;"(含)"&amp;"-"&amp;E104</f>
        <v>250(含)-500</v>
      </c>
      <c r="E103" s="535" t="str">
        <f t="shared" si="24"/>
        <v>500(含)-750</v>
      </c>
      <c r="F103" s="535" t="str">
        <f t="shared" si="24"/>
        <v>750(含)-1000</v>
      </c>
      <c r="G103" s="535" t="str">
        <f t="shared" si="24"/>
        <v>1000(含)-2000</v>
      </c>
      <c r="H103" s="535" t="str">
        <f t="shared" si="24"/>
        <v>2000(含)-</v>
      </c>
      <c r="I103" s="535" t="str">
        <f t="shared" si="24"/>
        <v>(含)-</v>
      </c>
      <c r="J103" s="535" t="str">
        <f t="shared" si="24"/>
        <v>(含)-</v>
      </c>
      <c r="K103" s="535" t="str">
        <f t="shared" si="24"/>
        <v>(含)-</v>
      </c>
      <c r="L103" s="535" t="str">
        <f t="shared" si="24"/>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250</v>
      </c>
      <c r="E104" s="552">
        <v>500</v>
      </c>
      <c r="F104" s="552">
        <v>750</v>
      </c>
      <c r="G104" s="552">
        <v>1000</v>
      </c>
      <c r="H104" s="552">
        <v>2000</v>
      </c>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99</v>
      </c>
      <c r="D105" s="493">
        <v>100</v>
      </c>
      <c r="E105" s="493">
        <v>99</v>
      </c>
      <c r="F105" s="493">
        <v>98</v>
      </c>
      <c r="G105" s="493">
        <v>97</v>
      </c>
      <c r="H105" s="493">
        <v>96</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063" t="s">
        <v>3088</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063" t="s">
        <v>3090</v>
      </c>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3063" t="s">
        <v>3091</v>
      </c>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063" t="s">
        <v>3093</v>
      </c>
      <c r="D115" s="3063" t="s">
        <v>3094</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063" t="s">
        <v>3095</v>
      </c>
      <c r="D117" s="3063" t="s">
        <v>3096</v>
      </c>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3064" t="s">
        <v>3097</v>
      </c>
      <c r="D119" s="3064" t="s">
        <v>3099</v>
      </c>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95</v>
      </c>
      <c r="E120" s="501">
        <f t="shared" ref="E120:M120" si="30">D120-$K41</f>
        <v>90</v>
      </c>
      <c r="F120" s="501">
        <f t="shared" si="30"/>
        <v>85</v>
      </c>
      <c r="G120" s="501">
        <f t="shared" si="30"/>
        <v>80</v>
      </c>
      <c r="H120" s="501">
        <f t="shared" si="30"/>
        <v>75</v>
      </c>
      <c r="I120" s="501">
        <f t="shared" si="30"/>
        <v>70</v>
      </c>
      <c r="J120" s="501">
        <f t="shared" si="30"/>
        <v>65</v>
      </c>
      <c r="K120" s="501">
        <f t="shared" si="30"/>
        <v>60</v>
      </c>
      <c r="L120" s="501">
        <f t="shared" si="30"/>
        <v>55</v>
      </c>
      <c r="M120" s="501">
        <f t="shared" si="30"/>
        <v>50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063" t="s">
        <v>3090</v>
      </c>
      <c r="D123" s="3063" t="s">
        <v>3100</v>
      </c>
      <c r="E123" s="3063" t="s">
        <v>3101</v>
      </c>
      <c r="F123" s="3064" t="s">
        <v>3103</v>
      </c>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跃层</v>
      </c>
      <c r="C127" s="3063" t="s">
        <v>3106</v>
      </c>
      <c r="D127" s="3063" t="s">
        <v>3107</v>
      </c>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98</v>
      </c>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5" zoomScaleNormal="70" zoomScaleSheetLayoutView="85" workbookViewId="0">
      <selection activeCell="D43" sqref="D43"/>
    </sheetView>
  </sheetViews>
  <sheetFormatPr defaultColWidth="9" defaultRowHeight="14.25"/>
  <cols>
    <col min="1" max="1" width="10.5" style="363" customWidth="1"/>
    <col min="2" max="2" width="15.75" style="363" customWidth="1"/>
    <col min="3" max="3" width="17.625" style="363" customWidth="1"/>
    <col min="4" max="4" width="12.25" style="363" customWidth="1"/>
    <col min="5" max="5" width="16.125" style="363" customWidth="1"/>
    <col min="6" max="6" width="12.25" style="363" customWidth="1"/>
    <col min="7" max="7" width="17.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2463</v>
      </c>
      <c r="C1" s="1404" t="s">
        <v>2351</v>
      </c>
      <c r="D1" s="1391" t="s">
        <v>1343</v>
      </c>
      <c r="E1" s="2541"/>
      <c r="F1" s="2063" t="s">
        <v>3080</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5">
        <f>IF(C2="——",ROUND(C49*D3/10000,0),ROUND(C49*D3/10000,0)-D2)</f>
        <v>62939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14490</v>
      </c>
      <c r="C3" s="360" t="s">
        <v>2465</v>
      </c>
      <c r="D3" s="359">
        <f>IF(D1="",'数据-汇总表'!E3,SUMIF('数据-汇总表'!$C19:$C33,D1,'数据-汇总表'!$E19:$E33))</f>
        <v>43436.4</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299" t="s">
        <v>2467</v>
      </c>
      <c r="D4" s="3300"/>
      <c r="E4" s="3301" t="s">
        <v>2468</v>
      </c>
      <c r="F4" s="3302"/>
      <c r="G4" s="3299" t="s">
        <v>2469</v>
      </c>
      <c r="H4" s="3300"/>
      <c r="I4" s="3299" t="s">
        <v>2470</v>
      </c>
      <c r="J4" s="3300"/>
      <c r="K4" s="567" t="s">
        <v>2471</v>
      </c>
      <c r="L4" s="2942"/>
      <c r="M4" s="2943"/>
      <c r="N4" s="2943"/>
      <c r="O4" s="2943"/>
      <c r="P4" s="3337" t="s">
        <v>2472</v>
      </c>
      <c r="Q4" s="3338"/>
      <c r="R4" s="3341" t="s">
        <v>2468</v>
      </c>
      <c r="S4" s="3342"/>
      <c r="T4" s="3341" t="s">
        <v>2469</v>
      </c>
      <c r="U4" s="3342"/>
      <c r="V4" s="3316" t="s">
        <v>2470</v>
      </c>
      <c r="W4" s="3316"/>
      <c r="X4" s="1537"/>
      <c r="Y4" s="3341" t="s">
        <v>2472</v>
      </c>
      <c r="Z4" s="3342"/>
      <c r="AA4" s="3336" t="s">
        <v>2468</v>
      </c>
      <c r="AB4" s="3316" t="s">
        <v>2469</v>
      </c>
      <c r="AC4" s="3336" t="s">
        <v>2470</v>
      </c>
    </row>
    <row r="5" spans="1:29" ht="15">
      <c r="A5" s="364"/>
      <c r="B5" s="365"/>
      <c r="C5" s="3325" t="s">
        <v>2363</v>
      </c>
      <c r="D5" s="3320"/>
      <c r="E5" s="3343" t="s">
        <v>2364</v>
      </c>
      <c r="F5" s="3332"/>
      <c r="G5" s="3325" t="s">
        <v>2365</v>
      </c>
      <c r="H5" s="3320"/>
      <c r="I5" s="3325" t="s">
        <v>2366</v>
      </c>
      <c r="J5" s="3320"/>
      <c r="K5" s="567"/>
      <c r="L5" s="2942"/>
      <c r="M5" s="2943"/>
      <c r="N5" s="2943"/>
      <c r="O5" s="2943"/>
      <c r="P5" s="3339"/>
      <c r="Q5" s="3306"/>
      <c r="R5" s="3311"/>
      <c r="S5" s="3312"/>
      <c r="T5" s="3311"/>
      <c r="U5" s="3312"/>
      <c r="V5" s="3316"/>
      <c r="W5" s="3316"/>
      <c r="X5" s="1537"/>
      <c r="Y5" s="3311"/>
      <c r="Z5" s="3312"/>
      <c r="AA5" s="3329"/>
      <c r="AB5" s="3316"/>
      <c r="AC5" s="3329"/>
    </row>
    <row r="6" spans="1:29" ht="15.75" thickBot="1">
      <c r="A6" s="366"/>
      <c r="B6" s="367"/>
      <c r="C6" s="3317" t="s">
        <v>2367</v>
      </c>
      <c r="D6" s="3318"/>
      <c r="E6" s="3326" t="s">
        <v>2367</v>
      </c>
      <c r="F6" s="3327"/>
      <c r="G6" s="3317" t="s">
        <v>2367</v>
      </c>
      <c r="H6" s="3318"/>
      <c r="I6" s="3317" t="s">
        <v>2367</v>
      </c>
      <c r="J6" s="3318"/>
      <c r="K6" s="567" t="s">
        <v>2368</v>
      </c>
      <c r="L6" s="2942"/>
      <c r="M6" s="2943"/>
      <c r="N6" s="2943"/>
      <c r="O6" s="2943"/>
      <c r="P6" s="3340"/>
      <c r="Q6" s="3308"/>
      <c r="R6" s="3311"/>
      <c r="S6" s="3312"/>
      <c r="T6" s="3313"/>
      <c r="U6" s="3314"/>
      <c r="V6" s="3316"/>
      <c r="W6" s="3316"/>
      <c r="X6" s="1537"/>
      <c r="Y6" s="3313"/>
      <c r="Z6" s="3314"/>
      <c r="AA6" s="3330"/>
      <c r="AB6" s="3316"/>
      <c r="AC6" s="3330"/>
    </row>
    <row r="7" spans="1:29" s="113" customFormat="1" ht="15.75" thickBot="1">
      <c r="A7" s="368" t="s">
        <v>2369</v>
      </c>
      <c r="B7" s="369"/>
      <c r="C7" s="370">
        <f>'数据-取费表'!B2</f>
        <v>44561</v>
      </c>
      <c r="D7" s="371">
        <v>100</v>
      </c>
      <c r="E7" s="372">
        <v>44470</v>
      </c>
      <c r="F7" s="373">
        <f>SUMIF(58:58,YEAR(E7)&amp;"-"&amp;MONTH(E7),59:59)</f>
        <v>100</v>
      </c>
      <c r="G7" s="372">
        <v>44440</v>
      </c>
      <c r="H7" s="371">
        <f>SUMIF(58:58,YEAR(G7)&amp;"-"&amp;MONTH(G7),59:59)</f>
        <v>100</v>
      </c>
      <c r="I7" s="372">
        <v>44440</v>
      </c>
      <c r="J7" s="371">
        <f>SUMIF(58:58,YEAR(I7)&amp;"-"&amp;MONTH(I7),59:59)</f>
        <v>100</v>
      </c>
      <c r="K7" s="568"/>
      <c r="L7" s="2944"/>
      <c r="M7" s="2945"/>
      <c r="N7" s="2945"/>
      <c r="O7" s="2945"/>
      <c r="P7" s="3323" t="s">
        <v>2370</v>
      </c>
      <c r="Q7" s="3324"/>
      <c r="R7" s="709" t="s">
        <v>17</v>
      </c>
      <c r="S7" s="710">
        <f t="shared" ref="S7:S15" si="0">F7</f>
        <v>100</v>
      </c>
      <c r="T7" s="709" t="s">
        <v>17</v>
      </c>
      <c r="U7" s="710">
        <f t="shared" ref="U7:U15" si="1">H7</f>
        <v>100</v>
      </c>
      <c r="V7" s="709" t="s">
        <v>17</v>
      </c>
      <c r="W7" s="710">
        <f t="shared" ref="W7:W15" si="2">J7</f>
        <v>100</v>
      </c>
      <c r="X7" s="711"/>
      <c r="Y7" s="3323" t="s">
        <v>2370</v>
      </c>
      <c r="Z7" s="3322"/>
      <c r="AA7" s="712">
        <f>D7/F7</f>
        <v>1</v>
      </c>
      <c r="AB7" s="712">
        <f>D7/H7</f>
        <v>1</v>
      </c>
      <c r="AC7" s="712">
        <f>D7/J7</f>
        <v>1</v>
      </c>
    </row>
    <row r="8" spans="1:29" s="113" customFormat="1" ht="15.75" thickBot="1">
      <c r="A8" s="368" t="s">
        <v>2371</v>
      </c>
      <c r="B8" s="369"/>
      <c r="C8" s="374" t="s">
        <v>2473</v>
      </c>
      <c r="D8" s="371">
        <v>100</v>
      </c>
      <c r="E8" s="374" t="s">
        <v>3081</v>
      </c>
      <c r="F8" s="373">
        <f>SUMIF(61:61,E8,62:62)-SUMIF(61:61,C8,62:62)+100</f>
        <v>100</v>
      </c>
      <c r="G8" s="374" t="s">
        <v>3081</v>
      </c>
      <c r="H8" s="371">
        <f>SUMIF(61:61,G8,62:62)-SUMIF(61:61,C8,62:62)+100</f>
        <v>100</v>
      </c>
      <c r="I8" s="374" t="s">
        <v>3081</v>
      </c>
      <c r="J8" s="371">
        <f>SUMIF(61:61,I8,62:62)-SUMIF(61:61,C8,62:62)+100</f>
        <v>100</v>
      </c>
      <c r="K8" s="568"/>
      <c r="L8" s="2944"/>
      <c r="M8" s="2945"/>
      <c r="N8" s="2945"/>
      <c r="O8" s="2945"/>
      <c r="P8" s="3323" t="s">
        <v>2373</v>
      </c>
      <c r="Q8" s="3322"/>
      <c r="R8" s="709" t="s">
        <v>17</v>
      </c>
      <c r="S8" s="710">
        <f t="shared" si="0"/>
        <v>100</v>
      </c>
      <c r="T8" s="709" t="s">
        <v>17</v>
      </c>
      <c r="U8" s="710">
        <f t="shared" si="1"/>
        <v>100</v>
      </c>
      <c r="V8" s="709" t="s">
        <v>17</v>
      </c>
      <c r="W8" s="710">
        <f t="shared" si="2"/>
        <v>100</v>
      </c>
      <c r="X8" s="711"/>
      <c r="Y8" s="3323" t="s">
        <v>2373</v>
      </c>
      <c r="Z8" s="3322"/>
      <c r="AA8" s="712">
        <f t="shared" ref="AA8:AA46" si="3">D8/F8</f>
        <v>1</v>
      </c>
      <c r="AB8" s="712">
        <f t="shared" ref="AB8:AB46" si="4">D8/H8</f>
        <v>1</v>
      </c>
      <c r="AC8" s="712">
        <f t="shared" ref="AC8:AC46" si="5">D8/J8</f>
        <v>1</v>
      </c>
    </row>
    <row r="9" spans="1:29" s="113" customFormat="1">
      <c r="A9" s="375" t="s">
        <v>2374</v>
      </c>
      <c r="B9" s="67" t="s">
        <v>2375</v>
      </c>
      <c r="C9" s="3061" t="s">
        <v>3261</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281" t="s">
        <v>2376</v>
      </c>
      <c r="Q9" s="1525" t="str">
        <f t="shared" ref="Q9:Q15" si="6">B9</f>
        <v>用途</v>
      </c>
      <c r="R9" s="709" t="s">
        <v>17</v>
      </c>
      <c r="S9" s="710">
        <f t="shared" si="0"/>
        <v>100</v>
      </c>
      <c r="T9" s="709" t="s">
        <v>17</v>
      </c>
      <c r="U9" s="710">
        <f t="shared" si="1"/>
        <v>100</v>
      </c>
      <c r="V9" s="709" t="s">
        <v>17</v>
      </c>
      <c r="W9" s="710">
        <f t="shared" si="2"/>
        <v>100</v>
      </c>
      <c r="X9" s="711"/>
      <c r="Y9" s="3185" t="s">
        <v>2377</v>
      </c>
      <c r="Z9" s="55" t="str">
        <f t="shared" ref="Z9:Z15" si="7">Q9</f>
        <v>用途</v>
      </c>
      <c r="AA9" s="712">
        <f t="shared" si="3"/>
        <v>1</v>
      </c>
      <c r="AB9" s="712">
        <f t="shared" si="4"/>
        <v>1</v>
      </c>
      <c r="AC9" s="712">
        <f t="shared" si="5"/>
        <v>1</v>
      </c>
    </row>
    <row r="10" spans="1:29" s="386" customFormat="1" ht="27">
      <c r="A10" s="380"/>
      <c r="B10" s="381" t="s">
        <v>2378</v>
      </c>
      <c r="C10" s="382" t="s">
        <v>3262</v>
      </c>
      <c r="D10" s="132">
        <v>100</v>
      </c>
      <c r="E10" s="383" t="s">
        <v>3116</v>
      </c>
      <c r="F10" s="384">
        <f>SUMIF(65:65,E10,66:66)-SUMIF(65:65,C10,66:66)+100</f>
        <v>115</v>
      </c>
      <c r="G10" s="383" t="s">
        <v>3116</v>
      </c>
      <c r="H10" s="132">
        <f>SUMIF(65:65,G10,66:66)-SUMIF(65:65,C10,66:66)+100</f>
        <v>115</v>
      </c>
      <c r="I10" s="383" t="s">
        <v>3116</v>
      </c>
      <c r="J10" s="132">
        <f>SUMIF(65:65,I10,66:66)-SUMIF(65:65,C10,66:66)+100</f>
        <v>115</v>
      </c>
      <c r="K10" s="3087">
        <v>5</v>
      </c>
      <c r="L10" s="2946"/>
      <c r="M10" s="2947"/>
      <c r="N10" s="2947"/>
      <c r="O10" s="2947"/>
      <c r="P10" s="3281"/>
      <c r="Q10" s="1525" t="str">
        <f t="shared" si="6"/>
        <v>土地使用年限（年）</v>
      </c>
      <c r="R10" s="709" t="s">
        <v>17</v>
      </c>
      <c r="S10" s="710">
        <f t="shared" si="0"/>
        <v>115</v>
      </c>
      <c r="T10" s="709" t="s">
        <v>17</v>
      </c>
      <c r="U10" s="710">
        <f t="shared" si="1"/>
        <v>115</v>
      </c>
      <c r="V10" s="709" t="s">
        <v>17</v>
      </c>
      <c r="W10" s="710">
        <f t="shared" si="2"/>
        <v>115</v>
      </c>
      <c r="X10" s="711"/>
      <c r="Y10" s="3185"/>
      <c r="Z10" s="55" t="str">
        <f t="shared" si="7"/>
        <v>土地使用年限（年）</v>
      </c>
      <c r="AA10" s="712">
        <f t="shared" si="3"/>
        <v>0.86956521739130432</v>
      </c>
      <c r="AB10" s="712">
        <f t="shared" si="4"/>
        <v>0.86956521739130432</v>
      </c>
      <c r="AC10" s="712">
        <f t="shared" si="5"/>
        <v>0.86956521739130432</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81"/>
      <c r="Q11" s="1525" t="str">
        <f t="shared" si="6"/>
        <v>容积率</v>
      </c>
      <c r="R11" s="709" t="s">
        <v>17</v>
      </c>
      <c r="S11" s="710">
        <f t="shared" si="0"/>
        <v>100</v>
      </c>
      <c r="T11" s="709" t="s">
        <v>17</v>
      </c>
      <c r="U11" s="710">
        <f t="shared" si="1"/>
        <v>100</v>
      </c>
      <c r="V11" s="709" t="s">
        <v>17</v>
      </c>
      <c r="W11" s="710">
        <f t="shared" si="2"/>
        <v>100</v>
      </c>
      <c r="X11" s="711"/>
      <c r="Y11" s="3185"/>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81"/>
      <c r="Q12" s="1525">
        <f t="shared" si="6"/>
        <v>111</v>
      </c>
      <c r="R12" s="709" t="s">
        <v>17</v>
      </c>
      <c r="S12" s="710">
        <f t="shared" si="0"/>
        <v>100</v>
      </c>
      <c r="T12" s="709" t="s">
        <v>17</v>
      </c>
      <c r="U12" s="710">
        <f t="shared" si="1"/>
        <v>100</v>
      </c>
      <c r="V12" s="709" t="s">
        <v>17</v>
      </c>
      <c r="W12" s="710">
        <f t="shared" si="2"/>
        <v>100</v>
      </c>
      <c r="X12" s="711"/>
      <c r="Y12" s="3185"/>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81"/>
      <c r="Q13" s="1525">
        <f t="shared" si="6"/>
        <v>111</v>
      </c>
      <c r="R13" s="709" t="s">
        <v>17</v>
      </c>
      <c r="S13" s="710">
        <f t="shared" si="0"/>
        <v>100</v>
      </c>
      <c r="T13" s="709" t="s">
        <v>17</v>
      </c>
      <c r="U13" s="710">
        <f t="shared" si="1"/>
        <v>100</v>
      </c>
      <c r="V13" s="709" t="s">
        <v>17</v>
      </c>
      <c r="W13" s="710">
        <f t="shared" si="2"/>
        <v>100</v>
      </c>
      <c r="X13" s="711"/>
      <c r="Y13" s="3185"/>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81"/>
      <c r="Q14" s="1525">
        <f t="shared" si="6"/>
        <v>111</v>
      </c>
      <c r="R14" s="709" t="s">
        <v>17</v>
      </c>
      <c r="S14" s="710">
        <f t="shared" si="0"/>
        <v>100</v>
      </c>
      <c r="T14" s="709" t="s">
        <v>17</v>
      </c>
      <c r="U14" s="710">
        <f t="shared" si="1"/>
        <v>100</v>
      </c>
      <c r="V14" s="709" t="s">
        <v>17</v>
      </c>
      <c r="W14" s="710">
        <f t="shared" si="2"/>
        <v>100</v>
      </c>
      <c r="X14" s="711"/>
      <c r="Y14" s="3185"/>
      <c r="Z14" s="55">
        <f t="shared" si="7"/>
        <v>111</v>
      </c>
      <c r="AA14" s="712">
        <f t="shared" si="3"/>
        <v>1</v>
      </c>
      <c r="AB14" s="712">
        <f t="shared" si="4"/>
        <v>1</v>
      </c>
      <c r="AC14" s="712">
        <f t="shared" si="5"/>
        <v>1</v>
      </c>
    </row>
    <row r="15" spans="1:29" ht="57">
      <c r="A15" s="399" t="s">
        <v>2380</v>
      </c>
      <c r="B15" s="65" t="s">
        <v>2474</v>
      </c>
      <c r="C15" s="2080" t="str">
        <f>估价对象房地状况!C4</f>
        <v>估价对象位于XX商圈，周边商业氛围成熟，人流量大，商业繁华度好</v>
      </c>
      <c r="D15" s="400">
        <v>100</v>
      </c>
      <c r="E15" s="401"/>
      <c r="F15" s="402">
        <f>SUMIF(76:76,E16,77:77)-SUMIF(76:76,C16,77:77)+100</f>
        <v>98</v>
      </c>
      <c r="G15" s="403"/>
      <c r="H15" s="400">
        <f>SUMIF(76:76,G16,77:77)-SUMIF(76:76,C16,77:77)+100</f>
        <v>100</v>
      </c>
      <c r="I15" s="401"/>
      <c r="J15" s="400">
        <f>SUMIF(76:76,I16,77:77)-SUMIF(76:76,C16,77:77)+100</f>
        <v>100</v>
      </c>
      <c r="K15" s="571">
        <v>2</v>
      </c>
      <c r="L15" s="2949"/>
      <c r="M15" s="2943"/>
      <c r="N15" s="2943"/>
      <c r="O15" s="2943"/>
      <c r="P15" s="3287" t="s">
        <v>2381</v>
      </c>
      <c r="Q15" s="1534" t="str">
        <f t="shared" si="6"/>
        <v>商业繁华度</v>
      </c>
      <c r="R15" s="713" t="s">
        <v>17</v>
      </c>
      <c r="S15" s="714">
        <f t="shared" si="0"/>
        <v>98</v>
      </c>
      <c r="T15" s="713" t="s">
        <v>17</v>
      </c>
      <c r="U15" s="714">
        <f t="shared" si="1"/>
        <v>100</v>
      </c>
      <c r="V15" s="713" t="s">
        <v>17</v>
      </c>
      <c r="W15" s="714">
        <f t="shared" si="2"/>
        <v>100</v>
      </c>
      <c r="X15" s="1537"/>
      <c r="Y15" s="3289" t="s">
        <v>2381</v>
      </c>
      <c r="Z15" s="1538" t="str">
        <f t="shared" si="7"/>
        <v>商业繁华度</v>
      </c>
      <c r="AA15" s="1535">
        <f t="shared" si="3"/>
        <v>1.0204081632653061</v>
      </c>
      <c r="AB15" s="1535">
        <f t="shared" si="4"/>
        <v>1</v>
      </c>
      <c r="AC15" s="1535">
        <f t="shared" si="5"/>
        <v>1</v>
      </c>
    </row>
    <row r="16" spans="1:29" ht="15">
      <c r="A16" s="387"/>
      <c r="B16" s="405"/>
      <c r="C16" s="406" t="s">
        <v>3083</v>
      </c>
      <c r="D16" s="407"/>
      <c r="E16" s="406" t="s">
        <v>3085</v>
      </c>
      <c r="F16" s="408"/>
      <c r="G16" s="406" t="s">
        <v>3083</v>
      </c>
      <c r="H16" s="409"/>
      <c r="I16" s="406" t="s">
        <v>3083</v>
      </c>
      <c r="J16" s="407"/>
      <c r="K16" s="572"/>
      <c r="L16" s="2949"/>
      <c r="M16" s="2943"/>
      <c r="N16" s="2943"/>
      <c r="O16" s="2943"/>
      <c r="P16" s="3288"/>
      <c r="Q16" s="1534"/>
      <c r="R16" s="713"/>
      <c r="S16" s="714"/>
      <c r="T16" s="713"/>
      <c r="U16" s="714"/>
      <c r="V16" s="713"/>
      <c r="W16" s="714"/>
      <c r="X16" s="1537"/>
      <c r="Y16" s="3290"/>
      <c r="Z16" s="1538"/>
      <c r="AA16" s="1535">
        <v>1</v>
      </c>
      <c r="AB16" s="1535">
        <v>1</v>
      </c>
      <c r="AC16" s="1535">
        <v>1</v>
      </c>
    </row>
    <row r="17" spans="1:29" ht="71.25">
      <c r="A17" s="387"/>
      <c r="B17" s="410" t="s">
        <v>1945</v>
      </c>
      <c r="C17" s="2084" t="str">
        <f>估价对象房地状况!C6</f>
        <v>估价对象周边道路状况、公共交通通达情况、停车便捷程度，综合评价交通便捷度较好</v>
      </c>
      <c r="D17" s="409">
        <v>100</v>
      </c>
      <c r="E17" s="411"/>
      <c r="F17" s="412">
        <f>SUMIF(78:78,E18,79:79)-SUMIF(78:78,C18,79:79)+100</f>
        <v>98</v>
      </c>
      <c r="G17" s="413"/>
      <c r="H17" s="414">
        <f>SUMIF(78:78,G18,79:79)-SUMIF(78:78,C18,79:79)+100</f>
        <v>98</v>
      </c>
      <c r="I17" s="411"/>
      <c r="J17" s="414">
        <f>SUMIF(78:78,I18,79:79)-SUMIF(78:78,C18,79:79)+100</f>
        <v>100</v>
      </c>
      <c r="K17" s="571">
        <v>2</v>
      </c>
      <c r="L17" s="2949"/>
      <c r="M17" s="2943"/>
      <c r="N17" s="2943"/>
      <c r="O17" s="2943"/>
      <c r="P17" s="3288"/>
      <c r="Q17" s="1534" t="str">
        <f>B17</f>
        <v>交通便捷度</v>
      </c>
      <c r="R17" s="713" t="s">
        <v>17</v>
      </c>
      <c r="S17" s="714">
        <f>F17</f>
        <v>98</v>
      </c>
      <c r="T17" s="713" t="s">
        <v>17</v>
      </c>
      <c r="U17" s="714">
        <f>H17</f>
        <v>98</v>
      </c>
      <c r="V17" s="713" t="s">
        <v>17</v>
      </c>
      <c r="W17" s="714">
        <f>J17</f>
        <v>100</v>
      </c>
      <c r="X17" s="1537"/>
      <c r="Y17" s="3290"/>
      <c r="Z17" s="1538" t="str">
        <f>Q17</f>
        <v>交通便捷度</v>
      </c>
      <c r="AA17" s="1535">
        <f t="shared" si="3"/>
        <v>1.0204081632653061</v>
      </c>
      <c r="AB17" s="1535">
        <f t="shared" si="4"/>
        <v>1.0204081632653061</v>
      </c>
      <c r="AC17" s="1535">
        <f t="shared" si="5"/>
        <v>1</v>
      </c>
    </row>
    <row r="18" spans="1:29" ht="15">
      <c r="A18" s="387"/>
      <c r="B18" s="415"/>
      <c r="C18" s="2085" t="s">
        <v>3083</v>
      </c>
      <c r="D18" s="409"/>
      <c r="E18" s="2087" t="s">
        <v>3085</v>
      </c>
      <c r="F18" s="412"/>
      <c r="G18" s="2086" t="s">
        <v>3085</v>
      </c>
      <c r="H18" s="407"/>
      <c r="I18" s="2087" t="s">
        <v>3083</v>
      </c>
      <c r="J18" s="407"/>
      <c r="K18" s="572"/>
      <c r="L18" s="2949"/>
      <c r="M18" s="2943"/>
      <c r="N18" s="2943"/>
      <c r="O18" s="2943"/>
      <c r="P18" s="3288"/>
      <c r="Q18" s="1534"/>
      <c r="R18" s="713"/>
      <c r="S18" s="714"/>
      <c r="T18" s="713"/>
      <c r="U18" s="714"/>
      <c r="V18" s="713"/>
      <c r="W18" s="714"/>
      <c r="X18" s="1537"/>
      <c r="Y18" s="3290"/>
      <c r="Z18" s="1538"/>
      <c r="AA18" s="1535">
        <v>1</v>
      </c>
      <c r="AB18" s="1535">
        <v>1</v>
      </c>
      <c r="AC18" s="1535">
        <v>1</v>
      </c>
    </row>
    <row r="19" spans="1:29" ht="28.5">
      <c r="A19" s="387"/>
      <c r="B19" s="410" t="s">
        <v>2475</v>
      </c>
      <c r="C19" s="2084" t="str">
        <f>估价对象房地状况!C7</f>
        <v>估价对象所在区域公共配套设施齐备情况</v>
      </c>
      <c r="D19" s="414">
        <v>100</v>
      </c>
      <c r="E19" s="416"/>
      <c r="F19" s="417">
        <f>SUMIF(80:80,E20,81:81)-SUMIF(80:80,C20,81:81)+100</f>
        <v>98</v>
      </c>
      <c r="G19" s="418"/>
      <c r="H19" s="409">
        <f>SUMIF(80:80,G20,81:81)-SUMIF(80:80,C20,81:81)+100</f>
        <v>100</v>
      </c>
      <c r="I19" s="416"/>
      <c r="J19" s="409">
        <f>SUMIF(80:80,I20,81:81)-SUMIF(80:80,C20,81:81)+100</f>
        <v>100</v>
      </c>
      <c r="K19" s="571">
        <v>2</v>
      </c>
      <c r="L19" s="2949"/>
      <c r="M19" s="2943"/>
      <c r="N19" s="2943"/>
      <c r="O19" s="2943"/>
      <c r="P19" s="3288"/>
      <c r="Q19" s="1534" t="str">
        <f>B19</f>
        <v>公共配套设施</v>
      </c>
      <c r="R19" s="713" t="s">
        <v>17</v>
      </c>
      <c r="S19" s="714">
        <f>F19</f>
        <v>98</v>
      </c>
      <c r="T19" s="713" t="s">
        <v>17</v>
      </c>
      <c r="U19" s="714">
        <f>H19</f>
        <v>100</v>
      </c>
      <c r="V19" s="713" t="s">
        <v>17</v>
      </c>
      <c r="W19" s="714">
        <f>J19</f>
        <v>100</v>
      </c>
      <c r="X19" s="1537"/>
      <c r="Y19" s="3290"/>
      <c r="Z19" s="1538" t="str">
        <f>Q19</f>
        <v>公共配套设施</v>
      </c>
      <c r="AA19" s="1535">
        <f t="shared" si="3"/>
        <v>1.0204081632653061</v>
      </c>
      <c r="AB19" s="1535">
        <f t="shared" si="4"/>
        <v>1</v>
      </c>
      <c r="AC19" s="1535">
        <f t="shared" si="5"/>
        <v>1</v>
      </c>
    </row>
    <row r="20" spans="1:29" ht="15">
      <c r="A20" s="387"/>
      <c r="B20" s="415"/>
      <c r="C20" s="406" t="s">
        <v>3083</v>
      </c>
      <c r="D20" s="407"/>
      <c r="E20" s="406" t="s">
        <v>3085</v>
      </c>
      <c r="F20" s="408"/>
      <c r="G20" s="406" t="s">
        <v>3083</v>
      </c>
      <c r="H20" s="407"/>
      <c r="I20" s="406" t="s">
        <v>3083</v>
      </c>
      <c r="J20" s="407"/>
      <c r="K20" s="572"/>
      <c r="L20" s="2949"/>
      <c r="M20" s="2943"/>
      <c r="N20" s="2943"/>
      <c r="O20" s="2943"/>
      <c r="P20" s="3288"/>
      <c r="Q20" s="1534"/>
      <c r="R20" s="713"/>
      <c r="S20" s="714"/>
      <c r="T20" s="713"/>
      <c r="U20" s="714"/>
      <c r="V20" s="713"/>
      <c r="W20" s="714"/>
      <c r="X20" s="1537"/>
      <c r="Y20" s="3290"/>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49"/>
      <c r="M21" s="2943"/>
      <c r="N21" s="2943"/>
      <c r="O21" s="2943"/>
      <c r="P21" s="3288"/>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1535">
        <f t="shared" ref="AC21" si="10">D21/J21</f>
        <v>1</v>
      </c>
    </row>
    <row r="22" spans="1:29" ht="15">
      <c r="A22" s="387"/>
      <c r="B22" s="1292"/>
      <c r="C22" s="2085" t="s">
        <v>3245</v>
      </c>
      <c r="D22" s="407"/>
      <c r="E22" s="2085" t="s">
        <v>3245</v>
      </c>
      <c r="F22" s="408"/>
      <c r="G22" s="2085" t="s">
        <v>3245</v>
      </c>
      <c r="H22" s="407"/>
      <c r="I22" s="2085" t="s">
        <v>3245</v>
      </c>
      <c r="J22" s="407"/>
      <c r="K22" s="1291"/>
      <c r="L22" s="2949"/>
      <c r="M22" s="2943"/>
      <c r="N22" s="2943"/>
      <c r="O22" s="2943"/>
      <c r="P22" s="3288"/>
      <c r="Q22" s="1534"/>
      <c r="R22" s="713"/>
      <c r="S22" s="714"/>
      <c r="T22" s="713"/>
      <c r="U22" s="714"/>
      <c r="V22" s="713"/>
      <c r="W22" s="714"/>
      <c r="X22" s="1537"/>
      <c r="Y22" s="3290"/>
      <c r="Z22" s="1538"/>
      <c r="AA22" s="1535">
        <v>1</v>
      </c>
      <c r="AB22" s="1535">
        <v>1</v>
      </c>
      <c r="AC22" s="1535">
        <v>1</v>
      </c>
    </row>
    <row r="23" spans="1:29" ht="42.75">
      <c r="A23" s="387"/>
      <c r="B23" s="410" t="s">
        <v>1947</v>
      </c>
      <c r="C23" s="2139" t="str">
        <f>估价对象房地状况!C9</f>
        <v>区域自然环境：；人文环境；综合评价环境状况一般</v>
      </c>
      <c r="D23" s="409">
        <v>100</v>
      </c>
      <c r="E23" s="411"/>
      <c r="F23" s="412">
        <f>SUMIF(84:84,E24,85:85)-SUMIF(84:84,C24,85:85)+100</f>
        <v>98</v>
      </c>
      <c r="G23" s="413"/>
      <c r="H23" s="409">
        <f>SUMIF(84:84,G24,85:85)-SUMIF(84:84,C24,85:85)+100</f>
        <v>100</v>
      </c>
      <c r="I23" s="411"/>
      <c r="J23" s="409">
        <f>SUMIF(84:84,I24,85:85)-SUMIF(84:84,C24,85:85)+100</f>
        <v>100</v>
      </c>
      <c r="K23" s="571">
        <v>2</v>
      </c>
      <c r="L23" s="2949"/>
      <c r="M23" s="2943"/>
      <c r="N23" s="2943"/>
      <c r="O23" s="2943"/>
      <c r="P23" s="3288"/>
      <c r="Q23" s="1534" t="str">
        <f>B23</f>
        <v>自然及人文环境</v>
      </c>
      <c r="R23" s="713" t="s">
        <v>17</v>
      </c>
      <c r="S23" s="714">
        <f>F23</f>
        <v>98</v>
      </c>
      <c r="T23" s="713" t="s">
        <v>17</v>
      </c>
      <c r="U23" s="714">
        <f>H23</f>
        <v>100</v>
      </c>
      <c r="V23" s="713" t="s">
        <v>17</v>
      </c>
      <c r="W23" s="714">
        <f>J23</f>
        <v>100</v>
      </c>
      <c r="X23" s="1537"/>
      <c r="Y23" s="3290"/>
      <c r="Z23" s="1538" t="str">
        <f>Q23</f>
        <v>自然及人文环境</v>
      </c>
      <c r="AA23" s="1535">
        <f t="shared" si="3"/>
        <v>1.0204081632653061</v>
      </c>
      <c r="AB23" s="1535">
        <f t="shared" si="4"/>
        <v>1</v>
      </c>
      <c r="AC23" s="1535">
        <f t="shared" si="5"/>
        <v>1</v>
      </c>
    </row>
    <row r="24" spans="1:29" ht="15">
      <c r="A24" s="387"/>
      <c r="B24" s="415"/>
      <c r="C24" s="406" t="s">
        <v>3083</v>
      </c>
      <c r="D24" s="407"/>
      <c r="E24" s="2082" t="s">
        <v>3085</v>
      </c>
      <c r="F24" s="408"/>
      <c r="G24" s="2081" t="s">
        <v>3083</v>
      </c>
      <c r="H24" s="407"/>
      <c r="I24" s="2082" t="s">
        <v>3083</v>
      </c>
      <c r="J24" s="407"/>
      <c r="K24" s="572"/>
      <c r="L24" s="2949"/>
      <c r="M24" s="2943"/>
      <c r="N24" s="2943"/>
      <c r="O24" s="2943"/>
      <c r="P24" s="3288"/>
      <c r="Q24" s="1534"/>
      <c r="R24" s="713"/>
      <c r="S24" s="714"/>
      <c r="T24" s="713"/>
      <c r="U24" s="714"/>
      <c r="V24" s="713"/>
      <c r="W24" s="714"/>
      <c r="X24" s="1537"/>
      <c r="Y24" s="3290"/>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88"/>
      <c r="Q25" s="1534" t="str">
        <f t="shared" ref="Q25:Q46" si="11">B25</f>
        <v>临街状况</v>
      </c>
      <c r="R25" s="713" t="s">
        <v>17</v>
      </c>
      <c r="S25" s="714">
        <f>F25</f>
        <v>100</v>
      </c>
      <c r="T25" s="713" t="s">
        <v>17</v>
      </c>
      <c r="U25" s="714">
        <f>H25</f>
        <v>100</v>
      </c>
      <c r="V25" s="713" t="s">
        <v>17</v>
      </c>
      <c r="W25" s="714">
        <f>J25</f>
        <v>100</v>
      </c>
      <c r="X25" s="1537"/>
      <c r="Y25" s="3290"/>
      <c r="Z25" s="1538" t="str">
        <f>Q25</f>
        <v>临街状况</v>
      </c>
      <c r="AA25" s="1535">
        <f t="shared" si="3"/>
        <v>1</v>
      </c>
      <c r="AB25" s="1535">
        <f t="shared" si="4"/>
        <v>1</v>
      </c>
      <c r="AC25" s="1535">
        <f t="shared" si="5"/>
        <v>1</v>
      </c>
    </row>
    <row r="26" spans="1:29" ht="15">
      <c r="A26" s="387"/>
      <c r="B26" s="1294" t="s">
        <v>2478</v>
      </c>
      <c r="C26" s="3085" t="s">
        <v>3284</v>
      </c>
      <c r="D26" s="394">
        <v>100</v>
      </c>
      <c r="E26" s="3085" t="s">
        <v>3281</v>
      </c>
      <c r="F26" s="420">
        <f>SUMIF(88:88,E26,89:89)-SUMIF(88:88,C26,89:89)+100</f>
        <v>115</v>
      </c>
      <c r="G26" s="3085" t="s">
        <v>3281</v>
      </c>
      <c r="H26" s="394">
        <f>SUMIF(88:88,G26,89:89)-SUMIF(88:88,C26,89:89)+100</f>
        <v>115</v>
      </c>
      <c r="I26" s="3085" t="s">
        <v>3281</v>
      </c>
      <c r="J26" s="394">
        <f>SUMIF(88:88,I26,89:89)-SUMIF(88:88,C26,89:89)+100</f>
        <v>115</v>
      </c>
      <c r="K26" s="570"/>
      <c r="L26" s="2949"/>
      <c r="M26" s="2943"/>
      <c r="N26" s="2943"/>
      <c r="O26" s="2943"/>
      <c r="P26" s="3288"/>
      <c r="Q26" s="1534" t="str">
        <f t="shared" si="11"/>
        <v>平面位置/可视性</v>
      </c>
      <c r="R26" s="713" t="s">
        <v>17</v>
      </c>
      <c r="S26" s="714">
        <f>F26</f>
        <v>115</v>
      </c>
      <c r="T26" s="713" t="s">
        <v>17</v>
      </c>
      <c r="U26" s="714">
        <f>H26</f>
        <v>115</v>
      </c>
      <c r="V26" s="713" t="s">
        <v>17</v>
      </c>
      <c r="W26" s="714">
        <f>J26</f>
        <v>115</v>
      </c>
      <c r="X26" s="1537"/>
      <c r="Y26" s="3290"/>
      <c r="Z26" s="1538" t="str">
        <f>Q26</f>
        <v>平面位置/可视性</v>
      </c>
      <c r="AA26" s="1535">
        <f t="shared" si="3"/>
        <v>0.86956521739130432</v>
      </c>
      <c r="AB26" s="1535">
        <f t="shared" si="4"/>
        <v>0.86956521739130432</v>
      </c>
      <c r="AC26" s="1535">
        <f t="shared" si="5"/>
        <v>0.86956521739130432</v>
      </c>
    </row>
    <row r="27" spans="1:29" s="113" customFormat="1" ht="15">
      <c r="A27" s="390"/>
      <c r="B27" s="410" t="s">
        <v>2479</v>
      </c>
      <c r="C27" s="2140" t="s">
        <v>3263</v>
      </c>
      <c r="D27" s="421">
        <v>100</v>
      </c>
      <c r="E27" s="2140" t="s">
        <v>3085</v>
      </c>
      <c r="F27" s="423">
        <f>SUMIF(90:90,E27,91:91)-SUMIF(90:90,C27,91:91)+100</f>
        <v>95</v>
      </c>
      <c r="G27" s="2140" t="s">
        <v>3263</v>
      </c>
      <c r="H27" s="421">
        <f>SUMIF(90:90,G27,91:91)-SUMIF(90:90,C27,91:91)+100</f>
        <v>100</v>
      </c>
      <c r="I27" s="2140" t="s">
        <v>3263</v>
      </c>
      <c r="J27" s="421">
        <f>SUMIF(90:90,I27,91:91)-SUMIF(90:90,C27,91:91)+100</f>
        <v>100</v>
      </c>
      <c r="K27" s="569">
        <v>5</v>
      </c>
      <c r="L27" s="2944"/>
      <c r="M27" s="2945"/>
      <c r="N27" s="2945"/>
      <c r="O27" s="2945"/>
      <c r="P27" s="3288"/>
      <c r="Q27" s="1525" t="str">
        <f t="shared" si="11"/>
        <v>人流量</v>
      </c>
      <c r="R27" s="709" t="s">
        <v>17</v>
      </c>
      <c r="S27" s="710">
        <f>F27</f>
        <v>95</v>
      </c>
      <c r="T27" s="709" t="s">
        <v>17</v>
      </c>
      <c r="U27" s="710">
        <f>H27</f>
        <v>100</v>
      </c>
      <c r="V27" s="709" t="s">
        <v>17</v>
      </c>
      <c r="W27" s="710">
        <f>J27</f>
        <v>100</v>
      </c>
      <c r="X27" s="711"/>
      <c r="Y27" s="3290"/>
      <c r="Z27" s="55" t="str">
        <f>Q27</f>
        <v>人流量</v>
      </c>
      <c r="AA27" s="1535">
        <f>D27/F27</f>
        <v>1.0526315789473684</v>
      </c>
      <c r="AB27" s="1535">
        <f>D27/H27</f>
        <v>1</v>
      </c>
      <c r="AC27" s="1535">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288"/>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90"/>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88"/>
      <c r="Q29" s="1534">
        <f t="shared" si="11"/>
        <v>111</v>
      </c>
      <c r="R29" s="713" t="s">
        <v>17</v>
      </c>
      <c r="S29" s="714">
        <f t="shared" si="12"/>
        <v>100</v>
      </c>
      <c r="T29" s="713" t="s">
        <v>17</v>
      </c>
      <c r="U29" s="714">
        <f t="shared" si="13"/>
        <v>100</v>
      </c>
      <c r="V29" s="713" t="s">
        <v>17</v>
      </c>
      <c r="W29" s="714">
        <f t="shared" si="14"/>
        <v>100</v>
      </c>
      <c r="X29" s="1537"/>
      <c r="Y29" s="3290"/>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88"/>
      <c r="Q30" s="1534">
        <f t="shared" si="11"/>
        <v>111</v>
      </c>
      <c r="R30" s="713" t="s">
        <v>17</v>
      </c>
      <c r="S30" s="714">
        <f t="shared" si="12"/>
        <v>100</v>
      </c>
      <c r="T30" s="713" t="s">
        <v>17</v>
      </c>
      <c r="U30" s="714">
        <f t="shared" si="13"/>
        <v>100</v>
      </c>
      <c r="V30" s="713" t="s">
        <v>17</v>
      </c>
      <c r="W30" s="714">
        <f t="shared" si="14"/>
        <v>100</v>
      </c>
      <c r="X30" s="1537"/>
      <c r="Y30" s="3290"/>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88"/>
      <c r="Q31" s="1534">
        <f t="shared" si="11"/>
        <v>111</v>
      </c>
      <c r="R31" s="713" t="s">
        <v>17</v>
      </c>
      <c r="S31" s="714">
        <f t="shared" si="12"/>
        <v>100</v>
      </c>
      <c r="T31" s="713" t="s">
        <v>17</v>
      </c>
      <c r="U31" s="714">
        <f t="shared" si="13"/>
        <v>100</v>
      </c>
      <c r="V31" s="713" t="s">
        <v>17</v>
      </c>
      <c r="W31" s="714">
        <f t="shared" si="14"/>
        <v>100</v>
      </c>
      <c r="X31" s="1537"/>
      <c r="Y31" s="3290"/>
      <c r="Z31" s="1538">
        <f t="shared" si="15"/>
        <v>111</v>
      </c>
      <c r="AA31" s="1535">
        <f t="shared" si="3"/>
        <v>1</v>
      </c>
      <c r="AB31" s="1535">
        <f t="shared" si="4"/>
        <v>1</v>
      </c>
      <c r="AC31" s="1535">
        <f t="shared" si="5"/>
        <v>1</v>
      </c>
    </row>
    <row r="32" spans="1:29" ht="15">
      <c r="A32" s="399" t="s">
        <v>2384</v>
      </c>
      <c r="B32" s="67" t="s">
        <v>2481</v>
      </c>
      <c r="C32" s="2094" t="s">
        <v>3273</v>
      </c>
      <c r="D32" s="426">
        <v>100</v>
      </c>
      <c r="E32" s="2094" t="s">
        <v>3277</v>
      </c>
      <c r="F32" s="420">
        <f>SUMIF(100:100,E32,101:101)-SUMIF(100:100,C32,101:101)+100</f>
        <v>98</v>
      </c>
      <c r="G32" s="2094" t="s">
        <v>3277</v>
      </c>
      <c r="H32" s="394">
        <f>SUMIF(100:100,G32,101:101)-SUMIF(100:100,C32,101:101)+100</f>
        <v>98</v>
      </c>
      <c r="I32" s="2094" t="s">
        <v>3277</v>
      </c>
      <c r="J32" s="426">
        <f>SUMIF(100:100,I32,101:101)-SUMIF(100:100,C32,101:101)+100</f>
        <v>98</v>
      </c>
      <c r="K32" s="569">
        <v>1</v>
      </c>
      <c r="L32" s="2949"/>
      <c r="M32" s="2943"/>
      <c r="N32" s="2943"/>
      <c r="O32" s="2943"/>
      <c r="P32" s="3291" t="s">
        <v>2386</v>
      </c>
      <c r="Q32" s="1534" t="str">
        <f t="shared" si="11"/>
        <v>商业类型</v>
      </c>
      <c r="R32" s="713" t="s">
        <v>17</v>
      </c>
      <c r="S32" s="714">
        <f t="shared" si="12"/>
        <v>98</v>
      </c>
      <c r="T32" s="713" t="s">
        <v>17</v>
      </c>
      <c r="U32" s="714">
        <f t="shared" si="13"/>
        <v>98</v>
      </c>
      <c r="V32" s="713" t="s">
        <v>17</v>
      </c>
      <c r="W32" s="714">
        <f t="shared" si="14"/>
        <v>98</v>
      </c>
      <c r="X32" s="1537"/>
      <c r="Y32" s="3294" t="s">
        <v>2386</v>
      </c>
      <c r="Z32" s="1538" t="str">
        <f t="shared" si="15"/>
        <v>商业类型</v>
      </c>
      <c r="AA32" s="1535">
        <f t="shared" si="3"/>
        <v>1.0204081632653061</v>
      </c>
      <c r="AB32" s="1535">
        <f t="shared" si="4"/>
        <v>1.0204081632653061</v>
      </c>
      <c r="AC32" s="1535">
        <f t="shared" si="5"/>
        <v>1.0204081632653061</v>
      </c>
    </row>
    <row r="33" spans="1:29" s="430" customFormat="1" ht="15">
      <c r="A33" s="427"/>
      <c r="B33" s="381" t="s">
        <v>2387</v>
      </c>
      <c r="C33" s="428">
        <f>Sheet1!G12</f>
        <v>15347.3</v>
      </c>
      <c r="D33" s="132">
        <v>100</v>
      </c>
      <c r="E33" s="389">
        <v>44</v>
      </c>
      <c r="F33" s="384">
        <f>LOOKUP(E33,103:103,104:104)-LOOKUP(C33,103:103,104:104)+100</f>
        <v>102.5</v>
      </c>
      <c r="G33" s="388">
        <v>142</v>
      </c>
      <c r="H33" s="132">
        <f>LOOKUP(G33,103:103,104:104)-LOOKUP(C33,103:103,104:104)+100</f>
        <v>102</v>
      </c>
      <c r="I33" s="388">
        <v>249</v>
      </c>
      <c r="J33" s="132">
        <f>LOOKUP(I33,103:103,104:104)-LOOKUP(C33,103:103,104:104)+100</f>
        <v>102</v>
      </c>
      <c r="K33" s="570"/>
      <c r="L33" s="2948"/>
      <c r="M33" s="2950"/>
      <c r="N33" s="2950"/>
      <c r="O33" s="2950"/>
      <c r="P33" s="3292"/>
      <c r="Q33" s="715" t="str">
        <f t="shared" si="11"/>
        <v>项目建筑规模</v>
      </c>
      <c r="R33" s="716" t="s">
        <v>17</v>
      </c>
      <c r="S33" s="717">
        <f t="shared" si="12"/>
        <v>102.5</v>
      </c>
      <c r="T33" s="716" t="s">
        <v>17</v>
      </c>
      <c r="U33" s="717">
        <f t="shared" si="13"/>
        <v>102</v>
      </c>
      <c r="V33" s="716" t="s">
        <v>17</v>
      </c>
      <c r="W33" s="717">
        <f t="shared" si="14"/>
        <v>102</v>
      </c>
      <c r="X33" s="718"/>
      <c r="Y33" s="3294"/>
      <c r="Z33" s="719" t="str">
        <f t="shared" si="15"/>
        <v>项目建筑规模</v>
      </c>
      <c r="AA33" s="1535">
        <f t="shared" si="3"/>
        <v>0.97560975609756095</v>
      </c>
      <c r="AB33" s="1535">
        <f t="shared" si="4"/>
        <v>0.98039215686274506</v>
      </c>
      <c r="AC33" s="1535">
        <f t="shared" si="5"/>
        <v>0.98039215686274506</v>
      </c>
    </row>
    <row r="34" spans="1:29" ht="15">
      <c r="A34" s="431"/>
      <c r="B34" s="381" t="s">
        <v>2388</v>
      </c>
      <c r="C34" s="2096" t="s">
        <v>3076</v>
      </c>
      <c r="D34" s="394">
        <v>100</v>
      </c>
      <c r="E34" s="2096" t="s">
        <v>3076</v>
      </c>
      <c r="F34" s="420">
        <f>SUMIF(105:105,E34,106:106)-SUMIF(105:105,C34,106:106)+100</f>
        <v>100</v>
      </c>
      <c r="G34" s="2096" t="s">
        <v>3076</v>
      </c>
      <c r="H34" s="394">
        <f>SUMIF(105:105,G34,106:106)-SUMIF(105:105,C34,106:106)+100</f>
        <v>100</v>
      </c>
      <c r="I34" s="2096" t="s">
        <v>3076</v>
      </c>
      <c r="J34" s="394">
        <f>SUMIF(105:105,I34,106:106)-SUMIF(105:105,C34,106:106)+100</f>
        <v>100</v>
      </c>
      <c r="K34" s="569">
        <v>2</v>
      </c>
      <c r="L34" s="2949"/>
      <c r="M34" s="2943"/>
      <c r="N34" s="2943"/>
      <c r="O34" s="2943"/>
      <c r="P34" s="3292"/>
      <c r="Q34" s="1534" t="str">
        <f t="shared" si="11"/>
        <v>建筑结构</v>
      </c>
      <c r="R34" s="713" t="s">
        <v>17</v>
      </c>
      <c r="S34" s="714">
        <f t="shared" si="12"/>
        <v>100</v>
      </c>
      <c r="T34" s="713" t="s">
        <v>17</v>
      </c>
      <c r="U34" s="714">
        <f t="shared" si="13"/>
        <v>100</v>
      </c>
      <c r="V34" s="713" t="s">
        <v>17</v>
      </c>
      <c r="W34" s="714">
        <f t="shared" si="14"/>
        <v>100</v>
      </c>
      <c r="X34" s="1537"/>
      <c r="Y34" s="3294"/>
      <c r="Z34" s="1538" t="str">
        <f t="shared" si="15"/>
        <v>建筑结构</v>
      </c>
      <c r="AA34" s="1535">
        <f t="shared" si="3"/>
        <v>1</v>
      </c>
      <c r="AB34" s="1535">
        <f t="shared" si="4"/>
        <v>1</v>
      </c>
      <c r="AC34" s="1535">
        <f t="shared" si="5"/>
        <v>1</v>
      </c>
    </row>
    <row r="35" spans="1:29" ht="15">
      <c r="A35" s="431"/>
      <c r="B35" s="381" t="s">
        <v>2482</v>
      </c>
      <c r="C35" s="2090" t="s">
        <v>3089</v>
      </c>
      <c r="D35" s="394">
        <v>100</v>
      </c>
      <c r="E35" s="2090" t="s">
        <v>3089</v>
      </c>
      <c r="F35" s="420">
        <f>SUMIF(107:107,E35,108:108)-SUMIF(107:107,C35,108:108)+100</f>
        <v>100</v>
      </c>
      <c r="G35" s="2090" t="s">
        <v>3089</v>
      </c>
      <c r="H35" s="394">
        <f>SUMIF(107:107,G35,108:108)-SUMIF(107:107,C35,108:108)+100</f>
        <v>100</v>
      </c>
      <c r="I35" s="2090" t="s">
        <v>3089</v>
      </c>
      <c r="J35" s="394">
        <f>SUMIF(107:107,I35,108:108)-SUMIF(107:107,C35,108:108)+100</f>
        <v>100</v>
      </c>
      <c r="K35" s="569">
        <v>2</v>
      </c>
      <c r="L35" s="2949"/>
      <c r="M35" s="2943"/>
      <c r="N35" s="2943"/>
      <c r="O35" s="2943"/>
      <c r="P35" s="3292"/>
      <c r="Q35" s="1534" t="str">
        <f t="shared" si="11"/>
        <v>公共部分装修</v>
      </c>
      <c r="R35" s="713" t="s">
        <v>17</v>
      </c>
      <c r="S35" s="714">
        <f t="shared" si="12"/>
        <v>100</v>
      </c>
      <c r="T35" s="713" t="s">
        <v>17</v>
      </c>
      <c r="U35" s="714">
        <f t="shared" si="13"/>
        <v>100</v>
      </c>
      <c r="V35" s="713" t="s">
        <v>17</v>
      </c>
      <c r="W35" s="714">
        <f t="shared" si="14"/>
        <v>100</v>
      </c>
      <c r="X35" s="1537"/>
      <c r="Y35" s="3294"/>
      <c r="Z35" s="1538" t="str">
        <f t="shared" si="15"/>
        <v>公共部分装修</v>
      </c>
      <c r="AA35" s="1535">
        <f t="shared" si="3"/>
        <v>1</v>
      </c>
      <c r="AB35" s="1535">
        <f t="shared" si="4"/>
        <v>1</v>
      </c>
      <c r="AC35" s="1535">
        <f t="shared" si="5"/>
        <v>1</v>
      </c>
    </row>
    <row r="36" spans="1:29" ht="15">
      <c r="A36" s="431"/>
      <c r="B36" s="381" t="s">
        <v>2483</v>
      </c>
      <c r="C36" s="433">
        <f>'数据-取费表'!N6</f>
        <v>0.81</v>
      </c>
      <c r="D36" s="394">
        <v>100</v>
      </c>
      <c r="E36" s="433">
        <v>1</v>
      </c>
      <c r="F36" s="420">
        <f>LOOKUP(E36,110:110,111:111)-LOOKUP(C36,110:110,111:111)+100</f>
        <v>102</v>
      </c>
      <c r="G36" s="433">
        <v>1</v>
      </c>
      <c r="H36" s="420">
        <f>LOOKUP(G36,110:110,111:111)-LOOKUP(C36,110:110,111:111)+100</f>
        <v>102</v>
      </c>
      <c r="I36" s="433">
        <v>1</v>
      </c>
      <c r="J36" s="394">
        <f>LOOKUP(I36,110:110,111:111)-LOOKUP(C36,110:110,111:111)+100</f>
        <v>102</v>
      </c>
      <c r="K36" s="569">
        <v>2</v>
      </c>
      <c r="L36" s="2949"/>
      <c r="M36" s="2943"/>
      <c r="N36" s="2943"/>
      <c r="O36" s="2943"/>
      <c r="P36" s="3292"/>
      <c r="Q36" s="1534" t="str">
        <f t="shared" si="11"/>
        <v>成新度</v>
      </c>
      <c r="R36" s="713" t="s">
        <v>17</v>
      </c>
      <c r="S36" s="714">
        <f t="shared" si="12"/>
        <v>102</v>
      </c>
      <c r="T36" s="713" t="s">
        <v>17</v>
      </c>
      <c r="U36" s="714">
        <f t="shared" si="13"/>
        <v>102</v>
      </c>
      <c r="V36" s="713" t="s">
        <v>17</v>
      </c>
      <c r="W36" s="714">
        <f t="shared" si="14"/>
        <v>102</v>
      </c>
      <c r="X36" s="1537"/>
      <c r="Y36" s="3294"/>
      <c r="Z36" s="1538" t="str">
        <f t="shared" si="15"/>
        <v>成新度</v>
      </c>
      <c r="AA36" s="1535">
        <f t="shared" si="3"/>
        <v>0.98039215686274506</v>
      </c>
      <c r="AB36" s="1535">
        <f t="shared" si="4"/>
        <v>0.98039215686274506</v>
      </c>
      <c r="AC36" s="1535">
        <f t="shared" si="5"/>
        <v>0.98039215686274506</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292"/>
      <c r="Q37" s="1525" t="str">
        <f t="shared" si="11"/>
        <v>市政基础设施</v>
      </c>
      <c r="R37" s="709" t="s">
        <v>17</v>
      </c>
      <c r="S37" s="710">
        <f t="shared" si="12"/>
        <v>100</v>
      </c>
      <c r="T37" s="709" t="s">
        <v>17</v>
      </c>
      <c r="U37" s="710">
        <f t="shared" si="13"/>
        <v>100</v>
      </c>
      <c r="V37" s="709" t="s">
        <v>17</v>
      </c>
      <c r="W37" s="710">
        <f t="shared" si="14"/>
        <v>100</v>
      </c>
      <c r="X37" s="711"/>
      <c r="Y37" s="3294"/>
      <c r="Z37" s="55" t="str">
        <f t="shared" si="15"/>
        <v>市政基础设施</v>
      </c>
      <c r="AA37" s="712">
        <f t="shared" si="3"/>
        <v>1</v>
      </c>
      <c r="AB37" s="712">
        <f t="shared" si="4"/>
        <v>1</v>
      </c>
      <c r="AC37" s="712">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v>5</v>
      </c>
      <c r="L38" s="2949"/>
      <c r="M38" s="2943"/>
      <c r="N38" s="2943"/>
      <c r="O38" s="2943"/>
      <c r="P38" s="3292" t="s">
        <v>2386</v>
      </c>
      <c r="Q38" s="1534" t="str">
        <f t="shared" si="11"/>
        <v>业态</v>
      </c>
      <c r="R38" s="713" t="s">
        <v>17</v>
      </c>
      <c r="S38" s="714">
        <f t="shared" si="12"/>
        <v>100</v>
      </c>
      <c r="T38" s="713" t="s">
        <v>17</v>
      </c>
      <c r="U38" s="714">
        <f t="shared" si="13"/>
        <v>100</v>
      </c>
      <c r="V38" s="713" t="s">
        <v>17</v>
      </c>
      <c r="W38" s="714">
        <f t="shared" si="14"/>
        <v>100</v>
      </c>
      <c r="X38" s="1537"/>
      <c r="Y38" s="3294" t="s">
        <v>2386</v>
      </c>
      <c r="Z38" s="1538" t="str">
        <f t="shared" si="15"/>
        <v>业态</v>
      </c>
      <c r="AA38" s="1535">
        <f t="shared" si="3"/>
        <v>1</v>
      </c>
      <c r="AB38" s="1535">
        <f t="shared" si="4"/>
        <v>1</v>
      </c>
      <c r="AC38" s="1535">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v>10</v>
      </c>
      <c r="L39" s="2949"/>
      <c r="M39" s="2943"/>
      <c r="N39" s="2943"/>
      <c r="O39" s="2943"/>
      <c r="P39" s="3292"/>
      <c r="Q39" s="1534" t="str">
        <f t="shared" si="11"/>
        <v>层高</v>
      </c>
      <c r="R39" s="713" t="s">
        <v>17</v>
      </c>
      <c r="S39" s="714">
        <f t="shared" si="12"/>
        <v>100</v>
      </c>
      <c r="T39" s="713" t="s">
        <v>17</v>
      </c>
      <c r="U39" s="714">
        <f t="shared" si="13"/>
        <v>100</v>
      </c>
      <c r="V39" s="713" t="s">
        <v>17</v>
      </c>
      <c r="W39" s="714">
        <f t="shared" si="14"/>
        <v>100</v>
      </c>
      <c r="X39" s="1537"/>
      <c r="Y39" s="3294"/>
      <c r="Z39" s="1538" t="str">
        <f t="shared" si="15"/>
        <v>层高</v>
      </c>
      <c r="AA39" s="1535">
        <f t="shared" si="3"/>
        <v>1</v>
      </c>
      <c r="AB39" s="1535">
        <f t="shared" si="4"/>
        <v>1</v>
      </c>
      <c r="AC39" s="1535">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92"/>
      <c r="Q40" s="1534" t="str">
        <f t="shared" si="11"/>
        <v>单套建筑面积</v>
      </c>
      <c r="R40" s="713" t="s">
        <v>17</v>
      </c>
      <c r="S40" s="714">
        <f t="shared" si="12"/>
        <v>100</v>
      </c>
      <c r="T40" s="713" t="s">
        <v>17</v>
      </c>
      <c r="U40" s="714">
        <f t="shared" si="13"/>
        <v>100</v>
      </c>
      <c r="V40" s="713" t="s">
        <v>17</v>
      </c>
      <c r="W40" s="714">
        <f t="shared" si="14"/>
        <v>100</v>
      </c>
      <c r="X40" s="1537"/>
      <c r="Y40" s="3294"/>
      <c r="Z40" s="1538" t="str">
        <f t="shared" si="15"/>
        <v>单套建筑面积</v>
      </c>
      <c r="AA40" s="1535">
        <f t="shared" si="3"/>
        <v>1</v>
      </c>
      <c r="AB40" s="1535">
        <f t="shared" si="4"/>
        <v>1</v>
      </c>
      <c r="AC40" s="1535">
        <f t="shared" si="5"/>
        <v>1</v>
      </c>
    </row>
    <row r="41" spans="1:29" s="430" customFormat="1" ht="15">
      <c r="A41" s="427"/>
      <c r="B41" s="1536" t="s">
        <v>2488</v>
      </c>
      <c r="C41" s="573" t="s">
        <v>3117</v>
      </c>
      <c r="D41" s="394">
        <v>100</v>
      </c>
      <c r="E41" s="573" t="s">
        <v>3083</v>
      </c>
      <c r="F41" s="420">
        <f>SUMIF(120:120,E41,121:121)-SUMIF(120:120,C41,121:121)+100</f>
        <v>120</v>
      </c>
      <c r="G41" s="573" t="s">
        <v>3083</v>
      </c>
      <c r="H41" s="394">
        <f>SUMIF(120:120,G41,121:121)-SUMIF(120:120,C41,121:121)+100</f>
        <v>120</v>
      </c>
      <c r="I41" s="573" t="s">
        <v>3083</v>
      </c>
      <c r="J41" s="394">
        <f>SUMIF(120:120,I41,121:121)-SUMIF(120:120,C41,121:121)+100</f>
        <v>120</v>
      </c>
      <c r="K41" s="569">
        <v>10</v>
      </c>
      <c r="L41" s="2948"/>
      <c r="M41" s="2950"/>
      <c r="N41" s="2950"/>
      <c r="O41" s="2950"/>
      <c r="P41" s="3292"/>
      <c r="Q41" s="715" t="str">
        <f t="shared" si="11"/>
        <v>进深比</v>
      </c>
      <c r="R41" s="716" t="s">
        <v>17</v>
      </c>
      <c r="S41" s="717">
        <f t="shared" si="12"/>
        <v>120</v>
      </c>
      <c r="T41" s="716" t="s">
        <v>17</v>
      </c>
      <c r="U41" s="717">
        <f t="shared" si="13"/>
        <v>120</v>
      </c>
      <c r="V41" s="716" t="s">
        <v>17</v>
      </c>
      <c r="W41" s="717">
        <f t="shared" si="14"/>
        <v>120</v>
      </c>
      <c r="X41" s="718"/>
      <c r="Y41" s="3294"/>
      <c r="Z41" s="719" t="str">
        <f t="shared" si="15"/>
        <v>进深比</v>
      </c>
      <c r="AA41" s="1535">
        <f t="shared" si="3"/>
        <v>0.83333333333333337</v>
      </c>
      <c r="AB41" s="1535">
        <f t="shared" si="4"/>
        <v>0.83333333333333337</v>
      </c>
      <c r="AC41" s="1535">
        <f t="shared" si="5"/>
        <v>0.83333333333333337</v>
      </c>
    </row>
    <row r="42" spans="1:29" ht="15">
      <c r="A42" s="431"/>
      <c r="B42" s="381" t="s">
        <v>2489</v>
      </c>
      <c r="C42" s="2090" t="s">
        <v>3268</v>
      </c>
      <c r="D42" s="394">
        <v>100</v>
      </c>
      <c r="E42" s="2090" t="s">
        <v>3102</v>
      </c>
      <c r="F42" s="420">
        <f>SUMIF(122:122,E42,123:123)-SUMIF(122:122,C42,123:123)+100</f>
        <v>99</v>
      </c>
      <c r="G42" s="2090" t="s">
        <v>3102</v>
      </c>
      <c r="H42" s="394">
        <f>SUMIF(122:122,G42,123:123)-SUMIF(122:122,C42,123:123)+100</f>
        <v>99</v>
      </c>
      <c r="I42" s="2090" t="s">
        <v>3102</v>
      </c>
      <c r="J42" s="394">
        <f>SUMIF(122:122,I42,123:123)-SUMIF(122:122,C42,123:123)+100</f>
        <v>99</v>
      </c>
      <c r="K42" s="569">
        <v>1</v>
      </c>
      <c r="L42" s="2949"/>
      <c r="M42" s="2943"/>
      <c r="N42" s="2943"/>
      <c r="O42" s="2943"/>
      <c r="P42" s="3292"/>
      <c r="Q42" s="1534" t="str">
        <f t="shared" si="11"/>
        <v>内部装修</v>
      </c>
      <c r="R42" s="713" t="s">
        <v>17</v>
      </c>
      <c r="S42" s="714">
        <f t="shared" si="12"/>
        <v>99</v>
      </c>
      <c r="T42" s="713" t="s">
        <v>17</v>
      </c>
      <c r="U42" s="714">
        <f t="shared" si="13"/>
        <v>99</v>
      </c>
      <c r="V42" s="713" t="s">
        <v>17</v>
      </c>
      <c r="W42" s="714">
        <f t="shared" si="14"/>
        <v>99</v>
      </c>
      <c r="X42" s="1537"/>
      <c r="Y42" s="3294"/>
      <c r="Z42" s="1538" t="str">
        <f t="shared" si="15"/>
        <v>内部装修</v>
      </c>
      <c r="AA42" s="1535">
        <f t="shared" si="3"/>
        <v>1.0101010101010102</v>
      </c>
      <c r="AB42" s="1535">
        <f t="shared" si="4"/>
        <v>1.0101010101010102</v>
      </c>
      <c r="AC42" s="1535">
        <f t="shared" si="5"/>
        <v>1.0101010101010102</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292"/>
      <c r="Q43" s="1534" t="str">
        <f t="shared" si="11"/>
        <v>内部装修维护情况</v>
      </c>
      <c r="R43" s="713" t="s">
        <v>17</v>
      </c>
      <c r="S43" s="714">
        <f t="shared" si="12"/>
        <v>100</v>
      </c>
      <c r="T43" s="713" t="s">
        <v>17</v>
      </c>
      <c r="U43" s="714">
        <f t="shared" si="13"/>
        <v>100</v>
      </c>
      <c r="V43" s="713" t="s">
        <v>17</v>
      </c>
      <c r="W43" s="714">
        <f t="shared" si="14"/>
        <v>100</v>
      </c>
      <c r="X43" s="1537"/>
      <c r="Y43" s="3294"/>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92"/>
      <c r="Q44" s="1525">
        <f t="shared" si="11"/>
        <v>111</v>
      </c>
      <c r="R44" s="709" t="s">
        <v>17</v>
      </c>
      <c r="S44" s="710">
        <f t="shared" si="12"/>
        <v>100</v>
      </c>
      <c r="T44" s="709" t="s">
        <v>17</v>
      </c>
      <c r="U44" s="710">
        <f t="shared" si="13"/>
        <v>100</v>
      </c>
      <c r="V44" s="709" t="s">
        <v>17</v>
      </c>
      <c r="W44" s="710">
        <f t="shared" si="14"/>
        <v>100</v>
      </c>
      <c r="X44" s="711"/>
      <c r="Y44" s="3294"/>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92"/>
      <c r="Q45" s="1534">
        <f t="shared" si="11"/>
        <v>111</v>
      </c>
      <c r="R45" s="713" t="s">
        <v>17</v>
      </c>
      <c r="S45" s="714">
        <f t="shared" si="12"/>
        <v>100</v>
      </c>
      <c r="T45" s="713" t="s">
        <v>17</v>
      </c>
      <c r="U45" s="714">
        <f t="shared" si="13"/>
        <v>100</v>
      </c>
      <c r="V45" s="713" t="s">
        <v>17</v>
      </c>
      <c r="W45" s="714">
        <f t="shared" si="14"/>
        <v>100</v>
      </c>
      <c r="X45" s="1537"/>
      <c r="Y45" s="3294"/>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93"/>
      <c r="Q46" s="1534">
        <f t="shared" si="11"/>
        <v>111</v>
      </c>
      <c r="R46" s="713" t="s">
        <v>17</v>
      </c>
      <c r="S46" s="714">
        <f t="shared" si="12"/>
        <v>100</v>
      </c>
      <c r="T46" s="713" t="s">
        <v>17</v>
      </c>
      <c r="U46" s="714">
        <f t="shared" si="13"/>
        <v>100</v>
      </c>
      <c r="V46" s="713" t="s">
        <v>17</v>
      </c>
      <c r="W46" s="714">
        <f t="shared" si="14"/>
        <v>100</v>
      </c>
      <c r="X46" s="1537"/>
      <c r="Y46" s="3295"/>
      <c r="Z46" s="1538">
        <f t="shared" si="15"/>
        <v>111</v>
      </c>
      <c r="AA46" s="1535">
        <f t="shared" si="3"/>
        <v>1</v>
      </c>
      <c r="AB46" s="1535">
        <f t="shared" si="4"/>
        <v>1</v>
      </c>
      <c r="AC46" s="1535">
        <f t="shared" si="5"/>
        <v>1</v>
      </c>
    </row>
    <row r="47" spans="1:29" ht="15">
      <c r="A47" s="438" t="s">
        <v>2398</v>
      </c>
      <c r="B47" s="439"/>
      <c r="C47" s="1315" t="s">
        <v>1</v>
      </c>
      <c r="D47" s="1316"/>
      <c r="E47" s="1317">
        <v>18000</v>
      </c>
      <c r="F47" s="1318"/>
      <c r="G47" s="1319">
        <v>24426</v>
      </c>
      <c r="H47" s="1320"/>
      <c r="I47" s="1317">
        <v>24270</v>
      </c>
      <c r="J47" s="1320"/>
      <c r="K47" s="722"/>
      <c r="L47" s="2951"/>
      <c r="M47" s="2952"/>
      <c r="N47" s="2943"/>
      <c r="O47" s="2952"/>
      <c r="P47" s="3282" t="str">
        <f>A47</f>
        <v>成交单价（元/平方米）</v>
      </c>
      <c r="Q47" s="3282"/>
      <c r="R47" s="3316">
        <f>E47</f>
        <v>18000</v>
      </c>
      <c r="S47" s="3316"/>
      <c r="T47" s="3316">
        <f>G47</f>
        <v>24426</v>
      </c>
      <c r="U47" s="3316"/>
      <c r="V47" s="3316">
        <f>I47</f>
        <v>24270</v>
      </c>
      <c r="W47" s="3316"/>
      <c r="X47" s="698"/>
      <c r="Y47" s="720"/>
      <c r="Z47" s="698"/>
      <c r="AA47" s="698"/>
      <c r="AB47" s="698"/>
      <c r="AC47" s="698"/>
    </row>
    <row r="48" spans="1:29" ht="15.75" thickBot="1">
      <c r="A48" s="445" t="s">
        <v>2490</v>
      </c>
      <c r="B48" s="446"/>
      <c r="C48" s="1321">
        <f>R49</f>
        <v>14490</v>
      </c>
      <c r="D48" s="2536" t="s">
        <v>2879</v>
      </c>
      <c r="E48" s="1322">
        <f>R48</f>
        <v>12761</v>
      </c>
      <c r="F48" s="2537"/>
      <c r="G48" s="1321">
        <f>T48</f>
        <v>15559</v>
      </c>
      <c r="H48" s="2537"/>
      <c r="I48" s="1322">
        <f>V48</f>
        <v>15151</v>
      </c>
      <c r="J48" s="2537"/>
      <c r="K48" s="2539">
        <f>F48+H48+J48</f>
        <v>0</v>
      </c>
      <c r="L48" s="2951"/>
      <c r="M48" s="2952"/>
      <c r="N48" s="2943"/>
      <c r="O48" s="2952"/>
      <c r="P48" s="3282" t="str">
        <f>A48</f>
        <v>比较价值（元/平方米）</v>
      </c>
      <c r="Q48" s="3282"/>
      <c r="R48" s="3283">
        <f>IF(F1="售价",ROUND(PRODUCT(R47,AA7:AA46),0),ROUND(PRODUCT(R47,AA7:AA46),1))</f>
        <v>12761</v>
      </c>
      <c r="S48" s="3283"/>
      <c r="T48" s="3283">
        <f>IF(F1="售价",ROUND(PRODUCT(T47,AB7:AB46),0),ROUND(PRODUCT(T47,AB7:AB46),1))</f>
        <v>15559</v>
      </c>
      <c r="U48" s="3283"/>
      <c r="V48" s="3283">
        <f>IF(F1="售价",ROUND(PRODUCT(V47,AC7:AC46),0),ROUND(PRODUCT(V47,AC7:AC46),1))</f>
        <v>15151</v>
      </c>
      <c r="W48" s="3283"/>
      <c r="X48" s="698"/>
      <c r="Y48" s="698"/>
      <c r="Z48" s="698"/>
      <c r="AA48" s="698"/>
      <c r="AB48" s="698"/>
      <c r="AC48" s="698"/>
    </row>
    <row r="49" spans="1:29" ht="15.75" thickBot="1">
      <c r="A49" s="449" t="s">
        <v>2491</v>
      </c>
      <c r="B49" s="450"/>
      <c r="C49" s="1324">
        <f>R49</f>
        <v>14490</v>
      </c>
      <c r="D49" s="1324"/>
      <c r="E49" s="1324"/>
      <c r="F49" s="1324"/>
      <c r="G49" s="1324"/>
      <c r="H49" s="1324"/>
      <c r="I49" s="1324"/>
      <c r="J49" s="1324"/>
      <c r="K49" s="723"/>
      <c r="L49" s="2951"/>
      <c r="M49" s="2952"/>
      <c r="N49" s="2943"/>
      <c r="O49" s="2952"/>
      <c r="P49" s="3333" t="str">
        <f>A49</f>
        <v>估价对象XX用房的比较价值（楼面单价，元/平方米）</v>
      </c>
      <c r="Q49" s="3334"/>
      <c r="R49" s="3335">
        <f>IF(F1="售价",ROUND(IF(D48="简单平均",AVERAGE(R48:V48),R48*F48+T48*H48+V48*J48),0),ROUND(IF(D48="简单平均",AVERAGE(R48:V48),R48*F48+T48*H48+V48*J48),1))</f>
        <v>14490</v>
      </c>
      <c r="S49" s="3335"/>
      <c r="T49" s="3335"/>
      <c r="U49" s="3335"/>
      <c r="V49" s="3335"/>
      <c r="W49" s="333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0.41054776271452087</v>
      </c>
      <c r="F52" s="457" t="str">
        <f>IF(OR(E52&gt;=0.3,E52&lt;=-0.3),"超过30%","")</f>
        <v>超过30%</v>
      </c>
      <c r="G52" s="456">
        <f>IF(G47&lt;G48,G48/G47-1,G47/G48-1)</f>
        <v>0.56989523748312876</v>
      </c>
      <c r="H52" s="457" t="str">
        <f>IF(OR(G52&gt;=0.3,G52&lt;=-0.3),"超过30%","")</f>
        <v>超过30%</v>
      </c>
      <c r="I52" s="456">
        <f>IF(I47&lt;I48,I48/I47-1,I47/I48-1)</f>
        <v>0.60187446373176678</v>
      </c>
      <c r="J52" s="457" t="str">
        <f>IF(OR(I52&gt;=0.3,I52&lt;=-0.3),"超过30%","")</f>
        <v>超过30%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0.21926181333751282</v>
      </c>
      <c r="F53" s="457" t="str">
        <f>IF(OR(E53&gt;=0.2,E53&lt;=-0.2),"超过20%","")</f>
        <v>超过20%</v>
      </c>
      <c r="G53" s="456">
        <f>IF(G48&lt;I48,I48/G48-1,G48/I48-1)</f>
        <v>2.692891558312982E-2</v>
      </c>
      <c r="H53" s="457" t="str">
        <f>IF(OR(G53&gt;=0.2,G53&lt;=-0.2),"超过20%","")</f>
        <v/>
      </c>
      <c r="I53" s="456">
        <f>IF(I48&lt;E48,E48/I48-1,I48/E48-1)</f>
        <v>0.18728939738265016</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0.35699999999999998</v>
      </c>
      <c r="F54" s="457" t="str">
        <f>IF(OR(E54&gt;=0.3,E54&lt;=-0.3),"超过30%","")</f>
        <v>超过30%</v>
      </c>
      <c r="G54" s="456">
        <f>IF(G47&lt;I47,I47/G47-1,G47/I47-1)</f>
        <v>6.4276885043264009E-3</v>
      </c>
      <c r="H54" s="457" t="str">
        <f>IF(OR(G54&gt;=0.3,G54&lt;=-0.3),"超过30%","")</f>
        <v/>
      </c>
      <c r="I54" s="456">
        <f>IF(I47&lt;E47,E47/I47-1,I47/E47-1)</f>
        <v>0.34833333333333338</v>
      </c>
      <c r="J54" s="457" t="str">
        <f>IF(OR(I54&gt;=0.3,I54&lt;=-0.3),"超过30%","")</f>
        <v>超过30%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4" t="str">
        <f>YEAR(C7)&amp;"-"&amp;MONTH(C7)</f>
        <v>2021-12</v>
      </c>
      <c r="D58" s="1345">
        <f>EDATE(C58,-1)</f>
        <v>44501</v>
      </c>
      <c r="E58" s="1345">
        <f t="shared" ref="E58:N58" si="16">EDATE(D58,-1)</f>
        <v>44470</v>
      </c>
      <c r="F58" s="1345">
        <f t="shared" si="16"/>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EDATE(N58,-1)</f>
        <v>44166</v>
      </c>
      <c r="P58" s="2967"/>
      <c r="Q58" s="2968"/>
      <c r="R58" s="2968"/>
      <c r="S58" s="2968"/>
      <c r="T58" s="2968"/>
      <c r="U58" s="2968"/>
      <c r="V58" s="2968"/>
      <c r="W58" s="2968"/>
      <c r="X58" s="2968"/>
      <c r="Y58" s="2968"/>
      <c r="Z58" s="2968"/>
      <c r="AA58" s="2968"/>
      <c r="AB58" s="2968"/>
      <c r="AC58" s="2968"/>
    </row>
    <row r="59" spans="1:29" s="113" customFormat="1" ht="15">
      <c r="A59" s="466"/>
      <c r="B59" s="467"/>
      <c r="C59" s="1343">
        <v>100</v>
      </c>
      <c r="D59" s="469">
        <f>C59-$C$60</f>
        <v>100</v>
      </c>
      <c r="E59" s="469">
        <f t="shared" ref="E59:M59" si="17">D59-$C$60</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v>0</v>
      </c>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95</v>
      </c>
      <c r="H66" s="501">
        <f>G66-$K10</f>
        <v>90</v>
      </c>
      <c r="I66" s="501">
        <f>H66-$K10</f>
        <v>85</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 t="shared" si="18"/>
        <v>（含）-</v>
      </c>
      <c r="L67" s="504" t="str">
        <f t="shared" si="18"/>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99</v>
      </c>
      <c r="E83" s="501">
        <f t="shared" ref="E83:G83" si="20">D83-$K21</f>
        <v>98</v>
      </c>
      <c r="F83" s="501">
        <f t="shared" si="20"/>
        <v>97</v>
      </c>
      <c r="G83" s="501">
        <f t="shared" si="20"/>
        <v>96</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1">C87-$K25</f>
        <v>100</v>
      </c>
      <c r="E87" s="501">
        <f t="shared" si="21"/>
        <v>100</v>
      </c>
      <c r="F87" s="501">
        <f t="shared" si="21"/>
        <v>100</v>
      </c>
      <c r="G87" s="501">
        <f t="shared" si="21"/>
        <v>100</v>
      </c>
      <c r="H87" s="501">
        <f t="shared" si="21"/>
        <v>100</v>
      </c>
      <c r="I87" s="501">
        <f t="shared" si="21"/>
        <v>100</v>
      </c>
      <c r="J87" s="501">
        <f t="shared" si="21"/>
        <v>100</v>
      </c>
      <c r="K87" s="501">
        <f t="shared" si="21"/>
        <v>100</v>
      </c>
      <c r="L87" s="501">
        <f t="shared" si="21"/>
        <v>100</v>
      </c>
      <c r="M87" s="501">
        <f t="shared" si="21"/>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3063" t="s">
        <v>3280</v>
      </c>
      <c r="D88" s="3063" t="s">
        <v>3281</v>
      </c>
      <c r="E88" s="3063" t="s">
        <v>3282</v>
      </c>
      <c r="F88" s="3084" t="s">
        <v>3283</v>
      </c>
      <c r="G88" s="3063" t="s">
        <v>3284</v>
      </c>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95</v>
      </c>
      <c r="E89" s="493">
        <v>90</v>
      </c>
      <c r="F89" s="493">
        <v>85</v>
      </c>
      <c r="G89" s="493">
        <v>80</v>
      </c>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3063" t="s">
        <v>3264</v>
      </c>
      <c r="E90" s="3063" t="s">
        <v>3265</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062" t="s">
        <v>3274</v>
      </c>
      <c r="D100" s="3062" t="s">
        <v>3275</v>
      </c>
      <c r="E100" s="3062" t="s">
        <v>3276</v>
      </c>
      <c r="F100" s="3062" t="s">
        <v>3278</v>
      </c>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3">C101-$K32</f>
        <v>99</v>
      </c>
      <c r="E101" s="501">
        <f t="shared" si="23"/>
        <v>98</v>
      </c>
      <c r="F101" s="501">
        <f t="shared" si="23"/>
        <v>97</v>
      </c>
      <c r="G101" s="501">
        <f t="shared" si="23"/>
        <v>96</v>
      </c>
      <c r="H101" s="501">
        <f t="shared" si="23"/>
        <v>95</v>
      </c>
      <c r="I101" s="501">
        <f t="shared" si="23"/>
        <v>94</v>
      </c>
      <c r="J101" s="501">
        <f t="shared" si="23"/>
        <v>93</v>
      </c>
      <c r="K101" s="501">
        <f t="shared" si="23"/>
        <v>92</v>
      </c>
      <c r="L101" s="501">
        <f t="shared" si="23"/>
        <v>91</v>
      </c>
      <c r="M101" s="502">
        <f t="shared" si="23"/>
        <v>90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0(含)-50</v>
      </c>
      <c r="D102" s="535" t="str">
        <f t="shared" ref="D102:L102" si="24">D103&amp;"(含)"&amp;"-"&amp;E103</f>
        <v>50(含)-500</v>
      </c>
      <c r="E102" s="535" t="str">
        <f t="shared" si="24"/>
        <v>500(含)-1000</v>
      </c>
      <c r="F102" s="535" t="str">
        <f t="shared" si="24"/>
        <v>1000(含)-5000</v>
      </c>
      <c r="G102" s="535" t="str">
        <f t="shared" si="24"/>
        <v>5000(含)-10000</v>
      </c>
      <c r="H102" s="535" t="str">
        <f t="shared" si="24"/>
        <v>10000(含)-20000</v>
      </c>
      <c r="I102" s="535" t="str">
        <f t="shared" si="24"/>
        <v>20000(含)-</v>
      </c>
      <c r="J102" s="535" t="str">
        <f t="shared" si="24"/>
        <v>(含)-</v>
      </c>
      <c r="K102" s="535" t="str">
        <f t="shared" si="24"/>
        <v>(含)-</v>
      </c>
      <c r="L102" s="535" t="str">
        <f t="shared" si="24"/>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500</v>
      </c>
      <c r="F103" s="552">
        <v>1000</v>
      </c>
      <c r="G103" s="552">
        <v>5000</v>
      </c>
      <c r="H103" s="552">
        <v>10000</v>
      </c>
      <c r="I103" s="552">
        <v>20000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99.5</v>
      </c>
      <c r="E104" s="493">
        <v>99</v>
      </c>
      <c r="F104" s="493">
        <v>98.5</v>
      </c>
      <c r="G104" s="493">
        <v>98</v>
      </c>
      <c r="H104" s="493">
        <v>97.5</v>
      </c>
      <c r="I104" s="493">
        <v>97</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063"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063"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3063" t="s">
        <v>3279</v>
      </c>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95</v>
      </c>
      <c r="E115" s="501">
        <f t="shared" si="29"/>
        <v>90</v>
      </c>
      <c r="F115" s="501">
        <f t="shared" si="29"/>
        <v>85</v>
      </c>
      <c r="G115" s="501">
        <f t="shared" si="29"/>
        <v>80</v>
      </c>
      <c r="H115" s="501">
        <f t="shared" si="29"/>
        <v>75</v>
      </c>
      <c r="I115" s="501">
        <f t="shared" si="29"/>
        <v>70</v>
      </c>
      <c r="J115" s="501">
        <f t="shared" si="29"/>
        <v>65</v>
      </c>
      <c r="K115" s="501">
        <f t="shared" si="29"/>
        <v>60</v>
      </c>
      <c r="L115" s="501">
        <f t="shared" si="29"/>
        <v>55</v>
      </c>
      <c r="M115" s="502">
        <f t="shared" si="29"/>
        <v>50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063" t="s">
        <v>3285</v>
      </c>
      <c r="D116" s="3063" t="s">
        <v>3286</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90</v>
      </c>
      <c r="E117" s="501">
        <f>D117-$K39</f>
        <v>80</v>
      </c>
      <c r="F117" s="501">
        <f>E117-$K39</f>
        <v>70</v>
      </c>
      <c r="G117" s="501">
        <f>F117-$K39</f>
        <v>60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3064" t="s">
        <v>3280</v>
      </c>
      <c r="D120" s="3064" t="s">
        <v>3281</v>
      </c>
      <c r="E120" s="3064" t="s">
        <v>3282</v>
      </c>
      <c r="F120" s="3064" t="s">
        <v>3283</v>
      </c>
      <c r="G120" s="3083" t="s">
        <v>3284</v>
      </c>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90</v>
      </c>
      <c r="E121" s="501">
        <f t="shared" ref="E121:M121" si="30">D121-$K41</f>
        <v>80</v>
      </c>
      <c r="F121" s="501">
        <f t="shared" si="30"/>
        <v>70</v>
      </c>
      <c r="G121" s="501">
        <f t="shared" si="30"/>
        <v>60</v>
      </c>
      <c r="H121" s="501">
        <f t="shared" si="30"/>
        <v>50</v>
      </c>
      <c r="I121" s="501">
        <f t="shared" si="30"/>
        <v>40</v>
      </c>
      <c r="J121" s="501">
        <f t="shared" si="30"/>
        <v>30</v>
      </c>
      <c r="K121" s="501">
        <f t="shared" si="30"/>
        <v>20</v>
      </c>
      <c r="L121" s="501">
        <f t="shared" si="30"/>
        <v>10</v>
      </c>
      <c r="M121" s="502">
        <f t="shared" si="30"/>
        <v>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063" t="s">
        <v>3266</v>
      </c>
      <c r="D122" s="3063" t="s">
        <v>3267</v>
      </c>
      <c r="E122" s="3063" t="s">
        <v>3269</v>
      </c>
      <c r="F122" s="3064" t="s">
        <v>3270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M37" sqref="M37"/>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44" t="s">
        <v>2826</v>
      </c>
      <c r="D1" s="3345"/>
      <c r="E1" s="3345"/>
      <c r="F1" s="3345"/>
      <c r="G1" s="3345"/>
      <c r="H1" s="3345"/>
      <c r="I1" s="3345"/>
      <c r="J1" s="3345"/>
      <c r="K1" s="3345"/>
      <c r="L1" s="3345"/>
      <c r="M1" s="3345"/>
      <c r="N1" s="3345"/>
      <c r="O1" s="3345"/>
      <c r="P1" s="3345"/>
      <c r="Q1" s="3345"/>
      <c r="R1" s="3345"/>
      <c r="S1" s="3346"/>
      <c r="T1" s="1113" t="s">
        <v>2699</v>
      </c>
    </row>
    <row r="2" spans="1:45" s="663" customFormat="1" ht="38.25">
      <c r="A2" s="1114"/>
      <c r="B2" s="659" t="s">
        <v>1751</v>
      </c>
      <c r="C2" s="660" t="str">
        <f t="shared" ref="C2:R2" si="0">C3&amp;"(含)"&amp;"-"&amp;D3</f>
        <v>0(含)-50</v>
      </c>
      <c r="D2" s="661" t="str">
        <f t="shared" si="0"/>
        <v>50(含)-500</v>
      </c>
      <c r="E2" s="661" t="str">
        <f t="shared" si="0"/>
        <v>500(含)-1000</v>
      </c>
      <c r="F2" s="661" t="str">
        <f t="shared" si="0"/>
        <v>1000(含)-5000</v>
      </c>
      <c r="G2" s="661" t="str">
        <f t="shared" si="0"/>
        <v>5000(含)-10000</v>
      </c>
      <c r="H2" s="661" t="str">
        <f t="shared" si="0"/>
        <v>10000(含)-20000</v>
      </c>
      <c r="I2" s="661" t="str">
        <f t="shared" si="0"/>
        <v>20000(含)-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500</v>
      </c>
      <c r="F3" s="665">
        <f>'比较法-商业'!F103</f>
        <v>1000</v>
      </c>
      <c r="G3" s="665">
        <f>'比较法-商业'!G103</f>
        <v>5000</v>
      </c>
      <c r="H3" s="665">
        <f>'比较法-商业'!H103</f>
        <v>10000</v>
      </c>
      <c r="I3" s="665">
        <f>'比较法-商业'!I103</f>
        <v>20000</v>
      </c>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99.5</v>
      </c>
      <c r="E4" s="1119">
        <f>'比较法-商业'!E104</f>
        <v>99</v>
      </c>
      <c r="F4" s="1119">
        <f>'比较法-商业'!F104</f>
        <v>98.5</v>
      </c>
      <c r="G4" s="1119">
        <f>'比较法-商业'!G104</f>
        <v>98</v>
      </c>
      <c r="H4" s="1119">
        <f>'比较法-商业'!H104</f>
        <v>97.5</v>
      </c>
      <c r="I4" s="1119">
        <f>'比较法-商业'!I104</f>
        <v>97</v>
      </c>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91"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1">D6-$T5</f>
        <v>100</v>
      </c>
      <c r="F6" s="1482">
        <f t="shared" si="1"/>
        <v>100</v>
      </c>
      <c r="G6" s="1482">
        <f t="shared" si="1"/>
        <v>100</v>
      </c>
      <c r="H6" s="1482">
        <f t="shared" si="1"/>
        <v>100</v>
      </c>
      <c r="I6" s="1482">
        <f t="shared" si="1"/>
        <v>100</v>
      </c>
      <c r="J6" s="1482">
        <f t="shared" si="1"/>
        <v>100</v>
      </c>
      <c r="K6" s="1482">
        <f t="shared" si="1"/>
        <v>100</v>
      </c>
      <c r="L6" s="1482">
        <f t="shared" si="1"/>
        <v>100</v>
      </c>
      <c r="M6" s="1482">
        <f t="shared" si="1"/>
        <v>100</v>
      </c>
      <c r="N6" s="1482">
        <f t="shared" si="1"/>
        <v>100</v>
      </c>
      <c r="O6" s="1482">
        <f t="shared" si="1"/>
        <v>100</v>
      </c>
      <c r="P6" s="1482">
        <f t="shared" si="1"/>
        <v>100</v>
      </c>
      <c r="Q6" s="1482">
        <f t="shared" si="1"/>
        <v>100</v>
      </c>
      <c r="R6" s="1482">
        <f t="shared" si="1"/>
        <v>100</v>
      </c>
      <c r="S6" s="1482">
        <f t="shared" si="1"/>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2">D8-$T7</f>
        <v>100</v>
      </c>
      <c r="F8" s="1482">
        <f t="shared" si="2"/>
        <v>100</v>
      </c>
      <c r="G8" s="1482">
        <f t="shared" si="2"/>
        <v>100</v>
      </c>
      <c r="H8" s="1482">
        <f t="shared" si="2"/>
        <v>100</v>
      </c>
      <c r="I8" s="1482">
        <f t="shared" si="2"/>
        <v>100</v>
      </c>
      <c r="J8" s="1482">
        <f t="shared" si="2"/>
        <v>100</v>
      </c>
      <c r="K8" s="1482">
        <f t="shared" si="2"/>
        <v>100</v>
      </c>
      <c r="L8" s="1482">
        <f t="shared" si="2"/>
        <v>100</v>
      </c>
      <c r="M8" s="1482">
        <f t="shared" si="2"/>
        <v>100</v>
      </c>
      <c r="N8" s="1482">
        <f t="shared" si="2"/>
        <v>100</v>
      </c>
      <c r="O8" s="1482">
        <f t="shared" si="2"/>
        <v>100</v>
      </c>
      <c r="P8" s="1482">
        <f t="shared" si="2"/>
        <v>100</v>
      </c>
      <c r="Q8" s="1482">
        <f t="shared" si="2"/>
        <v>100</v>
      </c>
      <c r="R8" s="1482">
        <f t="shared" si="2"/>
        <v>100</v>
      </c>
      <c r="S8" s="1482">
        <f t="shared" si="2"/>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3">D10-$T9</f>
        <v>100</v>
      </c>
      <c r="F10" s="1492">
        <f t="shared" si="3"/>
        <v>100</v>
      </c>
      <c r="G10" s="1492">
        <f t="shared" si="3"/>
        <v>100</v>
      </c>
      <c r="H10" s="1492">
        <f t="shared" si="3"/>
        <v>100</v>
      </c>
      <c r="I10" s="1492">
        <f t="shared" si="3"/>
        <v>100</v>
      </c>
      <c r="J10" s="1492">
        <f t="shared" si="3"/>
        <v>100</v>
      </c>
      <c r="K10" s="1492">
        <f t="shared" si="3"/>
        <v>100</v>
      </c>
      <c r="L10" s="1492">
        <f t="shared" si="3"/>
        <v>100</v>
      </c>
      <c r="M10" s="1492">
        <f t="shared" si="3"/>
        <v>100</v>
      </c>
      <c r="N10" s="1492">
        <f t="shared" si="3"/>
        <v>100</v>
      </c>
      <c r="O10" s="1492">
        <f t="shared" si="3"/>
        <v>100</v>
      </c>
      <c r="P10" s="1492">
        <f t="shared" si="3"/>
        <v>100</v>
      </c>
      <c r="Q10" s="1492">
        <f t="shared" si="3"/>
        <v>100</v>
      </c>
      <c r="R10" s="1492">
        <f t="shared" si="3"/>
        <v>100</v>
      </c>
      <c r="S10" s="1492">
        <f t="shared" si="3"/>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0">
        <v>2</v>
      </c>
      <c r="E17" s="1140">
        <v>3</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1152">
        <v>70</v>
      </c>
      <c r="E18" s="1152">
        <v>60</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IF(D20="——",S22,S22-F20)</f>
        <v>48585</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ROUND(B20*10000/B22,0)</f>
        <v>11185</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43436.399999999994</v>
      </c>
      <c r="C22" s="3347" t="s">
        <v>33</v>
      </c>
      <c r="D22" s="3348"/>
      <c r="E22" s="3348"/>
      <c r="F22" s="3348"/>
      <c r="G22" s="3348"/>
      <c r="H22" s="3348"/>
      <c r="I22" s="3348"/>
      <c r="J22" s="3348"/>
      <c r="K22" s="3348"/>
      <c r="L22" s="3348"/>
      <c r="M22" s="3348"/>
      <c r="N22" s="3348"/>
      <c r="O22" s="3348"/>
      <c r="P22" s="3348"/>
      <c r="Q22" s="3349"/>
      <c r="R22" s="671">
        <f>ROUND(S22*10000/B22,0)</f>
        <v>11185</v>
      </c>
      <c r="S22" s="24">
        <f>SUM(S24:S10000)</f>
        <v>48585</v>
      </c>
    </row>
    <row r="23" spans="1:45" s="12" customFormat="1" ht="24">
      <c r="A23" s="3073" t="s">
        <v>2841</v>
      </c>
      <c r="B23" s="3073" t="s">
        <v>2842</v>
      </c>
      <c r="C23" s="3073" t="s">
        <v>2843</v>
      </c>
      <c r="D23" s="3073" t="str">
        <f>B5</f>
        <v>修正项2</v>
      </c>
      <c r="E23" s="3073" t="s">
        <v>2843</v>
      </c>
      <c r="F23" s="3073" t="str">
        <f>B7</f>
        <v>修正项3</v>
      </c>
      <c r="G23" s="3073" t="s">
        <v>2843</v>
      </c>
      <c r="H23" s="3073" t="str">
        <f>B9</f>
        <v>修正项4</v>
      </c>
      <c r="I23" s="3073" t="s">
        <v>2843</v>
      </c>
      <c r="J23" s="3073" t="str">
        <f>B11</f>
        <v>修正项5</v>
      </c>
      <c r="K23" s="3073" t="s">
        <v>2843</v>
      </c>
      <c r="L23" s="3073" t="str">
        <f>B13</f>
        <v>修正项6</v>
      </c>
      <c r="M23" s="3073" t="s">
        <v>2843</v>
      </c>
      <c r="N23" s="3073" t="str">
        <f>B15</f>
        <v>修正项7</v>
      </c>
      <c r="O23" s="3073" t="s">
        <v>2843</v>
      </c>
      <c r="P23" s="3073" t="str">
        <f>B17</f>
        <v>楼层</v>
      </c>
      <c r="Q23" s="3073" t="s">
        <v>2843</v>
      </c>
      <c r="R23" s="3074" t="s">
        <v>2844</v>
      </c>
      <c r="S23" s="3073"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c r="B24" s="673">
        <f>Sheet1!G12</f>
        <v>15347.3</v>
      </c>
      <c r="C24" s="3039">
        <v>1</v>
      </c>
      <c r="D24" s="3040"/>
      <c r="E24" s="3039">
        <v>1</v>
      </c>
      <c r="F24" s="3040"/>
      <c r="G24" s="3039">
        <v>1</v>
      </c>
      <c r="H24" s="3040"/>
      <c r="I24" s="3039">
        <v>1</v>
      </c>
      <c r="J24" s="3040"/>
      <c r="K24" s="3039">
        <v>1</v>
      </c>
      <c r="L24" s="3040"/>
      <c r="M24" s="3039">
        <v>1</v>
      </c>
      <c r="N24" s="3040"/>
      <c r="O24" s="3039">
        <v>1</v>
      </c>
      <c r="P24" s="3040">
        <v>1</v>
      </c>
      <c r="Q24" s="3039">
        <v>1</v>
      </c>
      <c r="R24" s="676">
        <f>'比较法-商业'!C49</f>
        <v>14490</v>
      </c>
      <c r="S24" s="674">
        <f t="shared" ref="S24:S87" si="5">ROUND(R24*B24/10000,0)</f>
        <v>22238</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673">
        <f>Sheet1!G13</f>
        <v>13292.8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v>
      </c>
      <c r="R25" s="671">
        <f>IF(B25="",0,ROUND($R$24*C25*E25*G25*I25*K25*M25*O25*Q25,0))</f>
        <v>10143</v>
      </c>
      <c r="S25" s="322">
        <f t="shared" si="5"/>
        <v>13483</v>
      </c>
    </row>
    <row r="26" spans="1:45">
      <c r="A26" s="155"/>
      <c r="B26" s="673">
        <f>Sheet1!G14</f>
        <v>14796.3</v>
      </c>
      <c r="C26" s="24">
        <f t="shared" ref="C26:C89" si="6">IF(B26="",1,(LOOKUP(B26,$3:$3,$4:$4)-LOOKUP($B$24,$3:$3,$4:$4)+100)/100)</f>
        <v>1</v>
      </c>
      <c r="D26" s="675"/>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675">
        <v>3</v>
      </c>
      <c r="Q26" s="24">
        <f t="shared" ref="Q26:Q89" si="13">(SUMIF($17:$17,P26,$18:$18)-SUMIF($17:$17,$P$24,$18:$18)+100)/100</f>
        <v>0.6</v>
      </c>
      <c r="R26" s="671">
        <f t="shared" ref="R26:R89" si="14">IF(B26="",0,ROUND($R$24*C26*E26*G26*I26*K26*M26*O26*Q26,0))</f>
        <v>8694</v>
      </c>
      <c r="S26" s="322">
        <f t="shared" si="5"/>
        <v>12864</v>
      </c>
    </row>
    <row r="27" spans="1:45">
      <c r="A27" s="155"/>
      <c r="B27" s="673"/>
      <c r="C27" s="24">
        <f t="shared" si="6"/>
        <v>1</v>
      </c>
      <c r="D27" s="675"/>
      <c r="E27" s="24">
        <f t="shared" si="7"/>
        <v>1</v>
      </c>
      <c r="F27" s="675"/>
      <c r="G27" s="24">
        <f t="shared" si="8"/>
        <v>1</v>
      </c>
      <c r="H27" s="675"/>
      <c r="I27" s="24">
        <f t="shared" si="9"/>
        <v>1</v>
      </c>
      <c r="J27" s="675"/>
      <c r="K27" s="24">
        <f t="shared" si="10"/>
        <v>1</v>
      </c>
      <c r="L27" s="675"/>
      <c r="M27" s="24">
        <f t="shared" si="11"/>
        <v>1</v>
      </c>
      <c r="N27" s="675"/>
      <c r="O27" s="24">
        <f t="shared" si="12"/>
        <v>1</v>
      </c>
      <c r="P27" s="675"/>
      <c r="Q27" s="24">
        <f t="shared" si="13"/>
        <v>0</v>
      </c>
      <c r="R27" s="671">
        <f t="shared" si="14"/>
        <v>0</v>
      </c>
      <c r="S27" s="322">
        <f t="shared" si="5"/>
        <v>0</v>
      </c>
    </row>
    <row r="28" spans="1:45">
      <c r="A28" s="155"/>
      <c r="B28" s="673"/>
      <c r="C28" s="24">
        <f t="shared" si="6"/>
        <v>1</v>
      </c>
      <c r="D28" s="675"/>
      <c r="E28" s="24">
        <f t="shared" si="7"/>
        <v>1</v>
      </c>
      <c r="F28" s="675"/>
      <c r="G28" s="24">
        <f t="shared" si="8"/>
        <v>1</v>
      </c>
      <c r="H28" s="675"/>
      <c r="I28" s="24">
        <f t="shared" si="9"/>
        <v>1</v>
      </c>
      <c r="J28" s="675"/>
      <c r="K28" s="24">
        <f t="shared" si="10"/>
        <v>1</v>
      </c>
      <c r="L28" s="675"/>
      <c r="M28" s="24">
        <f t="shared" si="11"/>
        <v>1</v>
      </c>
      <c r="N28" s="675"/>
      <c r="O28" s="24">
        <f t="shared" si="12"/>
        <v>1</v>
      </c>
      <c r="P28" s="675"/>
      <c r="Q28" s="24">
        <f t="shared" si="13"/>
        <v>0</v>
      </c>
      <c r="R28" s="671">
        <f t="shared" si="14"/>
        <v>0</v>
      </c>
      <c r="S28" s="322">
        <f t="shared" si="5"/>
        <v>0</v>
      </c>
    </row>
    <row r="29" spans="1:45">
      <c r="A29" s="155"/>
      <c r="B29" s="673"/>
      <c r="C29" s="24">
        <f t="shared" si="6"/>
        <v>1</v>
      </c>
      <c r="D29" s="675"/>
      <c r="E29" s="24">
        <f t="shared" si="7"/>
        <v>1</v>
      </c>
      <c r="F29" s="675"/>
      <c r="G29" s="24">
        <f t="shared" si="8"/>
        <v>1</v>
      </c>
      <c r="H29" s="675"/>
      <c r="I29" s="24">
        <f t="shared" si="9"/>
        <v>1</v>
      </c>
      <c r="J29" s="675"/>
      <c r="K29" s="24">
        <f t="shared" si="10"/>
        <v>1</v>
      </c>
      <c r="L29" s="675"/>
      <c r="M29" s="24">
        <f t="shared" si="11"/>
        <v>1</v>
      </c>
      <c r="N29" s="675"/>
      <c r="O29" s="24">
        <f t="shared" si="12"/>
        <v>1</v>
      </c>
      <c r="P29" s="675"/>
      <c r="Q29" s="24">
        <f t="shared" si="13"/>
        <v>0</v>
      </c>
      <c r="R29" s="671">
        <f t="shared" si="14"/>
        <v>0</v>
      </c>
      <c r="S29" s="322">
        <f t="shared" si="5"/>
        <v>0</v>
      </c>
    </row>
    <row r="30" spans="1:45">
      <c r="A30" s="155"/>
      <c r="B30" s="673"/>
      <c r="C30" s="24">
        <f t="shared" si="6"/>
        <v>1</v>
      </c>
      <c r="D30" s="675"/>
      <c r="E30" s="24">
        <f t="shared" si="7"/>
        <v>1</v>
      </c>
      <c r="F30" s="675"/>
      <c r="G30" s="24">
        <f t="shared" si="8"/>
        <v>1</v>
      </c>
      <c r="H30" s="675"/>
      <c r="I30" s="24">
        <f t="shared" si="9"/>
        <v>1</v>
      </c>
      <c r="J30" s="675"/>
      <c r="K30" s="24">
        <f t="shared" si="10"/>
        <v>1</v>
      </c>
      <c r="L30" s="675"/>
      <c r="M30" s="24">
        <f t="shared" si="11"/>
        <v>1</v>
      </c>
      <c r="N30" s="675"/>
      <c r="O30" s="24">
        <f t="shared" si="12"/>
        <v>1</v>
      </c>
      <c r="P30" s="675"/>
      <c r="Q30" s="24">
        <f t="shared" si="13"/>
        <v>0</v>
      </c>
      <c r="R30" s="671">
        <f t="shared" si="14"/>
        <v>0</v>
      </c>
      <c r="S30" s="322">
        <f t="shared" si="5"/>
        <v>0</v>
      </c>
    </row>
    <row r="31" spans="1:45">
      <c r="A31" s="155"/>
      <c r="B31" s="673"/>
      <c r="C31" s="24">
        <f t="shared" si="6"/>
        <v>1</v>
      </c>
      <c r="D31" s="675"/>
      <c r="E31" s="24">
        <f t="shared" si="7"/>
        <v>1</v>
      </c>
      <c r="F31" s="675"/>
      <c r="G31" s="24">
        <f t="shared" si="8"/>
        <v>1</v>
      </c>
      <c r="H31" s="675"/>
      <c r="I31" s="24">
        <f t="shared" si="9"/>
        <v>1</v>
      </c>
      <c r="J31" s="675"/>
      <c r="K31" s="24">
        <f t="shared" si="10"/>
        <v>1</v>
      </c>
      <c r="L31" s="675"/>
      <c r="M31" s="24">
        <f t="shared" si="11"/>
        <v>1</v>
      </c>
      <c r="N31" s="675"/>
      <c r="O31" s="24">
        <f t="shared" si="12"/>
        <v>1</v>
      </c>
      <c r="P31" s="675"/>
      <c r="Q31" s="24">
        <f t="shared" si="13"/>
        <v>0</v>
      </c>
      <c r="R31" s="671">
        <f t="shared" si="14"/>
        <v>0</v>
      </c>
      <c r="S31" s="322">
        <f t="shared" si="5"/>
        <v>0</v>
      </c>
    </row>
    <row r="32" spans="1:45">
      <c r="A32" s="155"/>
      <c r="B32" s="673"/>
      <c r="C32" s="24">
        <f t="shared" si="6"/>
        <v>1</v>
      </c>
      <c r="D32" s="675"/>
      <c r="E32" s="24">
        <f t="shared" si="7"/>
        <v>1</v>
      </c>
      <c r="F32" s="675"/>
      <c r="G32" s="24">
        <f t="shared" si="8"/>
        <v>1</v>
      </c>
      <c r="H32" s="675"/>
      <c r="I32" s="24">
        <f t="shared" si="9"/>
        <v>1</v>
      </c>
      <c r="J32" s="675"/>
      <c r="K32" s="24">
        <f t="shared" si="10"/>
        <v>1</v>
      </c>
      <c r="L32" s="675"/>
      <c r="M32" s="24">
        <f t="shared" si="11"/>
        <v>1</v>
      </c>
      <c r="N32" s="675"/>
      <c r="O32" s="24">
        <f t="shared" si="12"/>
        <v>1</v>
      </c>
      <c r="P32" s="675"/>
      <c r="Q32" s="24">
        <f t="shared" si="13"/>
        <v>0</v>
      </c>
      <c r="R32" s="671">
        <f t="shared" si="14"/>
        <v>0</v>
      </c>
      <c r="S32" s="322">
        <f t="shared" si="5"/>
        <v>0</v>
      </c>
    </row>
    <row r="33" spans="1:19">
      <c r="A33" s="155"/>
      <c r="B33" s="673"/>
      <c r="C33" s="24">
        <f t="shared" si="6"/>
        <v>1</v>
      </c>
      <c r="D33" s="675"/>
      <c r="E33" s="24">
        <f t="shared" si="7"/>
        <v>1</v>
      </c>
      <c r="F33" s="675"/>
      <c r="G33" s="24">
        <f t="shared" si="8"/>
        <v>1</v>
      </c>
      <c r="H33" s="675"/>
      <c r="I33" s="24">
        <f t="shared" si="9"/>
        <v>1</v>
      </c>
      <c r="J33" s="675"/>
      <c r="K33" s="24">
        <f t="shared" si="10"/>
        <v>1</v>
      </c>
      <c r="L33" s="675"/>
      <c r="M33" s="24">
        <f t="shared" si="11"/>
        <v>1</v>
      </c>
      <c r="N33" s="675"/>
      <c r="O33" s="24">
        <f t="shared" si="12"/>
        <v>1</v>
      </c>
      <c r="P33" s="675"/>
      <c r="Q33" s="24">
        <f t="shared" si="13"/>
        <v>0</v>
      </c>
      <c r="R33" s="671">
        <f t="shared" si="14"/>
        <v>0</v>
      </c>
      <c r="S33" s="322">
        <f t="shared" si="5"/>
        <v>0</v>
      </c>
    </row>
    <row r="34" spans="1:19">
      <c r="A34" s="155"/>
      <c r="B34" s="673"/>
      <c r="C34" s="24">
        <f t="shared" si="6"/>
        <v>1</v>
      </c>
      <c r="D34" s="675"/>
      <c r="E34" s="24">
        <f t="shared" si="7"/>
        <v>1</v>
      </c>
      <c r="F34" s="675"/>
      <c r="G34" s="24">
        <f t="shared" si="8"/>
        <v>1</v>
      </c>
      <c r="H34" s="675"/>
      <c r="I34" s="24">
        <f t="shared" si="9"/>
        <v>1</v>
      </c>
      <c r="J34" s="675"/>
      <c r="K34" s="24">
        <f t="shared" si="10"/>
        <v>1</v>
      </c>
      <c r="L34" s="675"/>
      <c r="M34" s="24">
        <f t="shared" si="11"/>
        <v>1</v>
      </c>
      <c r="N34" s="675"/>
      <c r="O34" s="24">
        <f t="shared" si="12"/>
        <v>1</v>
      </c>
      <c r="P34" s="675"/>
      <c r="Q34" s="24">
        <f t="shared" si="13"/>
        <v>0</v>
      </c>
      <c r="R34" s="671">
        <f t="shared" si="14"/>
        <v>0</v>
      </c>
      <c r="S34" s="322">
        <f t="shared" si="5"/>
        <v>0</v>
      </c>
    </row>
    <row r="35" spans="1:19">
      <c r="A35" s="155"/>
      <c r="B35" s="673"/>
      <c r="C35" s="24">
        <f t="shared" si="6"/>
        <v>1</v>
      </c>
      <c r="D35" s="675"/>
      <c r="E35" s="24">
        <f t="shared" si="7"/>
        <v>1</v>
      </c>
      <c r="F35" s="675"/>
      <c r="G35" s="24">
        <f t="shared" si="8"/>
        <v>1</v>
      </c>
      <c r="H35" s="675"/>
      <c r="I35" s="24">
        <f t="shared" si="9"/>
        <v>1</v>
      </c>
      <c r="J35" s="675"/>
      <c r="K35" s="24">
        <f t="shared" si="10"/>
        <v>1</v>
      </c>
      <c r="L35" s="675"/>
      <c r="M35" s="24">
        <f t="shared" si="11"/>
        <v>1</v>
      </c>
      <c r="N35" s="675"/>
      <c r="O35" s="24">
        <f t="shared" si="12"/>
        <v>1</v>
      </c>
      <c r="P35" s="675"/>
      <c r="Q35" s="24">
        <f t="shared" si="13"/>
        <v>0</v>
      </c>
      <c r="R35" s="671">
        <f t="shared" si="14"/>
        <v>0</v>
      </c>
      <c r="S35" s="322">
        <f t="shared" si="5"/>
        <v>0</v>
      </c>
    </row>
    <row r="36" spans="1:19">
      <c r="A36" s="155"/>
      <c r="B36" s="57"/>
      <c r="C36" s="24">
        <f t="shared" si="6"/>
        <v>1</v>
      </c>
      <c r="D36" s="675"/>
      <c r="E36" s="24">
        <f t="shared" si="7"/>
        <v>1</v>
      </c>
      <c r="F36" s="675"/>
      <c r="G36" s="24">
        <f t="shared" si="8"/>
        <v>1</v>
      </c>
      <c r="H36" s="675"/>
      <c r="I36" s="24">
        <f t="shared" si="9"/>
        <v>1</v>
      </c>
      <c r="J36" s="675"/>
      <c r="K36" s="24">
        <f t="shared" si="10"/>
        <v>1</v>
      </c>
      <c r="L36" s="675"/>
      <c r="M36" s="24">
        <f t="shared" si="11"/>
        <v>1</v>
      </c>
      <c r="N36" s="675"/>
      <c r="O36" s="24">
        <f t="shared" si="12"/>
        <v>1</v>
      </c>
      <c r="P36" s="675"/>
      <c r="Q36" s="24">
        <f t="shared" si="13"/>
        <v>0</v>
      </c>
      <c r="R36" s="671">
        <f t="shared" si="14"/>
        <v>0</v>
      </c>
      <c r="S36" s="322">
        <f t="shared" si="5"/>
        <v>0</v>
      </c>
    </row>
    <row r="37" spans="1:19">
      <c r="A37" s="155"/>
      <c r="B37" s="57"/>
      <c r="C37" s="24">
        <f t="shared" si="6"/>
        <v>1</v>
      </c>
      <c r="D37" s="675"/>
      <c r="E37" s="24">
        <f t="shared" si="7"/>
        <v>1</v>
      </c>
      <c r="F37" s="675"/>
      <c r="G37" s="24">
        <f t="shared" si="8"/>
        <v>1</v>
      </c>
      <c r="H37" s="675"/>
      <c r="I37" s="24">
        <f t="shared" si="9"/>
        <v>1</v>
      </c>
      <c r="J37" s="675"/>
      <c r="K37" s="24">
        <f t="shared" si="10"/>
        <v>1</v>
      </c>
      <c r="L37" s="675"/>
      <c r="M37" s="24">
        <f t="shared" si="11"/>
        <v>1</v>
      </c>
      <c r="N37" s="675"/>
      <c r="O37" s="24">
        <f t="shared" si="12"/>
        <v>1</v>
      </c>
      <c r="P37" s="675"/>
      <c r="Q37" s="24">
        <f t="shared" si="13"/>
        <v>0</v>
      </c>
      <c r="R37" s="671">
        <f t="shared" si="14"/>
        <v>0</v>
      </c>
      <c r="S37" s="322">
        <f t="shared" si="5"/>
        <v>0</v>
      </c>
    </row>
    <row r="38" spans="1:19">
      <c r="A38" s="155"/>
      <c r="B38" s="57"/>
      <c r="C38" s="24">
        <f t="shared" si="6"/>
        <v>1</v>
      </c>
      <c r="D38" s="675"/>
      <c r="E38" s="24">
        <f t="shared" si="7"/>
        <v>1</v>
      </c>
      <c r="F38" s="675"/>
      <c r="G38" s="24">
        <f t="shared" si="8"/>
        <v>1</v>
      </c>
      <c r="H38" s="675"/>
      <c r="I38" s="24">
        <f t="shared" si="9"/>
        <v>1</v>
      </c>
      <c r="J38" s="675"/>
      <c r="K38" s="24">
        <f t="shared" si="10"/>
        <v>1</v>
      </c>
      <c r="L38" s="675"/>
      <c r="M38" s="24">
        <f t="shared" si="11"/>
        <v>1</v>
      </c>
      <c r="N38" s="675"/>
      <c r="O38" s="24">
        <f t="shared" si="12"/>
        <v>1</v>
      </c>
      <c r="P38" s="675"/>
      <c r="Q38" s="24">
        <f t="shared" si="13"/>
        <v>0</v>
      </c>
      <c r="R38" s="671">
        <f t="shared" si="14"/>
        <v>0</v>
      </c>
      <c r="S38" s="322">
        <f t="shared" si="5"/>
        <v>0</v>
      </c>
    </row>
    <row r="39" spans="1:19">
      <c r="A39" s="155"/>
      <c r="B39" s="57"/>
      <c r="C39" s="24">
        <f t="shared" si="6"/>
        <v>1</v>
      </c>
      <c r="D39" s="675"/>
      <c r="E39" s="24">
        <f t="shared" si="7"/>
        <v>1</v>
      </c>
      <c r="F39" s="675"/>
      <c r="G39" s="24">
        <f t="shared" si="8"/>
        <v>1</v>
      </c>
      <c r="H39" s="675"/>
      <c r="I39" s="24">
        <f t="shared" si="9"/>
        <v>1</v>
      </c>
      <c r="J39" s="675"/>
      <c r="K39" s="24">
        <f t="shared" si="10"/>
        <v>1</v>
      </c>
      <c r="L39" s="675"/>
      <c r="M39" s="24">
        <f t="shared" si="11"/>
        <v>1</v>
      </c>
      <c r="N39" s="675"/>
      <c r="O39" s="24">
        <f t="shared" si="12"/>
        <v>1</v>
      </c>
      <c r="P39" s="675"/>
      <c r="Q39" s="24">
        <f t="shared" si="13"/>
        <v>0</v>
      </c>
      <c r="R39" s="671">
        <f t="shared" si="14"/>
        <v>0</v>
      </c>
      <c r="S39" s="322">
        <f t="shared" si="5"/>
        <v>0</v>
      </c>
    </row>
    <row r="40" spans="1:19">
      <c r="A40" s="155"/>
      <c r="B40" s="57"/>
      <c r="C40" s="24">
        <f t="shared" si="6"/>
        <v>1</v>
      </c>
      <c r="D40" s="675"/>
      <c r="E40" s="24">
        <f t="shared" si="7"/>
        <v>1</v>
      </c>
      <c r="F40" s="675"/>
      <c r="G40" s="24">
        <f t="shared" si="8"/>
        <v>1</v>
      </c>
      <c r="H40" s="675"/>
      <c r="I40" s="24">
        <f t="shared" si="9"/>
        <v>1</v>
      </c>
      <c r="J40" s="675"/>
      <c r="K40" s="24">
        <f t="shared" si="10"/>
        <v>1</v>
      </c>
      <c r="L40" s="675"/>
      <c r="M40" s="24">
        <f t="shared" si="11"/>
        <v>1</v>
      </c>
      <c r="N40" s="675"/>
      <c r="O40" s="24">
        <f t="shared" si="12"/>
        <v>1</v>
      </c>
      <c r="P40" s="675"/>
      <c r="Q40" s="24">
        <f t="shared" si="13"/>
        <v>0</v>
      </c>
      <c r="R40" s="671">
        <f t="shared" si="14"/>
        <v>0</v>
      </c>
      <c r="S40" s="322">
        <f t="shared" si="5"/>
        <v>0</v>
      </c>
    </row>
    <row r="41" spans="1:19">
      <c r="A41" s="155"/>
      <c r="B41" s="57"/>
      <c r="C41" s="24">
        <f t="shared" si="6"/>
        <v>1</v>
      </c>
      <c r="D41" s="675"/>
      <c r="E41" s="24">
        <f t="shared" si="7"/>
        <v>1</v>
      </c>
      <c r="F41" s="675"/>
      <c r="G41" s="24">
        <f t="shared" si="8"/>
        <v>1</v>
      </c>
      <c r="H41" s="675"/>
      <c r="I41" s="24">
        <f t="shared" si="9"/>
        <v>1</v>
      </c>
      <c r="J41" s="675"/>
      <c r="K41" s="24">
        <f t="shared" si="10"/>
        <v>1</v>
      </c>
      <c r="L41" s="675"/>
      <c r="M41" s="24">
        <f t="shared" si="11"/>
        <v>1</v>
      </c>
      <c r="N41" s="675"/>
      <c r="O41" s="24">
        <f t="shared" si="12"/>
        <v>1</v>
      </c>
      <c r="P41" s="675"/>
      <c r="Q41" s="24">
        <f t="shared" si="13"/>
        <v>0</v>
      </c>
      <c r="R41" s="671">
        <f t="shared" si="14"/>
        <v>0</v>
      </c>
      <c r="S41" s="322">
        <f t="shared" si="5"/>
        <v>0</v>
      </c>
    </row>
    <row r="42" spans="1:19">
      <c r="A42" s="155"/>
      <c r="B42" s="57"/>
      <c r="C42" s="24">
        <f t="shared" si="6"/>
        <v>1</v>
      </c>
      <c r="D42" s="675"/>
      <c r="E42" s="24">
        <f t="shared" si="7"/>
        <v>1</v>
      </c>
      <c r="F42" s="675"/>
      <c r="G42" s="24">
        <f t="shared" si="8"/>
        <v>1</v>
      </c>
      <c r="H42" s="675"/>
      <c r="I42" s="24">
        <f t="shared" si="9"/>
        <v>1</v>
      </c>
      <c r="J42" s="675"/>
      <c r="K42" s="24">
        <f t="shared" si="10"/>
        <v>1</v>
      </c>
      <c r="L42" s="675"/>
      <c r="M42" s="24">
        <f t="shared" si="11"/>
        <v>1</v>
      </c>
      <c r="N42" s="675"/>
      <c r="O42" s="24">
        <f t="shared" si="12"/>
        <v>1</v>
      </c>
      <c r="P42" s="675"/>
      <c r="Q42" s="24">
        <f t="shared" si="13"/>
        <v>0</v>
      </c>
      <c r="R42" s="671">
        <f t="shared" si="14"/>
        <v>0</v>
      </c>
      <c r="S42" s="322">
        <f t="shared" si="5"/>
        <v>0</v>
      </c>
    </row>
    <row r="43" spans="1:19">
      <c r="A43" s="155"/>
      <c r="B43" s="57"/>
      <c r="C43" s="24">
        <f t="shared" si="6"/>
        <v>1</v>
      </c>
      <c r="D43" s="675"/>
      <c r="E43" s="24">
        <f t="shared" si="7"/>
        <v>1</v>
      </c>
      <c r="F43" s="675"/>
      <c r="G43" s="24">
        <f t="shared" si="8"/>
        <v>1</v>
      </c>
      <c r="H43" s="675"/>
      <c r="I43" s="24">
        <f t="shared" si="9"/>
        <v>1</v>
      </c>
      <c r="J43" s="675"/>
      <c r="K43" s="24">
        <f t="shared" si="10"/>
        <v>1</v>
      </c>
      <c r="L43" s="675"/>
      <c r="M43" s="24">
        <f t="shared" si="11"/>
        <v>1</v>
      </c>
      <c r="N43" s="675"/>
      <c r="O43" s="24">
        <f t="shared" si="12"/>
        <v>1</v>
      </c>
      <c r="P43" s="675"/>
      <c r="Q43" s="24">
        <f t="shared" si="13"/>
        <v>0</v>
      </c>
      <c r="R43" s="671">
        <f t="shared" si="14"/>
        <v>0</v>
      </c>
      <c r="S43" s="322">
        <f t="shared" si="5"/>
        <v>0</v>
      </c>
    </row>
    <row r="44" spans="1:19">
      <c r="A44" s="155"/>
      <c r="B44" s="57"/>
      <c r="C44" s="24">
        <f t="shared" si="6"/>
        <v>1</v>
      </c>
      <c r="D44" s="675"/>
      <c r="E44" s="24">
        <f t="shared" si="7"/>
        <v>1</v>
      </c>
      <c r="F44" s="675"/>
      <c r="G44" s="24">
        <f t="shared" si="8"/>
        <v>1</v>
      </c>
      <c r="H44" s="675"/>
      <c r="I44" s="24">
        <f t="shared" si="9"/>
        <v>1</v>
      </c>
      <c r="J44" s="675"/>
      <c r="K44" s="24">
        <f t="shared" si="10"/>
        <v>1</v>
      </c>
      <c r="L44" s="675"/>
      <c r="M44" s="24">
        <f t="shared" si="11"/>
        <v>1</v>
      </c>
      <c r="N44" s="675"/>
      <c r="O44" s="24">
        <f t="shared" si="12"/>
        <v>1</v>
      </c>
      <c r="P44" s="675"/>
      <c r="Q44" s="24">
        <f t="shared" si="13"/>
        <v>0</v>
      </c>
      <c r="R44" s="671">
        <f t="shared" si="14"/>
        <v>0</v>
      </c>
      <c r="S44" s="322">
        <f t="shared" si="5"/>
        <v>0</v>
      </c>
    </row>
    <row r="45" spans="1:19">
      <c r="A45" s="155"/>
      <c r="B45" s="57"/>
      <c r="C45" s="24">
        <f t="shared" si="6"/>
        <v>1</v>
      </c>
      <c r="D45" s="675"/>
      <c r="E45" s="24">
        <f t="shared" si="7"/>
        <v>1</v>
      </c>
      <c r="F45" s="675"/>
      <c r="G45" s="24">
        <f t="shared" si="8"/>
        <v>1</v>
      </c>
      <c r="H45" s="675"/>
      <c r="I45" s="24">
        <f t="shared" si="9"/>
        <v>1</v>
      </c>
      <c r="J45" s="675"/>
      <c r="K45" s="24">
        <f t="shared" si="10"/>
        <v>1</v>
      </c>
      <c r="L45" s="675"/>
      <c r="M45" s="24">
        <f t="shared" si="11"/>
        <v>1</v>
      </c>
      <c r="N45" s="675"/>
      <c r="O45" s="24">
        <f t="shared" si="12"/>
        <v>1</v>
      </c>
      <c r="P45" s="675"/>
      <c r="Q45" s="24">
        <f t="shared" si="13"/>
        <v>0</v>
      </c>
      <c r="R45" s="671">
        <f t="shared" si="14"/>
        <v>0</v>
      </c>
      <c r="S45" s="322">
        <f t="shared" si="5"/>
        <v>0</v>
      </c>
    </row>
    <row r="46" spans="1:19">
      <c r="A46" s="155"/>
      <c r="B46" s="57"/>
      <c r="C46" s="24">
        <f t="shared" si="6"/>
        <v>1</v>
      </c>
      <c r="D46" s="675"/>
      <c r="E46" s="24">
        <f t="shared" si="7"/>
        <v>1</v>
      </c>
      <c r="F46" s="675"/>
      <c r="G46" s="24">
        <f t="shared" si="8"/>
        <v>1</v>
      </c>
      <c r="H46" s="675"/>
      <c r="I46" s="24">
        <f t="shared" si="9"/>
        <v>1</v>
      </c>
      <c r="J46" s="675"/>
      <c r="K46" s="24">
        <f t="shared" si="10"/>
        <v>1</v>
      </c>
      <c r="L46" s="675"/>
      <c r="M46" s="24">
        <f t="shared" si="11"/>
        <v>1</v>
      </c>
      <c r="N46" s="675"/>
      <c r="O46" s="24">
        <f t="shared" si="12"/>
        <v>1</v>
      </c>
      <c r="P46" s="675"/>
      <c r="Q46" s="24">
        <f t="shared" si="13"/>
        <v>0</v>
      </c>
      <c r="R46" s="671">
        <f t="shared" si="14"/>
        <v>0</v>
      </c>
      <c r="S46" s="322">
        <f t="shared" si="5"/>
        <v>0</v>
      </c>
    </row>
    <row r="47" spans="1:19">
      <c r="A47" s="155"/>
      <c r="B47" s="57"/>
      <c r="C47" s="24">
        <f t="shared" si="6"/>
        <v>1</v>
      </c>
      <c r="D47" s="675"/>
      <c r="E47" s="24">
        <f t="shared" si="7"/>
        <v>1</v>
      </c>
      <c r="F47" s="675"/>
      <c r="G47" s="24">
        <f t="shared" si="8"/>
        <v>1</v>
      </c>
      <c r="H47" s="675"/>
      <c r="I47" s="24">
        <f t="shared" si="9"/>
        <v>1</v>
      </c>
      <c r="J47" s="675"/>
      <c r="K47" s="24">
        <f t="shared" si="10"/>
        <v>1</v>
      </c>
      <c r="L47" s="675"/>
      <c r="M47" s="24">
        <f t="shared" si="11"/>
        <v>1</v>
      </c>
      <c r="N47" s="675"/>
      <c r="O47" s="24">
        <f t="shared" si="12"/>
        <v>1</v>
      </c>
      <c r="P47" s="675"/>
      <c r="Q47" s="24">
        <f t="shared" si="13"/>
        <v>0</v>
      </c>
      <c r="R47" s="671">
        <f t="shared" si="14"/>
        <v>0</v>
      </c>
      <c r="S47" s="322">
        <f t="shared" si="5"/>
        <v>0</v>
      </c>
    </row>
    <row r="48" spans="1:19">
      <c r="A48" s="155"/>
      <c r="B48" s="57"/>
      <c r="C48" s="24">
        <f t="shared" si="6"/>
        <v>1</v>
      </c>
      <c r="D48" s="675"/>
      <c r="E48" s="24">
        <f t="shared" si="7"/>
        <v>1</v>
      </c>
      <c r="F48" s="675"/>
      <c r="G48" s="24">
        <f t="shared" si="8"/>
        <v>1</v>
      </c>
      <c r="H48" s="675"/>
      <c r="I48" s="24">
        <f t="shared" si="9"/>
        <v>1</v>
      </c>
      <c r="J48" s="675"/>
      <c r="K48" s="24">
        <f t="shared" si="10"/>
        <v>1</v>
      </c>
      <c r="L48" s="675"/>
      <c r="M48" s="24">
        <f t="shared" si="11"/>
        <v>1</v>
      </c>
      <c r="N48" s="675"/>
      <c r="O48" s="24">
        <f t="shared" si="12"/>
        <v>1</v>
      </c>
      <c r="P48" s="675"/>
      <c r="Q48" s="24">
        <f t="shared" si="13"/>
        <v>0</v>
      </c>
      <c r="R48" s="671">
        <f t="shared" si="14"/>
        <v>0</v>
      </c>
      <c r="S48" s="322">
        <f t="shared" si="5"/>
        <v>0</v>
      </c>
    </row>
    <row r="49" spans="1:19">
      <c r="A49" s="155"/>
      <c r="B49" s="57"/>
      <c r="C49" s="24">
        <f t="shared" si="6"/>
        <v>1</v>
      </c>
      <c r="D49" s="675"/>
      <c r="E49" s="24">
        <f t="shared" si="7"/>
        <v>1</v>
      </c>
      <c r="F49" s="675"/>
      <c r="G49" s="24">
        <f t="shared" si="8"/>
        <v>1</v>
      </c>
      <c r="H49" s="675"/>
      <c r="I49" s="24">
        <f t="shared" si="9"/>
        <v>1</v>
      </c>
      <c r="J49" s="675"/>
      <c r="K49" s="24">
        <f t="shared" si="10"/>
        <v>1</v>
      </c>
      <c r="L49" s="675"/>
      <c r="M49" s="24">
        <f t="shared" si="11"/>
        <v>1</v>
      </c>
      <c r="N49" s="675"/>
      <c r="O49" s="24">
        <f t="shared" si="12"/>
        <v>1</v>
      </c>
      <c r="P49" s="675"/>
      <c r="Q49" s="24">
        <f t="shared" si="13"/>
        <v>0</v>
      </c>
      <c r="R49" s="671">
        <f t="shared" si="14"/>
        <v>0</v>
      </c>
      <c r="S49" s="322">
        <f t="shared" si="5"/>
        <v>0</v>
      </c>
    </row>
    <row r="50" spans="1:19">
      <c r="A50" s="155"/>
      <c r="B50" s="57"/>
      <c r="C50" s="24">
        <f t="shared" si="6"/>
        <v>1</v>
      </c>
      <c r="D50" s="675"/>
      <c r="E50" s="24">
        <f t="shared" si="7"/>
        <v>1</v>
      </c>
      <c r="F50" s="675"/>
      <c r="G50" s="24">
        <f t="shared" si="8"/>
        <v>1</v>
      </c>
      <c r="H50" s="675"/>
      <c r="I50" s="24">
        <f t="shared" si="9"/>
        <v>1</v>
      </c>
      <c r="J50" s="675"/>
      <c r="K50" s="24">
        <f t="shared" si="10"/>
        <v>1</v>
      </c>
      <c r="L50" s="675"/>
      <c r="M50" s="24">
        <f t="shared" si="11"/>
        <v>1</v>
      </c>
      <c r="N50" s="675"/>
      <c r="O50" s="24">
        <f t="shared" si="12"/>
        <v>1</v>
      </c>
      <c r="P50" s="675"/>
      <c r="Q50" s="24">
        <f t="shared" si="13"/>
        <v>0</v>
      </c>
      <c r="R50" s="671">
        <f t="shared" si="14"/>
        <v>0</v>
      </c>
      <c r="S50" s="322">
        <f t="shared" si="5"/>
        <v>0</v>
      </c>
    </row>
    <row r="51" spans="1:19">
      <c r="A51" s="155"/>
      <c r="B51" s="57"/>
      <c r="C51" s="24">
        <f t="shared" si="6"/>
        <v>1</v>
      </c>
      <c r="D51" s="675"/>
      <c r="E51" s="24">
        <f t="shared" si="7"/>
        <v>1</v>
      </c>
      <c r="F51" s="675"/>
      <c r="G51" s="24">
        <f t="shared" si="8"/>
        <v>1</v>
      </c>
      <c r="H51" s="675"/>
      <c r="I51" s="24">
        <f t="shared" si="9"/>
        <v>1</v>
      </c>
      <c r="J51" s="675"/>
      <c r="K51" s="24">
        <f t="shared" si="10"/>
        <v>1</v>
      </c>
      <c r="L51" s="675"/>
      <c r="M51" s="24">
        <f t="shared" si="11"/>
        <v>1</v>
      </c>
      <c r="N51" s="675"/>
      <c r="O51" s="24">
        <f t="shared" si="12"/>
        <v>1</v>
      </c>
      <c r="P51" s="675"/>
      <c r="Q51" s="24">
        <f t="shared" si="13"/>
        <v>0</v>
      </c>
      <c r="R51" s="671">
        <f t="shared" si="14"/>
        <v>0</v>
      </c>
      <c r="S51" s="322">
        <f t="shared" si="5"/>
        <v>0</v>
      </c>
    </row>
    <row r="52" spans="1:19">
      <c r="A52" s="155"/>
      <c r="B52" s="57"/>
      <c r="C52" s="24">
        <f t="shared" si="6"/>
        <v>1</v>
      </c>
      <c r="D52" s="675"/>
      <c r="E52" s="24">
        <f t="shared" si="7"/>
        <v>1</v>
      </c>
      <c r="F52" s="675"/>
      <c r="G52" s="24">
        <f t="shared" si="8"/>
        <v>1</v>
      </c>
      <c r="H52" s="675"/>
      <c r="I52" s="24">
        <f t="shared" si="9"/>
        <v>1</v>
      </c>
      <c r="J52" s="675"/>
      <c r="K52" s="24">
        <f t="shared" si="10"/>
        <v>1</v>
      </c>
      <c r="L52" s="675"/>
      <c r="M52" s="24">
        <f t="shared" si="11"/>
        <v>1</v>
      </c>
      <c r="N52" s="675"/>
      <c r="O52" s="24">
        <f t="shared" si="12"/>
        <v>1</v>
      </c>
      <c r="P52" s="675"/>
      <c r="Q52" s="24">
        <f t="shared" si="13"/>
        <v>0</v>
      </c>
      <c r="R52" s="671">
        <f t="shared" si="14"/>
        <v>0</v>
      </c>
      <c r="S52" s="322">
        <f t="shared" si="5"/>
        <v>0</v>
      </c>
    </row>
    <row r="53" spans="1:19">
      <c r="A53" s="155"/>
      <c r="B53" s="57"/>
      <c r="C53" s="24">
        <f t="shared" si="6"/>
        <v>1</v>
      </c>
      <c r="D53" s="675"/>
      <c r="E53" s="24">
        <f t="shared" si="7"/>
        <v>1</v>
      </c>
      <c r="F53" s="675"/>
      <c r="G53" s="24">
        <f t="shared" si="8"/>
        <v>1</v>
      </c>
      <c r="H53" s="675"/>
      <c r="I53" s="24">
        <f t="shared" si="9"/>
        <v>1</v>
      </c>
      <c r="J53" s="675"/>
      <c r="K53" s="24">
        <f t="shared" si="10"/>
        <v>1</v>
      </c>
      <c r="L53" s="675"/>
      <c r="M53" s="24">
        <f t="shared" si="11"/>
        <v>1</v>
      </c>
      <c r="N53" s="675"/>
      <c r="O53" s="24">
        <f t="shared" si="12"/>
        <v>1</v>
      </c>
      <c r="P53" s="675"/>
      <c r="Q53" s="24">
        <f t="shared" si="13"/>
        <v>0</v>
      </c>
      <c r="R53" s="671">
        <f t="shared" si="14"/>
        <v>0</v>
      </c>
      <c r="S53" s="322">
        <f t="shared" si="5"/>
        <v>0</v>
      </c>
    </row>
    <row r="54" spans="1:19">
      <c r="A54" s="155"/>
      <c r="B54" s="57"/>
      <c r="C54" s="24">
        <f t="shared" si="6"/>
        <v>1</v>
      </c>
      <c r="D54" s="675"/>
      <c r="E54" s="24">
        <f t="shared" si="7"/>
        <v>1</v>
      </c>
      <c r="F54" s="675"/>
      <c r="G54" s="24">
        <f t="shared" si="8"/>
        <v>1</v>
      </c>
      <c r="H54" s="675"/>
      <c r="I54" s="24">
        <f t="shared" si="9"/>
        <v>1</v>
      </c>
      <c r="J54" s="675"/>
      <c r="K54" s="24">
        <f t="shared" si="10"/>
        <v>1</v>
      </c>
      <c r="L54" s="675"/>
      <c r="M54" s="24">
        <f t="shared" si="11"/>
        <v>1</v>
      </c>
      <c r="N54" s="675"/>
      <c r="O54" s="24">
        <f t="shared" si="12"/>
        <v>1</v>
      </c>
      <c r="P54" s="675"/>
      <c r="Q54" s="24">
        <f t="shared" si="13"/>
        <v>0</v>
      </c>
      <c r="R54" s="671">
        <f t="shared" si="14"/>
        <v>0</v>
      </c>
      <c r="S54" s="322">
        <f t="shared" si="5"/>
        <v>0</v>
      </c>
    </row>
    <row r="55" spans="1:19">
      <c r="A55" s="155"/>
      <c r="B55" s="57"/>
      <c r="C55" s="24">
        <f t="shared" si="6"/>
        <v>1</v>
      </c>
      <c r="D55" s="675"/>
      <c r="E55" s="24">
        <f t="shared" si="7"/>
        <v>1</v>
      </c>
      <c r="F55" s="675"/>
      <c r="G55" s="24">
        <f t="shared" si="8"/>
        <v>1</v>
      </c>
      <c r="H55" s="675"/>
      <c r="I55" s="24">
        <f t="shared" si="9"/>
        <v>1</v>
      </c>
      <c r="J55" s="675"/>
      <c r="K55" s="24">
        <f t="shared" si="10"/>
        <v>1</v>
      </c>
      <c r="L55" s="675"/>
      <c r="M55" s="24">
        <f t="shared" si="11"/>
        <v>1</v>
      </c>
      <c r="N55" s="675"/>
      <c r="O55" s="24">
        <f t="shared" si="12"/>
        <v>1</v>
      </c>
      <c r="P55" s="675"/>
      <c r="Q55" s="24">
        <f t="shared" si="13"/>
        <v>0</v>
      </c>
      <c r="R55" s="671">
        <f t="shared" si="14"/>
        <v>0</v>
      </c>
      <c r="S55" s="322">
        <f t="shared" si="5"/>
        <v>0</v>
      </c>
    </row>
    <row r="56" spans="1:19">
      <c r="A56" s="155"/>
      <c r="B56" s="57"/>
      <c r="C56" s="24">
        <f t="shared" si="6"/>
        <v>1</v>
      </c>
      <c r="D56" s="675"/>
      <c r="E56" s="24">
        <f t="shared" si="7"/>
        <v>1</v>
      </c>
      <c r="F56" s="675"/>
      <c r="G56" s="24">
        <f t="shared" si="8"/>
        <v>1</v>
      </c>
      <c r="H56" s="675"/>
      <c r="I56" s="24">
        <f t="shared" si="9"/>
        <v>1</v>
      </c>
      <c r="J56" s="675"/>
      <c r="K56" s="24">
        <f t="shared" si="10"/>
        <v>1</v>
      </c>
      <c r="L56" s="675"/>
      <c r="M56" s="24">
        <f t="shared" si="11"/>
        <v>1</v>
      </c>
      <c r="N56" s="675"/>
      <c r="O56" s="24">
        <f t="shared" si="12"/>
        <v>1</v>
      </c>
      <c r="P56" s="675"/>
      <c r="Q56" s="24">
        <f t="shared" si="13"/>
        <v>0</v>
      </c>
      <c r="R56" s="671">
        <f t="shared" si="14"/>
        <v>0</v>
      </c>
      <c r="S56" s="322">
        <f t="shared" si="5"/>
        <v>0</v>
      </c>
    </row>
    <row r="57" spans="1:19">
      <c r="A57" s="155"/>
      <c r="B57" s="57"/>
      <c r="C57" s="24">
        <f t="shared" si="6"/>
        <v>1</v>
      </c>
      <c r="D57" s="675"/>
      <c r="E57" s="24">
        <f t="shared" si="7"/>
        <v>1</v>
      </c>
      <c r="F57" s="675"/>
      <c r="G57" s="24">
        <f t="shared" si="8"/>
        <v>1</v>
      </c>
      <c r="H57" s="675"/>
      <c r="I57" s="24">
        <f t="shared" si="9"/>
        <v>1</v>
      </c>
      <c r="J57" s="675"/>
      <c r="K57" s="24">
        <f t="shared" si="10"/>
        <v>1</v>
      </c>
      <c r="L57" s="675"/>
      <c r="M57" s="24">
        <f t="shared" si="11"/>
        <v>1</v>
      </c>
      <c r="N57" s="675"/>
      <c r="O57" s="24">
        <f t="shared" si="12"/>
        <v>1</v>
      </c>
      <c r="P57" s="675"/>
      <c r="Q57" s="24">
        <f t="shared" si="13"/>
        <v>0</v>
      </c>
      <c r="R57" s="671">
        <f t="shared" si="14"/>
        <v>0</v>
      </c>
      <c r="S57" s="322">
        <f t="shared" si="5"/>
        <v>0</v>
      </c>
    </row>
    <row r="58" spans="1:19">
      <c r="A58" s="155"/>
      <c r="B58" s="57"/>
      <c r="C58" s="24">
        <f t="shared" si="6"/>
        <v>1</v>
      </c>
      <c r="D58" s="675"/>
      <c r="E58" s="24">
        <f t="shared" si="7"/>
        <v>1</v>
      </c>
      <c r="F58" s="675"/>
      <c r="G58" s="24">
        <f t="shared" si="8"/>
        <v>1</v>
      </c>
      <c r="H58" s="675"/>
      <c r="I58" s="24">
        <f t="shared" si="9"/>
        <v>1</v>
      </c>
      <c r="J58" s="675"/>
      <c r="K58" s="24">
        <f t="shared" si="10"/>
        <v>1</v>
      </c>
      <c r="L58" s="675"/>
      <c r="M58" s="24">
        <f t="shared" si="11"/>
        <v>1</v>
      </c>
      <c r="N58" s="675"/>
      <c r="O58" s="24">
        <f t="shared" si="12"/>
        <v>1</v>
      </c>
      <c r="P58" s="675"/>
      <c r="Q58" s="24">
        <f t="shared" si="13"/>
        <v>0</v>
      </c>
      <c r="R58" s="671">
        <f t="shared" si="14"/>
        <v>0</v>
      </c>
      <c r="S58" s="322">
        <f t="shared" si="5"/>
        <v>0</v>
      </c>
    </row>
    <row r="59" spans="1:19">
      <c r="A59" s="155"/>
      <c r="B59" s="57"/>
      <c r="C59" s="24">
        <f t="shared" si="6"/>
        <v>1</v>
      </c>
      <c r="D59" s="675"/>
      <c r="E59" s="24">
        <f t="shared" si="7"/>
        <v>1</v>
      </c>
      <c r="F59" s="675"/>
      <c r="G59" s="24">
        <f t="shared" si="8"/>
        <v>1</v>
      </c>
      <c r="H59" s="675"/>
      <c r="I59" s="24">
        <f t="shared" si="9"/>
        <v>1</v>
      </c>
      <c r="J59" s="675"/>
      <c r="K59" s="24">
        <f t="shared" si="10"/>
        <v>1</v>
      </c>
      <c r="L59" s="675"/>
      <c r="M59" s="24">
        <f t="shared" si="11"/>
        <v>1</v>
      </c>
      <c r="N59" s="675"/>
      <c r="O59" s="24">
        <f t="shared" si="12"/>
        <v>1</v>
      </c>
      <c r="P59" s="675"/>
      <c r="Q59" s="24">
        <f t="shared" si="13"/>
        <v>0</v>
      </c>
      <c r="R59" s="671">
        <f t="shared" si="14"/>
        <v>0</v>
      </c>
      <c r="S59" s="322">
        <f t="shared" si="5"/>
        <v>0</v>
      </c>
    </row>
    <row r="60" spans="1:19">
      <c r="A60" s="155"/>
      <c r="B60" s="57"/>
      <c r="C60" s="24">
        <f t="shared" si="6"/>
        <v>1</v>
      </c>
      <c r="D60" s="675"/>
      <c r="E60" s="24">
        <f t="shared" si="7"/>
        <v>1</v>
      </c>
      <c r="F60" s="675"/>
      <c r="G60" s="24">
        <f t="shared" si="8"/>
        <v>1</v>
      </c>
      <c r="H60" s="675"/>
      <c r="I60" s="24">
        <f t="shared" si="9"/>
        <v>1</v>
      </c>
      <c r="J60" s="675"/>
      <c r="K60" s="24">
        <f t="shared" si="10"/>
        <v>1</v>
      </c>
      <c r="L60" s="675"/>
      <c r="M60" s="24">
        <f t="shared" si="11"/>
        <v>1</v>
      </c>
      <c r="N60" s="675"/>
      <c r="O60" s="24">
        <f t="shared" si="12"/>
        <v>1</v>
      </c>
      <c r="P60" s="675"/>
      <c r="Q60" s="24">
        <f t="shared" si="13"/>
        <v>0</v>
      </c>
      <c r="R60" s="671">
        <f t="shared" si="14"/>
        <v>0</v>
      </c>
      <c r="S60" s="322">
        <f t="shared" si="5"/>
        <v>0</v>
      </c>
    </row>
    <row r="61" spans="1:19">
      <c r="A61" s="155"/>
      <c r="B61" s="57"/>
      <c r="C61" s="24">
        <f t="shared" si="6"/>
        <v>1</v>
      </c>
      <c r="D61" s="675"/>
      <c r="E61" s="24">
        <f t="shared" si="7"/>
        <v>1</v>
      </c>
      <c r="F61" s="675"/>
      <c r="G61" s="24">
        <f t="shared" si="8"/>
        <v>1</v>
      </c>
      <c r="H61" s="675"/>
      <c r="I61" s="24">
        <f t="shared" si="9"/>
        <v>1</v>
      </c>
      <c r="J61" s="675"/>
      <c r="K61" s="24">
        <f t="shared" si="10"/>
        <v>1</v>
      </c>
      <c r="L61" s="675"/>
      <c r="M61" s="24">
        <f t="shared" si="11"/>
        <v>1</v>
      </c>
      <c r="N61" s="675"/>
      <c r="O61" s="24">
        <f t="shared" si="12"/>
        <v>1</v>
      </c>
      <c r="P61" s="675"/>
      <c r="Q61" s="24">
        <f t="shared" si="13"/>
        <v>0</v>
      </c>
      <c r="R61" s="671">
        <f t="shared" si="14"/>
        <v>0</v>
      </c>
      <c r="S61" s="322">
        <f t="shared" si="5"/>
        <v>0</v>
      </c>
    </row>
    <row r="62" spans="1:19">
      <c r="A62" s="155"/>
      <c r="B62" s="57"/>
      <c r="C62" s="24">
        <f t="shared" si="6"/>
        <v>1</v>
      </c>
      <c r="D62" s="675"/>
      <c r="E62" s="24">
        <f t="shared" si="7"/>
        <v>1</v>
      </c>
      <c r="F62" s="675"/>
      <c r="G62" s="24">
        <f t="shared" si="8"/>
        <v>1</v>
      </c>
      <c r="H62" s="675"/>
      <c r="I62" s="24">
        <f t="shared" si="9"/>
        <v>1</v>
      </c>
      <c r="J62" s="675"/>
      <c r="K62" s="24">
        <f t="shared" si="10"/>
        <v>1</v>
      </c>
      <c r="L62" s="675"/>
      <c r="M62" s="24">
        <f t="shared" si="11"/>
        <v>1</v>
      </c>
      <c r="N62" s="675"/>
      <c r="O62" s="24">
        <f t="shared" si="12"/>
        <v>1</v>
      </c>
      <c r="P62" s="675"/>
      <c r="Q62" s="24">
        <f t="shared" si="13"/>
        <v>0</v>
      </c>
      <c r="R62" s="671">
        <f t="shared" si="14"/>
        <v>0</v>
      </c>
      <c r="S62" s="322">
        <f t="shared" si="5"/>
        <v>0</v>
      </c>
    </row>
    <row r="63" spans="1:19">
      <c r="A63" s="155"/>
      <c r="B63" s="57"/>
      <c r="C63" s="24">
        <f t="shared" si="6"/>
        <v>1</v>
      </c>
      <c r="D63" s="675"/>
      <c r="E63" s="24">
        <f t="shared" si="7"/>
        <v>1</v>
      </c>
      <c r="F63" s="675"/>
      <c r="G63" s="24">
        <f t="shared" si="8"/>
        <v>1</v>
      </c>
      <c r="H63" s="675"/>
      <c r="I63" s="24">
        <f t="shared" si="9"/>
        <v>1</v>
      </c>
      <c r="J63" s="675"/>
      <c r="K63" s="24">
        <f t="shared" si="10"/>
        <v>1</v>
      </c>
      <c r="L63" s="675"/>
      <c r="M63" s="24">
        <f t="shared" si="11"/>
        <v>1</v>
      </c>
      <c r="N63" s="675"/>
      <c r="O63" s="24">
        <f t="shared" si="12"/>
        <v>1</v>
      </c>
      <c r="P63" s="675"/>
      <c r="Q63" s="24">
        <f t="shared" si="13"/>
        <v>0</v>
      </c>
      <c r="R63" s="671">
        <f t="shared" si="14"/>
        <v>0</v>
      </c>
      <c r="S63" s="322">
        <f t="shared" si="5"/>
        <v>0</v>
      </c>
    </row>
    <row r="64" spans="1:19">
      <c r="A64" s="155"/>
      <c r="B64" s="57"/>
      <c r="C64" s="24">
        <f t="shared" si="6"/>
        <v>1</v>
      </c>
      <c r="D64" s="675"/>
      <c r="E64" s="24">
        <f t="shared" si="7"/>
        <v>1</v>
      </c>
      <c r="F64" s="675"/>
      <c r="G64" s="24">
        <f t="shared" si="8"/>
        <v>1</v>
      </c>
      <c r="H64" s="675"/>
      <c r="I64" s="24">
        <f t="shared" si="9"/>
        <v>1</v>
      </c>
      <c r="J64" s="675"/>
      <c r="K64" s="24">
        <f t="shared" si="10"/>
        <v>1</v>
      </c>
      <c r="L64" s="675"/>
      <c r="M64" s="24">
        <f t="shared" si="11"/>
        <v>1</v>
      </c>
      <c r="N64" s="675"/>
      <c r="O64" s="24">
        <f t="shared" si="12"/>
        <v>1</v>
      </c>
      <c r="P64" s="675"/>
      <c r="Q64" s="24">
        <f t="shared" si="13"/>
        <v>0</v>
      </c>
      <c r="R64" s="671">
        <f t="shared" si="14"/>
        <v>0</v>
      </c>
      <c r="S64" s="322">
        <f t="shared" si="5"/>
        <v>0</v>
      </c>
    </row>
    <row r="65" spans="1:19">
      <c r="A65" s="155"/>
      <c r="B65" s="57"/>
      <c r="C65" s="24">
        <f t="shared" si="6"/>
        <v>1</v>
      </c>
      <c r="D65" s="675"/>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0</v>
      </c>
      <c r="R65" s="671">
        <f t="shared" si="14"/>
        <v>0</v>
      </c>
      <c r="S65" s="322">
        <f t="shared" si="5"/>
        <v>0</v>
      </c>
    </row>
    <row r="66" spans="1:19">
      <c r="A66" s="155"/>
      <c r="B66" s="57"/>
      <c r="C66" s="24">
        <f t="shared" si="6"/>
        <v>1</v>
      </c>
      <c r="D66" s="675"/>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0</v>
      </c>
      <c r="R66" s="671">
        <f t="shared" si="14"/>
        <v>0</v>
      </c>
      <c r="S66" s="322">
        <f t="shared" si="5"/>
        <v>0</v>
      </c>
    </row>
    <row r="67" spans="1:19">
      <c r="A67" s="155"/>
      <c r="B67" s="57"/>
      <c r="C67" s="24">
        <f t="shared" si="6"/>
        <v>1</v>
      </c>
      <c r="D67" s="675"/>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0</v>
      </c>
      <c r="R67" s="671">
        <f t="shared" si="14"/>
        <v>0</v>
      </c>
      <c r="S67" s="322">
        <f t="shared" si="5"/>
        <v>0</v>
      </c>
    </row>
    <row r="68" spans="1:19">
      <c r="A68" s="155"/>
      <c r="B68" s="57"/>
      <c r="C68" s="24">
        <f t="shared" si="6"/>
        <v>1</v>
      </c>
      <c r="D68" s="675"/>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0</v>
      </c>
      <c r="R68" s="671">
        <f t="shared" si="14"/>
        <v>0</v>
      </c>
      <c r="S68" s="322">
        <f t="shared" si="5"/>
        <v>0</v>
      </c>
    </row>
    <row r="69" spans="1:19">
      <c r="A69" s="155"/>
      <c r="B69" s="57"/>
      <c r="C69" s="24">
        <f t="shared" si="6"/>
        <v>1</v>
      </c>
      <c r="D69" s="675"/>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0</v>
      </c>
      <c r="R69" s="671">
        <f t="shared" si="14"/>
        <v>0</v>
      </c>
      <c r="S69" s="322">
        <f t="shared" si="5"/>
        <v>0</v>
      </c>
    </row>
    <row r="70" spans="1:19">
      <c r="A70" s="155"/>
      <c r="B70" s="57"/>
      <c r="C70" s="24">
        <f t="shared" si="6"/>
        <v>1</v>
      </c>
      <c r="D70" s="675"/>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0</v>
      </c>
      <c r="R70" s="671">
        <f t="shared" si="14"/>
        <v>0</v>
      </c>
      <c r="S70" s="322">
        <f t="shared" si="5"/>
        <v>0</v>
      </c>
    </row>
    <row r="71" spans="1:19">
      <c r="A71" s="155"/>
      <c r="B71" s="57"/>
      <c r="C71" s="24">
        <f t="shared" si="6"/>
        <v>1</v>
      </c>
      <c r="D71" s="675"/>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0</v>
      </c>
      <c r="R71" s="671">
        <f t="shared" si="14"/>
        <v>0</v>
      </c>
      <c r="S71" s="322">
        <f t="shared" si="5"/>
        <v>0</v>
      </c>
    </row>
    <row r="72" spans="1:19">
      <c r="A72" s="155"/>
      <c r="B72" s="57"/>
      <c r="C72" s="24">
        <f t="shared" si="6"/>
        <v>1</v>
      </c>
      <c r="D72" s="675"/>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0</v>
      </c>
      <c r="R72" s="671">
        <f t="shared" si="14"/>
        <v>0</v>
      </c>
      <c r="S72" s="322">
        <f t="shared" si="5"/>
        <v>0</v>
      </c>
    </row>
    <row r="73" spans="1:19">
      <c r="A73" s="155"/>
      <c r="B73" s="57"/>
      <c r="C73" s="24">
        <f t="shared" si="6"/>
        <v>1</v>
      </c>
      <c r="D73" s="675"/>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0</v>
      </c>
      <c r="R73" s="671">
        <f t="shared" si="14"/>
        <v>0</v>
      </c>
      <c r="S73" s="322">
        <f t="shared" si="5"/>
        <v>0</v>
      </c>
    </row>
    <row r="74" spans="1:19">
      <c r="A74" s="155"/>
      <c r="B74" s="57"/>
      <c r="C74" s="24">
        <f t="shared" si="6"/>
        <v>1</v>
      </c>
      <c r="D74" s="675"/>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0</v>
      </c>
      <c r="R74" s="671">
        <f t="shared" si="14"/>
        <v>0</v>
      </c>
      <c r="S74" s="322">
        <f t="shared" si="5"/>
        <v>0</v>
      </c>
    </row>
    <row r="75" spans="1:19">
      <c r="A75" s="155"/>
      <c r="B75" s="57"/>
      <c r="C75" s="24">
        <f t="shared" si="6"/>
        <v>1</v>
      </c>
      <c r="D75" s="675"/>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0</v>
      </c>
      <c r="R75" s="671">
        <f t="shared" si="14"/>
        <v>0</v>
      </c>
      <c r="S75" s="322">
        <f t="shared" si="5"/>
        <v>0</v>
      </c>
    </row>
    <row r="76" spans="1:19">
      <c r="A76" s="155"/>
      <c r="B76" s="57"/>
      <c r="C76" s="24">
        <f t="shared" si="6"/>
        <v>1</v>
      </c>
      <c r="D76" s="675"/>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0</v>
      </c>
      <c r="R76" s="671">
        <f t="shared" si="14"/>
        <v>0</v>
      </c>
      <c r="S76" s="322">
        <f t="shared" si="5"/>
        <v>0</v>
      </c>
    </row>
    <row r="77" spans="1:19">
      <c r="A77" s="155"/>
      <c r="B77" s="57"/>
      <c r="C77" s="24">
        <f t="shared" si="6"/>
        <v>1</v>
      </c>
      <c r="D77" s="675"/>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0</v>
      </c>
      <c r="R77" s="671">
        <f t="shared" si="14"/>
        <v>0</v>
      </c>
      <c r="S77" s="322">
        <f t="shared" si="5"/>
        <v>0</v>
      </c>
    </row>
    <row r="78" spans="1:19">
      <c r="A78" s="155"/>
      <c r="B78" s="57"/>
      <c r="C78" s="24">
        <f t="shared" si="6"/>
        <v>1</v>
      </c>
      <c r="D78" s="675"/>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0</v>
      </c>
      <c r="R78" s="671">
        <f t="shared" si="14"/>
        <v>0</v>
      </c>
      <c r="S78" s="322">
        <f t="shared" si="5"/>
        <v>0</v>
      </c>
    </row>
    <row r="79" spans="1:19">
      <c r="A79" s="155"/>
      <c r="B79" s="57"/>
      <c r="C79" s="24">
        <f t="shared" si="6"/>
        <v>1</v>
      </c>
      <c r="D79" s="675"/>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0</v>
      </c>
      <c r="R79" s="671">
        <f t="shared" si="14"/>
        <v>0</v>
      </c>
      <c r="S79" s="322">
        <f t="shared" si="5"/>
        <v>0</v>
      </c>
    </row>
    <row r="80" spans="1:19">
      <c r="A80" s="155"/>
      <c r="B80" s="57"/>
      <c r="C80" s="24">
        <f t="shared" si="6"/>
        <v>1</v>
      </c>
      <c r="D80" s="675"/>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0</v>
      </c>
      <c r="R80" s="671">
        <f t="shared" si="14"/>
        <v>0</v>
      </c>
      <c r="S80" s="322">
        <f t="shared" si="5"/>
        <v>0</v>
      </c>
    </row>
    <row r="81" spans="1:19">
      <c r="A81" s="155"/>
      <c r="B81" s="57"/>
      <c r="C81" s="24">
        <f t="shared" si="6"/>
        <v>1</v>
      </c>
      <c r="D81" s="675"/>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0</v>
      </c>
      <c r="R81" s="671">
        <f t="shared" si="14"/>
        <v>0</v>
      </c>
      <c r="S81" s="322">
        <f t="shared" si="5"/>
        <v>0</v>
      </c>
    </row>
    <row r="82" spans="1:19">
      <c r="A82" s="155"/>
      <c r="B82" s="57"/>
      <c r="C82" s="24">
        <f t="shared" si="6"/>
        <v>1</v>
      </c>
      <c r="D82" s="675"/>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0</v>
      </c>
      <c r="R82" s="671">
        <f t="shared" si="14"/>
        <v>0</v>
      </c>
      <c r="S82" s="322">
        <f t="shared" si="5"/>
        <v>0</v>
      </c>
    </row>
    <row r="83" spans="1:19">
      <c r="A83" s="155"/>
      <c r="B83" s="57"/>
      <c r="C83" s="24">
        <f t="shared" si="6"/>
        <v>1</v>
      </c>
      <c r="D83" s="675"/>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0</v>
      </c>
      <c r="R83" s="671">
        <f t="shared" si="14"/>
        <v>0</v>
      </c>
      <c r="S83" s="322">
        <f t="shared" si="5"/>
        <v>0</v>
      </c>
    </row>
    <row r="84" spans="1:19">
      <c r="A84" s="155"/>
      <c r="B84" s="57"/>
      <c r="C84" s="24">
        <f t="shared" si="6"/>
        <v>1</v>
      </c>
      <c r="D84" s="675"/>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0</v>
      </c>
      <c r="R84" s="671">
        <f t="shared" si="14"/>
        <v>0</v>
      </c>
      <c r="S84" s="322">
        <f t="shared" si="5"/>
        <v>0</v>
      </c>
    </row>
    <row r="85" spans="1:19">
      <c r="A85" s="155"/>
      <c r="B85" s="57"/>
      <c r="C85" s="24">
        <f t="shared" si="6"/>
        <v>1</v>
      </c>
      <c r="D85" s="675"/>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0</v>
      </c>
      <c r="R85" s="671">
        <f t="shared" si="14"/>
        <v>0</v>
      </c>
      <c r="S85" s="322">
        <f t="shared" si="5"/>
        <v>0</v>
      </c>
    </row>
    <row r="86" spans="1:19">
      <c r="A86" s="155"/>
      <c r="B86" s="57"/>
      <c r="C86" s="24">
        <f t="shared" si="6"/>
        <v>1</v>
      </c>
      <c r="D86" s="675"/>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0</v>
      </c>
      <c r="R86" s="671">
        <f t="shared" si="14"/>
        <v>0</v>
      </c>
      <c r="S86" s="322">
        <f t="shared" si="5"/>
        <v>0</v>
      </c>
    </row>
    <row r="87" spans="1:19">
      <c r="A87" s="155"/>
      <c r="B87" s="57"/>
      <c r="C87" s="24">
        <f t="shared" si="6"/>
        <v>1</v>
      </c>
      <c r="D87" s="675"/>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0</v>
      </c>
      <c r="R87" s="671">
        <f t="shared" si="14"/>
        <v>0</v>
      </c>
      <c r="S87" s="322">
        <f t="shared" si="5"/>
        <v>0</v>
      </c>
    </row>
    <row r="88" spans="1:19">
      <c r="A88" s="155"/>
      <c r="B88" s="57"/>
      <c r="C88" s="24">
        <f t="shared" si="6"/>
        <v>1</v>
      </c>
      <c r="D88" s="675"/>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0</v>
      </c>
      <c r="R88" s="671">
        <f t="shared" si="14"/>
        <v>0</v>
      </c>
      <c r="S88" s="322">
        <f t="shared" ref="S88:S151" si="15">ROUND(R88*B88/10000,0)</f>
        <v>0</v>
      </c>
    </row>
    <row r="89" spans="1:19">
      <c r="A89" s="155"/>
      <c r="B89" s="57"/>
      <c r="C89" s="24">
        <f t="shared" si="6"/>
        <v>1</v>
      </c>
      <c r="D89" s="675"/>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0</v>
      </c>
      <c r="R89" s="671">
        <f t="shared" si="14"/>
        <v>0</v>
      </c>
      <c r="S89" s="322">
        <f t="shared" si="15"/>
        <v>0</v>
      </c>
    </row>
    <row r="90" spans="1:19">
      <c r="A90" s="155"/>
      <c r="B90" s="57"/>
      <c r="C90" s="24">
        <f t="shared" ref="C90:C153" si="16">IF(B90="",1,(LOOKUP(B90,$3:$3,$4:$4)-LOOKUP($B$24,$3:$3,$4:$4)+100)/100)</f>
        <v>1</v>
      </c>
      <c r="D90" s="675"/>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0</v>
      </c>
      <c r="R90" s="671">
        <f t="shared" ref="R90:R153" si="24">IF(B90="",0,ROUND($R$24*C90*E90*G90*I90*K90*M90*O90*Q90,0))</f>
        <v>0</v>
      </c>
      <c r="S90" s="322">
        <f t="shared" si="15"/>
        <v>0</v>
      </c>
    </row>
    <row r="91" spans="1:19">
      <c r="A91" s="155"/>
      <c r="B91" s="57"/>
      <c r="C91" s="24">
        <f t="shared" si="16"/>
        <v>1</v>
      </c>
      <c r="D91" s="675"/>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0</v>
      </c>
      <c r="R91" s="671">
        <f t="shared" si="24"/>
        <v>0</v>
      </c>
      <c r="S91" s="322">
        <f t="shared" si="15"/>
        <v>0</v>
      </c>
    </row>
    <row r="92" spans="1:19">
      <c r="A92" s="155"/>
      <c r="B92" s="57"/>
      <c r="C92" s="24">
        <f t="shared" si="16"/>
        <v>1</v>
      </c>
      <c r="D92" s="675"/>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0</v>
      </c>
      <c r="R92" s="671">
        <f t="shared" si="24"/>
        <v>0</v>
      </c>
      <c r="S92" s="322">
        <f t="shared" si="15"/>
        <v>0</v>
      </c>
    </row>
    <row r="93" spans="1:19">
      <c r="A93" s="155"/>
      <c r="B93" s="57"/>
      <c r="C93" s="24">
        <f t="shared" si="16"/>
        <v>1</v>
      </c>
      <c r="D93" s="675"/>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0</v>
      </c>
      <c r="R93" s="671">
        <f t="shared" si="24"/>
        <v>0</v>
      </c>
      <c r="S93" s="322">
        <f t="shared" si="15"/>
        <v>0</v>
      </c>
    </row>
    <row r="94" spans="1:19">
      <c r="A94" s="155"/>
      <c r="B94" s="57"/>
      <c r="C94" s="24">
        <f t="shared" si="16"/>
        <v>1</v>
      </c>
      <c r="D94" s="675"/>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0</v>
      </c>
      <c r="R94" s="671">
        <f t="shared" si="24"/>
        <v>0</v>
      </c>
      <c r="S94" s="322">
        <f t="shared" si="15"/>
        <v>0</v>
      </c>
    </row>
    <row r="95" spans="1:19">
      <c r="A95" s="155"/>
      <c r="B95" s="57"/>
      <c r="C95" s="24">
        <f t="shared" si="16"/>
        <v>1</v>
      </c>
      <c r="D95" s="675"/>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0</v>
      </c>
      <c r="R95" s="671">
        <f t="shared" si="24"/>
        <v>0</v>
      </c>
      <c r="S95" s="322">
        <f t="shared" si="15"/>
        <v>0</v>
      </c>
    </row>
    <row r="96" spans="1:19">
      <c r="A96" s="155"/>
      <c r="B96" s="57"/>
      <c r="C96" s="24">
        <f t="shared" si="16"/>
        <v>1</v>
      </c>
      <c r="D96" s="675"/>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0</v>
      </c>
      <c r="R96" s="671">
        <f t="shared" si="24"/>
        <v>0</v>
      </c>
      <c r="S96" s="322">
        <f t="shared" si="15"/>
        <v>0</v>
      </c>
    </row>
    <row r="97" spans="1:19">
      <c r="A97" s="155"/>
      <c r="B97" s="57"/>
      <c r="C97" s="24">
        <f t="shared" si="16"/>
        <v>1</v>
      </c>
      <c r="D97" s="675"/>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0</v>
      </c>
      <c r="R97" s="671">
        <f t="shared" si="24"/>
        <v>0</v>
      </c>
      <c r="S97" s="322">
        <f t="shared" si="15"/>
        <v>0</v>
      </c>
    </row>
    <row r="98" spans="1:19">
      <c r="A98" s="155"/>
      <c r="B98" s="57"/>
      <c r="C98" s="24">
        <f t="shared" si="16"/>
        <v>1</v>
      </c>
      <c r="D98" s="675"/>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0</v>
      </c>
      <c r="R98" s="671">
        <f t="shared" si="24"/>
        <v>0</v>
      </c>
      <c r="S98" s="322">
        <f t="shared" si="15"/>
        <v>0</v>
      </c>
    </row>
    <row r="99" spans="1:19">
      <c r="A99" s="155"/>
      <c r="B99" s="57"/>
      <c r="C99" s="24">
        <f t="shared" si="16"/>
        <v>1</v>
      </c>
      <c r="D99" s="675"/>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0</v>
      </c>
      <c r="R99" s="671">
        <f t="shared" si="24"/>
        <v>0</v>
      </c>
      <c r="S99" s="322">
        <f t="shared" si="15"/>
        <v>0</v>
      </c>
    </row>
    <row r="100" spans="1:19">
      <c r="A100" s="155"/>
      <c r="B100" s="57"/>
      <c r="C100" s="24">
        <f t="shared" si="16"/>
        <v>1</v>
      </c>
      <c r="D100" s="675"/>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0</v>
      </c>
      <c r="R100" s="671">
        <f t="shared" si="24"/>
        <v>0</v>
      </c>
      <c r="S100" s="322">
        <f t="shared" si="15"/>
        <v>0</v>
      </c>
    </row>
    <row r="101" spans="1:19">
      <c r="A101" s="155"/>
      <c r="B101" s="57"/>
      <c r="C101" s="24">
        <f t="shared" si="16"/>
        <v>1</v>
      </c>
      <c r="D101" s="675"/>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0</v>
      </c>
      <c r="R101" s="671">
        <f t="shared" si="24"/>
        <v>0</v>
      </c>
      <c r="S101" s="322">
        <f t="shared" si="15"/>
        <v>0</v>
      </c>
    </row>
    <row r="102" spans="1:19">
      <c r="A102" s="155"/>
      <c r="B102" s="57"/>
      <c r="C102" s="24">
        <f t="shared" si="16"/>
        <v>1</v>
      </c>
      <c r="D102" s="675"/>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0</v>
      </c>
      <c r="R102" s="671">
        <f t="shared" si="24"/>
        <v>0</v>
      </c>
      <c r="S102" s="322">
        <f t="shared" si="15"/>
        <v>0</v>
      </c>
    </row>
    <row r="103" spans="1:19">
      <c r="A103" s="155"/>
      <c r="B103" s="57"/>
      <c r="C103" s="24">
        <f t="shared" si="16"/>
        <v>1</v>
      </c>
      <c r="D103" s="675"/>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0</v>
      </c>
      <c r="R103" s="671">
        <f t="shared" si="24"/>
        <v>0</v>
      </c>
      <c r="S103" s="322">
        <f t="shared" si="15"/>
        <v>0</v>
      </c>
    </row>
    <row r="104" spans="1:19">
      <c r="A104" s="155"/>
      <c r="B104" s="57"/>
      <c r="C104" s="24">
        <f t="shared" si="16"/>
        <v>1</v>
      </c>
      <c r="D104" s="675"/>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0</v>
      </c>
      <c r="R104" s="671">
        <f t="shared" si="24"/>
        <v>0</v>
      </c>
      <c r="S104" s="322">
        <f t="shared" si="15"/>
        <v>0</v>
      </c>
    </row>
    <row r="105" spans="1:19">
      <c r="A105" s="155"/>
      <c r="B105" s="57"/>
      <c r="C105" s="24">
        <f t="shared" si="16"/>
        <v>1</v>
      </c>
      <c r="D105" s="675"/>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0</v>
      </c>
      <c r="R105" s="671">
        <f t="shared" si="24"/>
        <v>0</v>
      </c>
      <c r="S105" s="322">
        <f t="shared" si="15"/>
        <v>0</v>
      </c>
    </row>
    <row r="106" spans="1:19">
      <c r="A106" s="155"/>
      <c r="B106" s="57"/>
      <c r="C106" s="24">
        <f t="shared" si="16"/>
        <v>1</v>
      </c>
      <c r="D106" s="675"/>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0</v>
      </c>
      <c r="R106" s="671">
        <f t="shared" si="24"/>
        <v>0</v>
      </c>
      <c r="S106" s="322">
        <f t="shared" si="15"/>
        <v>0</v>
      </c>
    </row>
    <row r="107" spans="1:19">
      <c r="A107" s="155"/>
      <c r="B107" s="57"/>
      <c r="C107" s="24">
        <f t="shared" si="16"/>
        <v>1</v>
      </c>
      <c r="D107" s="675"/>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0</v>
      </c>
      <c r="R107" s="671">
        <f t="shared" si="24"/>
        <v>0</v>
      </c>
      <c r="S107" s="322">
        <f t="shared" si="15"/>
        <v>0</v>
      </c>
    </row>
    <row r="108" spans="1:19">
      <c r="A108" s="155"/>
      <c r="B108" s="57"/>
      <c r="C108" s="24">
        <f t="shared" si="16"/>
        <v>1</v>
      </c>
      <c r="D108" s="675"/>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0</v>
      </c>
      <c r="R108" s="671">
        <f t="shared" si="24"/>
        <v>0</v>
      </c>
      <c r="S108" s="322">
        <f t="shared" si="15"/>
        <v>0</v>
      </c>
    </row>
    <row r="109" spans="1:19">
      <c r="A109" s="155"/>
      <c r="B109" s="57"/>
      <c r="C109" s="24">
        <f t="shared" si="16"/>
        <v>1</v>
      </c>
      <c r="D109" s="675"/>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0</v>
      </c>
      <c r="R109" s="671">
        <f t="shared" si="24"/>
        <v>0</v>
      </c>
      <c r="S109" s="322">
        <f t="shared" si="15"/>
        <v>0</v>
      </c>
    </row>
    <row r="110" spans="1:19">
      <c r="A110" s="155"/>
      <c r="B110" s="57"/>
      <c r="C110" s="24">
        <f t="shared" si="16"/>
        <v>1</v>
      </c>
      <c r="D110" s="675"/>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0</v>
      </c>
      <c r="R110" s="671">
        <f t="shared" si="24"/>
        <v>0</v>
      </c>
      <c r="S110" s="322">
        <f t="shared" si="15"/>
        <v>0</v>
      </c>
    </row>
    <row r="111" spans="1:19">
      <c r="A111" s="155"/>
      <c r="B111" s="57"/>
      <c r="C111" s="24">
        <f t="shared" si="16"/>
        <v>1</v>
      </c>
      <c r="D111" s="675"/>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0</v>
      </c>
      <c r="R111" s="671">
        <f t="shared" si="24"/>
        <v>0</v>
      </c>
      <c r="S111" s="322">
        <f t="shared" si="15"/>
        <v>0</v>
      </c>
    </row>
    <row r="112" spans="1:19">
      <c r="A112" s="155"/>
      <c r="B112" s="57"/>
      <c r="C112" s="24">
        <f t="shared" si="16"/>
        <v>1</v>
      </c>
      <c r="D112" s="675"/>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0</v>
      </c>
      <c r="R112" s="671">
        <f t="shared" si="24"/>
        <v>0</v>
      </c>
      <c r="S112" s="322">
        <f t="shared" si="15"/>
        <v>0</v>
      </c>
    </row>
    <row r="113" spans="1:19">
      <c r="A113" s="155"/>
      <c r="B113" s="57"/>
      <c r="C113" s="24">
        <f t="shared" si="16"/>
        <v>1</v>
      </c>
      <c r="D113" s="675"/>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0</v>
      </c>
      <c r="R113" s="671">
        <f t="shared" si="24"/>
        <v>0</v>
      </c>
      <c r="S113" s="322">
        <f t="shared" si="15"/>
        <v>0</v>
      </c>
    </row>
    <row r="114" spans="1:19">
      <c r="A114" s="155"/>
      <c r="B114" s="57"/>
      <c r="C114" s="24">
        <f t="shared" si="16"/>
        <v>1</v>
      </c>
      <c r="D114" s="675"/>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0</v>
      </c>
      <c r="R114" s="671">
        <f t="shared" si="24"/>
        <v>0</v>
      </c>
      <c r="S114" s="322">
        <f t="shared" si="15"/>
        <v>0</v>
      </c>
    </row>
    <row r="115" spans="1:19">
      <c r="A115" s="155"/>
      <c r="B115" s="57"/>
      <c r="C115" s="24">
        <f t="shared" si="16"/>
        <v>1</v>
      </c>
      <c r="D115" s="675"/>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0</v>
      </c>
      <c r="R115" s="671">
        <f t="shared" si="24"/>
        <v>0</v>
      </c>
      <c r="S115" s="322">
        <f t="shared" si="15"/>
        <v>0</v>
      </c>
    </row>
    <row r="116" spans="1:19">
      <c r="A116" s="155"/>
      <c r="B116" s="57"/>
      <c r="C116" s="24">
        <f t="shared" si="16"/>
        <v>1</v>
      </c>
      <c r="D116" s="675"/>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0</v>
      </c>
      <c r="R116" s="671">
        <f t="shared" si="24"/>
        <v>0</v>
      </c>
      <c r="S116" s="322">
        <f t="shared" si="15"/>
        <v>0</v>
      </c>
    </row>
    <row r="117" spans="1:19">
      <c r="A117" s="155"/>
      <c r="B117" s="57"/>
      <c r="C117" s="24">
        <f t="shared" si="16"/>
        <v>1</v>
      </c>
      <c r="D117" s="675"/>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0</v>
      </c>
      <c r="R117" s="671">
        <f t="shared" si="24"/>
        <v>0</v>
      </c>
      <c r="S117" s="322">
        <f t="shared" si="15"/>
        <v>0</v>
      </c>
    </row>
    <row r="118" spans="1:19">
      <c r="A118" s="155"/>
      <c r="B118" s="57"/>
      <c r="C118" s="24">
        <f t="shared" si="16"/>
        <v>1</v>
      </c>
      <c r="D118" s="675"/>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0</v>
      </c>
      <c r="R118" s="671">
        <f t="shared" si="24"/>
        <v>0</v>
      </c>
      <c r="S118" s="322">
        <f t="shared" si="15"/>
        <v>0</v>
      </c>
    </row>
    <row r="119" spans="1:19">
      <c r="A119" s="155"/>
      <c r="B119" s="57"/>
      <c r="C119" s="24">
        <f t="shared" si="16"/>
        <v>1</v>
      </c>
      <c r="D119" s="675"/>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0</v>
      </c>
      <c r="R119" s="671">
        <f t="shared" si="24"/>
        <v>0</v>
      </c>
      <c r="S119" s="322">
        <f t="shared" si="15"/>
        <v>0</v>
      </c>
    </row>
    <row r="120" spans="1:19">
      <c r="A120" s="155"/>
      <c r="B120" s="57"/>
      <c r="C120" s="24">
        <f t="shared" si="16"/>
        <v>1</v>
      </c>
      <c r="D120" s="675"/>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0</v>
      </c>
      <c r="R120" s="671">
        <f t="shared" si="24"/>
        <v>0</v>
      </c>
      <c r="S120" s="322">
        <f t="shared" si="15"/>
        <v>0</v>
      </c>
    </row>
    <row r="121" spans="1:19">
      <c r="A121" s="155"/>
      <c r="B121" s="57"/>
      <c r="C121" s="24">
        <f t="shared" si="16"/>
        <v>1</v>
      </c>
      <c r="D121" s="675"/>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0</v>
      </c>
      <c r="R121" s="671">
        <f t="shared" si="24"/>
        <v>0</v>
      </c>
      <c r="S121" s="322">
        <f t="shared" si="15"/>
        <v>0</v>
      </c>
    </row>
    <row r="122" spans="1:19">
      <c r="A122" s="155"/>
      <c r="B122" s="57"/>
      <c r="C122" s="24">
        <f t="shared" si="16"/>
        <v>1</v>
      </c>
      <c r="D122" s="675"/>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0</v>
      </c>
      <c r="R122" s="671">
        <f t="shared" si="24"/>
        <v>0</v>
      </c>
      <c r="S122" s="322">
        <f t="shared" si="15"/>
        <v>0</v>
      </c>
    </row>
    <row r="123" spans="1:19">
      <c r="A123" s="155"/>
      <c r="B123" s="57"/>
      <c r="C123" s="24">
        <f t="shared" si="16"/>
        <v>1</v>
      </c>
      <c r="D123" s="675"/>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0</v>
      </c>
      <c r="R123" s="671">
        <f t="shared" si="24"/>
        <v>0</v>
      </c>
      <c r="S123" s="322">
        <f t="shared" si="15"/>
        <v>0</v>
      </c>
    </row>
    <row r="124" spans="1:19">
      <c r="A124" s="155"/>
      <c r="B124" s="57"/>
      <c r="C124" s="24">
        <f t="shared" si="16"/>
        <v>1</v>
      </c>
      <c r="D124" s="675"/>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0</v>
      </c>
      <c r="R124" s="671">
        <f t="shared" si="24"/>
        <v>0</v>
      </c>
      <c r="S124" s="322">
        <f t="shared" si="15"/>
        <v>0</v>
      </c>
    </row>
    <row r="125" spans="1:19">
      <c r="A125" s="155"/>
      <c r="B125" s="57"/>
      <c r="C125" s="24">
        <f t="shared" si="16"/>
        <v>1</v>
      </c>
      <c r="D125" s="675"/>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0</v>
      </c>
      <c r="R125" s="671">
        <f t="shared" si="24"/>
        <v>0</v>
      </c>
      <c r="S125" s="322">
        <f t="shared" si="15"/>
        <v>0</v>
      </c>
    </row>
    <row r="126" spans="1:19">
      <c r="A126" s="155"/>
      <c r="B126" s="57"/>
      <c r="C126" s="24">
        <f t="shared" si="16"/>
        <v>1</v>
      </c>
      <c r="D126" s="675"/>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0</v>
      </c>
      <c r="R126" s="671">
        <f t="shared" si="24"/>
        <v>0</v>
      </c>
      <c r="S126" s="322">
        <f t="shared" si="15"/>
        <v>0</v>
      </c>
    </row>
    <row r="127" spans="1:19">
      <c r="A127" s="155"/>
      <c r="B127" s="57"/>
      <c r="C127" s="24">
        <f t="shared" si="16"/>
        <v>1</v>
      </c>
      <c r="D127" s="675"/>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0</v>
      </c>
      <c r="R127" s="671">
        <f t="shared" si="24"/>
        <v>0</v>
      </c>
      <c r="S127" s="322">
        <f t="shared" si="15"/>
        <v>0</v>
      </c>
    </row>
    <row r="128" spans="1:19">
      <c r="A128" s="155"/>
      <c r="B128" s="57"/>
      <c r="C128" s="24">
        <f t="shared" si="16"/>
        <v>1</v>
      </c>
      <c r="D128" s="675"/>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0</v>
      </c>
      <c r="R128" s="671">
        <f t="shared" si="24"/>
        <v>0</v>
      </c>
      <c r="S128" s="322">
        <f t="shared" si="15"/>
        <v>0</v>
      </c>
    </row>
    <row r="129" spans="1:19">
      <c r="A129" s="155"/>
      <c r="B129" s="57"/>
      <c r="C129" s="24">
        <f t="shared" si="16"/>
        <v>1</v>
      </c>
      <c r="D129" s="675"/>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0</v>
      </c>
      <c r="R129" s="671">
        <f t="shared" si="24"/>
        <v>0</v>
      </c>
      <c r="S129" s="322">
        <f t="shared" si="15"/>
        <v>0</v>
      </c>
    </row>
    <row r="130" spans="1:19">
      <c r="A130" s="155"/>
      <c r="B130" s="57"/>
      <c r="C130" s="24">
        <f t="shared" si="16"/>
        <v>1</v>
      </c>
      <c r="D130" s="675"/>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0</v>
      </c>
      <c r="R130" s="671">
        <f t="shared" si="24"/>
        <v>0</v>
      </c>
      <c r="S130" s="322">
        <f t="shared" si="15"/>
        <v>0</v>
      </c>
    </row>
    <row r="131" spans="1:19">
      <c r="A131" s="155"/>
      <c r="B131" s="57"/>
      <c r="C131" s="24">
        <f t="shared" si="16"/>
        <v>1</v>
      </c>
      <c r="D131" s="675"/>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0</v>
      </c>
      <c r="R131" s="671">
        <f t="shared" si="24"/>
        <v>0</v>
      </c>
      <c r="S131" s="322">
        <f t="shared" si="15"/>
        <v>0</v>
      </c>
    </row>
    <row r="132" spans="1:19">
      <c r="A132" s="155"/>
      <c r="B132" s="57"/>
      <c r="C132" s="24">
        <f t="shared" si="16"/>
        <v>1</v>
      </c>
      <c r="D132" s="675"/>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0</v>
      </c>
      <c r="R132" s="671">
        <f t="shared" si="24"/>
        <v>0</v>
      </c>
      <c r="S132" s="322">
        <f t="shared" si="15"/>
        <v>0</v>
      </c>
    </row>
    <row r="133" spans="1:19">
      <c r="A133" s="155"/>
      <c r="B133" s="57"/>
      <c r="C133" s="24">
        <f t="shared" si="16"/>
        <v>1</v>
      </c>
      <c r="D133" s="675"/>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0</v>
      </c>
      <c r="R133" s="671">
        <f t="shared" si="24"/>
        <v>0</v>
      </c>
      <c r="S133" s="322">
        <f t="shared" si="15"/>
        <v>0</v>
      </c>
    </row>
    <row r="134" spans="1:19">
      <c r="A134" s="155"/>
      <c r="B134" s="57"/>
      <c r="C134" s="24">
        <f t="shared" si="16"/>
        <v>1</v>
      </c>
      <c r="D134" s="675"/>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0</v>
      </c>
      <c r="R134" s="671">
        <f t="shared" si="24"/>
        <v>0</v>
      </c>
      <c r="S134" s="322">
        <f t="shared" si="15"/>
        <v>0</v>
      </c>
    </row>
    <row r="135" spans="1:19">
      <c r="A135" s="155"/>
      <c r="B135" s="57"/>
      <c r="C135" s="24">
        <f t="shared" si="16"/>
        <v>1</v>
      </c>
      <c r="D135" s="675"/>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0</v>
      </c>
      <c r="R135" s="671">
        <f t="shared" si="24"/>
        <v>0</v>
      </c>
      <c r="S135" s="322">
        <f t="shared" si="15"/>
        <v>0</v>
      </c>
    </row>
    <row r="136" spans="1:19">
      <c r="A136" s="155"/>
      <c r="B136" s="57"/>
      <c r="C136" s="24">
        <f t="shared" si="16"/>
        <v>1</v>
      </c>
      <c r="D136" s="675"/>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0</v>
      </c>
      <c r="R136" s="671">
        <f t="shared" si="24"/>
        <v>0</v>
      </c>
      <c r="S136" s="322">
        <f t="shared" si="15"/>
        <v>0</v>
      </c>
    </row>
    <row r="137" spans="1:19">
      <c r="A137" s="155"/>
      <c r="B137" s="57"/>
      <c r="C137" s="24">
        <f t="shared" si="16"/>
        <v>1</v>
      </c>
      <c r="D137" s="675"/>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0</v>
      </c>
      <c r="R137" s="671">
        <f t="shared" si="24"/>
        <v>0</v>
      </c>
      <c r="S137" s="322">
        <f t="shared" si="15"/>
        <v>0</v>
      </c>
    </row>
    <row r="138" spans="1:19">
      <c r="A138" s="155"/>
      <c r="B138" s="57"/>
      <c r="C138" s="24">
        <f t="shared" si="16"/>
        <v>1</v>
      </c>
      <c r="D138" s="675"/>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0</v>
      </c>
      <c r="R138" s="671">
        <f t="shared" si="24"/>
        <v>0</v>
      </c>
      <c r="S138" s="322">
        <f t="shared" si="15"/>
        <v>0</v>
      </c>
    </row>
    <row r="139" spans="1:19">
      <c r="A139" s="155"/>
      <c r="B139" s="57"/>
      <c r="C139" s="24">
        <f t="shared" si="16"/>
        <v>1</v>
      </c>
      <c r="D139" s="675"/>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0</v>
      </c>
      <c r="R139" s="671">
        <f t="shared" si="24"/>
        <v>0</v>
      </c>
      <c r="S139" s="322">
        <f t="shared" si="15"/>
        <v>0</v>
      </c>
    </row>
    <row r="140" spans="1:19">
      <c r="A140" s="155"/>
      <c r="B140" s="57"/>
      <c r="C140" s="24">
        <f t="shared" si="16"/>
        <v>1</v>
      </c>
      <c r="D140" s="675"/>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0</v>
      </c>
      <c r="R140" s="671">
        <f t="shared" si="24"/>
        <v>0</v>
      </c>
      <c r="S140" s="322">
        <f t="shared" si="15"/>
        <v>0</v>
      </c>
    </row>
    <row r="141" spans="1:19">
      <c r="A141" s="155"/>
      <c r="B141" s="57"/>
      <c r="C141" s="24">
        <f t="shared" si="16"/>
        <v>1</v>
      </c>
      <c r="D141" s="675"/>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0</v>
      </c>
      <c r="R141" s="671">
        <f t="shared" si="24"/>
        <v>0</v>
      </c>
      <c r="S141" s="322">
        <f t="shared" si="15"/>
        <v>0</v>
      </c>
    </row>
    <row r="142" spans="1:19">
      <c r="A142" s="155"/>
      <c r="B142" s="57"/>
      <c r="C142" s="24">
        <f t="shared" si="16"/>
        <v>1</v>
      </c>
      <c r="D142" s="675"/>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0</v>
      </c>
      <c r="R142" s="671">
        <f t="shared" si="24"/>
        <v>0</v>
      </c>
      <c r="S142" s="322">
        <f t="shared" si="15"/>
        <v>0</v>
      </c>
    </row>
    <row r="143" spans="1:19">
      <c r="A143" s="155"/>
      <c r="B143" s="57"/>
      <c r="C143" s="24">
        <f t="shared" si="16"/>
        <v>1</v>
      </c>
      <c r="D143" s="675"/>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0</v>
      </c>
      <c r="R143" s="671">
        <f t="shared" si="24"/>
        <v>0</v>
      </c>
      <c r="S143" s="322">
        <f t="shared" si="15"/>
        <v>0</v>
      </c>
    </row>
    <row r="144" spans="1:19">
      <c r="A144" s="155"/>
      <c r="B144" s="57"/>
      <c r="C144" s="24">
        <f t="shared" si="16"/>
        <v>1</v>
      </c>
      <c r="D144" s="675"/>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0</v>
      </c>
      <c r="R144" s="671">
        <f t="shared" si="24"/>
        <v>0</v>
      </c>
      <c r="S144" s="322">
        <f t="shared" si="15"/>
        <v>0</v>
      </c>
    </row>
    <row r="145" spans="1:19">
      <c r="A145" s="155"/>
      <c r="B145" s="57"/>
      <c r="C145" s="24">
        <f t="shared" si="16"/>
        <v>1</v>
      </c>
      <c r="D145" s="675"/>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0</v>
      </c>
      <c r="R145" s="671">
        <f t="shared" si="24"/>
        <v>0</v>
      </c>
      <c r="S145" s="322">
        <f t="shared" si="15"/>
        <v>0</v>
      </c>
    </row>
    <row r="146" spans="1:19">
      <c r="A146" s="155"/>
      <c r="B146" s="57"/>
      <c r="C146" s="24">
        <f t="shared" si="16"/>
        <v>1</v>
      </c>
      <c r="D146" s="675"/>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0</v>
      </c>
      <c r="R146" s="671">
        <f t="shared" si="24"/>
        <v>0</v>
      </c>
      <c r="S146" s="322">
        <f t="shared" si="15"/>
        <v>0</v>
      </c>
    </row>
    <row r="147" spans="1:19">
      <c r="A147" s="155"/>
      <c r="B147" s="57"/>
      <c r="C147" s="24">
        <f t="shared" si="16"/>
        <v>1</v>
      </c>
      <c r="D147" s="675"/>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0</v>
      </c>
      <c r="R147" s="671">
        <f t="shared" si="24"/>
        <v>0</v>
      </c>
      <c r="S147" s="322">
        <f t="shared" si="15"/>
        <v>0</v>
      </c>
    </row>
    <row r="148" spans="1:19">
      <c r="A148" s="155"/>
      <c r="B148" s="57"/>
      <c r="C148" s="24">
        <f t="shared" si="16"/>
        <v>1</v>
      </c>
      <c r="D148" s="675"/>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0</v>
      </c>
      <c r="R148" s="671">
        <f t="shared" si="24"/>
        <v>0</v>
      </c>
      <c r="S148" s="322">
        <f t="shared" si="15"/>
        <v>0</v>
      </c>
    </row>
    <row r="149" spans="1:19">
      <c r="A149" s="155"/>
      <c r="B149" s="57"/>
      <c r="C149" s="24">
        <f t="shared" si="16"/>
        <v>1</v>
      </c>
      <c r="D149" s="675"/>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0</v>
      </c>
      <c r="R149" s="671">
        <f t="shared" si="24"/>
        <v>0</v>
      </c>
      <c r="S149" s="322">
        <f t="shared" si="15"/>
        <v>0</v>
      </c>
    </row>
    <row r="150" spans="1:19">
      <c r="A150" s="155"/>
      <c r="B150" s="57"/>
      <c r="C150" s="24">
        <f t="shared" si="16"/>
        <v>1</v>
      </c>
      <c r="D150" s="675"/>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0</v>
      </c>
      <c r="R150" s="671">
        <f t="shared" si="24"/>
        <v>0</v>
      </c>
      <c r="S150" s="322">
        <f t="shared" si="15"/>
        <v>0</v>
      </c>
    </row>
    <row r="151" spans="1:19">
      <c r="A151" s="155"/>
      <c r="B151" s="57"/>
      <c r="C151" s="24">
        <f t="shared" si="16"/>
        <v>1</v>
      </c>
      <c r="D151" s="675"/>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0</v>
      </c>
      <c r="R151" s="671">
        <f t="shared" si="24"/>
        <v>0</v>
      </c>
      <c r="S151" s="322">
        <f t="shared" si="15"/>
        <v>0</v>
      </c>
    </row>
    <row r="152" spans="1:19">
      <c r="A152" s="155"/>
      <c r="B152" s="57"/>
      <c r="C152" s="24">
        <f t="shared" si="16"/>
        <v>1</v>
      </c>
      <c r="D152" s="675"/>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0</v>
      </c>
      <c r="R152" s="671">
        <f t="shared" si="24"/>
        <v>0</v>
      </c>
      <c r="S152" s="322">
        <f t="shared" ref="S152:S215" si="25">ROUND(R152*B152/10000,0)</f>
        <v>0</v>
      </c>
    </row>
    <row r="153" spans="1:19">
      <c r="A153" s="155"/>
      <c r="B153" s="57"/>
      <c r="C153" s="24">
        <f t="shared" si="16"/>
        <v>1</v>
      </c>
      <c r="D153" s="675"/>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0</v>
      </c>
      <c r="R153" s="671">
        <f t="shared" si="24"/>
        <v>0</v>
      </c>
      <c r="S153" s="322">
        <f t="shared" si="25"/>
        <v>0</v>
      </c>
    </row>
    <row r="154" spans="1:19">
      <c r="A154" s="155"/>
      <c r="B154" s="57"/>
      <c r="C154" s="24">
        <f t="shared" ref="C154:C217" si="26">IF(B154="",1,(LOOKUP(B154,$3:$3,$4:$4)-LOOKUP($B$24,$3:$3,$4:$4)+100)/100)</f>
        <v>1</v>
      </c>
      <c r="D154" s="675"/>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0</v>
      </c>
      <c r="R154" s="671">
        <f t="shared" ref="R154:R217" si="34">IF(B154="",0,ROUND($R$24*C154*E154*G154*I154*K154*M154*O154*Q154,0))</f>
        <v>0</v>
      </c>
      <c r="S154" s="322">
        <f t="shared" si="25"/>
        <v>0</v>
      </c>
    </row>
    <row r="155" spans="1:19">
      <c r="A155" s="155"/>
      <c r="B155" s="57"/>
      <c r="C155" s="24">
        <f t="shared" si="26"/>
        <v>1</v>
      </c>
      <c r="D155" s="675"/>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0</v>
      </c>
      <c r="R155" s="671">
        <f t="shared" si="34"/>
        <v>0</v>
      </c>
      <c r="S155" s="322">
        <f t="shared" si="25"/>
        <v>0</v>
      </c>
    </row>
    <row r="156" spans="1:19">
      <c r="A156" s="155"/>
      <c r="B156" s="57"/>
      <c r="C156" s="24">
        <f t="shared" si="26"/>
        <v>1</v>
      </c>
      <c r="D156" s="675"/>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0</v>
      </c>
      <c r="R156" s="671">
        <f t="shared" si="34"/>
        <v>0</v>
      </c>
      <c r="S156" s="322">
        <f t="shared" si="25"/>
        <v>0</v>
      </c>
    </row>
    <row r="157" spans="1:19">
      <c r="A157" s="155"/>
      <c r="B157" s="57"/>
      <c r="C157" s="24">
        <f t="shared" si="26"/>
        <v>1</v>
      </c>
      <c r="D157" s="675"/>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0</v>
      </c>
      <c r="R157" s="671">
        <f t="shared" si="34"/>
        <v>0</v>
      </c>
      <c r="S157" s="322">
        <f t="shared" si="25"/>
        <v>0</v>
      </c>
    </row>
    <row r="158" spans="1:19">
      <c r="A158" s="155"/>
      <c r="B158" s="57"/>
      <c r="C158" s="24">
        <f t="shared" si="26"/>
        <v>1</v>
      </c>
      <c r="D158" s="675"/>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0</v>
      </c>
      <c r="R158" s="671">
        <f t="shared" si="34"/>
        <v>0</v>
      </c>
      <c r="S158" s="322">
        <f t="shared" si="25"/>
        <v>0</v>
      </c>
    </row>
    <row r="159" spans="1:19">
      <c r="A159" s="155"/>
      <c r="B159" s="57"/>
      <c r="C159" s="24">
        <f t="shared" si="26"/>
        <v>1</v>
      </c>
      <c r="D159" s="675"/>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0</v>
      </c>
      <c r="R159" s="671">
        <f t="shared" si="34"/>
        <v>0</v>
      </c>
      <c r="S159" s="322">
        <f t="shared" si="25"/>
        <v>0</v>
      </c>
    </row>
    <row r="160" spans="1:19">
      <c r="A160" s="155"/>
      <c r="B160" s="57"/>
      <c r="C160" s="24">
        <f t="shared" si="26"/>
        <v>1</v>
      </c>
      <c r="D160" s="675"/>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0</v>
      </c>
      <c r="R160" s="671">
        <f t="shared" si="34"/>
        <v>0</v>
      </c>
      <c r="S160" s="322">
        <f t="shared" si="25"/>
        <v>0</v>
      </c>
    </row>
    <row r="161" spans="1:19">
      <c r="A161" s="155"/>
      <c r="B161" s="57"/>
      <c r="C161" s="24">
        <f t="shared" si="26"/>
        <v>1</v>
      </c>
      <c r="D161" s="675"/>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0</v>
      </c>
      <c r="R161" s="671">
        <f t="shared" si="34"/>
        <v>0</v>
      </c>
      <c r="S161" s="322">
        <f t="shared" si="25"/>
        <v>0</v>
      </c>
    </row>
    <row r="162" spans="1:19">
      <c r="A162" s="155"/>
      <c r="B162" s="57"/>
      <c r="C162" s="24">
        <f t="shared" si="26"/>
        <v>1</v>
      </c>
      <c r="D162" s="675"/>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0</v>
      </c>
      <c r="R162" s="671">
        <f t="shared" si="34"/>
        <v>0</v>
      </c>
      <c r="S162" s="322">
        <f t="shared" si="25"/>
        <v>0</v>
      </c>
    </row>
    <row r="163" spans="1:19">
      <c r="A163" s="155"/>
      <c r="B163" s="57"/>
      <c r="C163" s="24">
        <f t="shared" si="26"/>
        <v>1</v>
      </c>
      <c r="D163" s="675"/>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0</v>
      </c>
      <c r="R163" s="671">
        <f t="shared" si="34"/>
        <v>0</v>
      </c>
      <c r="S163" s="322">
        <f t="shared" si="25"/>
        <v>0</v>
      </c>
    </row>
    <row r="164" spans="1:19">
      <c r="A164" s="155"/>
      <c r="B164" s="57"/>
      <c r="C164" s="24">
        <f t="shared" si="26"/>
        <v>1</v>
      </c>
      <c r="D164" s="675"/>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0</v>
      </c>
      <c r="R164" s="671">
        <f t="shared" si="34"/>
        <v>0</v>
      </c>
      <c r="S164" s="322">
        <f t="shared" si="25"/>
        <v>0</v>
      </c>
    </row>
    <row r="165" spans="1:19">
      <c r="A165" s="155"/>
      <c r="B165" s="57"/>
      <c r="C165" s="24">
        <f t="shared" si="26"/>
        <v>1</v>
      </c>
      <c r="D165" s="675"/>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0</v>
      </c>
      <c r="R165" s="671">
        <f t="shared" si="34"/>
        <v>0</v>
      </c>
      <c r="S165" s="322">
        <f t="shared" si="25"/>
        <v>0</v>
      </c>
    </row>
    <row r="166" spans="1:19">
      <c r="A166" s="155"/>
      <c r="B166" s="57"/>
      <c r="C166" s="24">
        <f t="shared" si="26"/>
        <v>1</v>
      </c>
      <c r="D166" s="675"/>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0</v>
      </c>
      <c r="R166" s="671">
        <f t="shared" si="34"/>
        <v>0</v>
      </c>
      <c r="S166" s="322">
        <f t="shared" si="25"/>
        <v>0</v>
      </c>
    </row>
    <row r="167" spans="1:19">
      <c r="A167" s="155"/>
      <c r="B167" s="57"/>
      <c r="C167" s="24">
        <f t="shared" si="26"/>
        <v>1</v>
      </c>
      <c r="D167" s="675"/>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0</v>
      </c>
      <c r="R167" s="671">
        <f t="shared" si="34"/>
        <v>0</v>
      </c>
      <c r="S167" s="322">
        <f t="shared" si="25"/>
        <v>0</v>
      </c>
    </row>
    <row r="168" spans="1:19">
      <c r="A168" s="155"/>
      <c r="B168" s="57"/>
      <c r="C168" s="24">
        <f t="shared" si="26"/>
        <v>1</v>
      </c>
      <c r="D168" s="675"/>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0</v>
      </c>
      <c r="R168" s="671">
        <f t="shared" si="34"/>
        <v>0</v>
      </c>
      <c r="S168" s="322">
        <f t="shared" si="25"/>
        <v>0</v>
      </c>
    </row>
    <row r="169" spans="1:19">
      <c r="A169" s="155"/>
      <c r="B169" s="57"/>
      <c r="C169" s="24">
        <f t="shared" si="26"/>
        <v>1</v>
      </c>
      <c r="D169" s="675"/>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0</v>
      </c>
      <c r="R169" s="671">
        <f t="shared" si="34"/>
        <v>0</v>
      </c>
      <c r="S169" s="322">
        <f t="shared" si="25"/>
        <v>0</v>
      </c>
    </row>
    <row r="170" spans="1:19">
      <c r="A170" s="155"/>
      <c r="B170" s="57"/>
      <c r="C170" s="24">
        <f t="shared" si="26"/>
        <v>1</v>
      </c>
      <c r="D170" s="675"/>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0</v>
      </c>
      <c r="R170" s="671">
        <f t="shared" si="34"/>
        <v>0</v>
      </c>
      <c r="S170" s="322">
        <f t="shared" si="25"/>
        <v>0</v>
      </c>
    </row>
    <row r="171" spans="1:19">
      <c r="A171" s="155"/>
      <c r="B171" s="57"/>
      <c r="C171" s="24">
        <f t="shared" si="26"/>
        <v>1</v>
      </c>
      <c r="D171" s="675"/>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0</v>
      </c>
      <c r="R171" s="671">
        <f t="shared" si="34"/>
        <v>0</v>
      </c>
      <c r="S171" s="322">
        <f t="shared" si="25"/>
        <v>0</v>
      </c>
    </row>
    <row r="172" spans="1:19">
      <c r="A172" s="155"/>
      <c r="B172" s="57"/>
      <c r="C172" s="24">
        <f t="shared" si="26"/>
        <v>1</v>
      </c>
      <c r="D172" s="675"/>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0</v>
      </c>
      <c r="R172" s="671">
        <f t="shared" si="34"/>
        <v>0</v>
      </c>
      <c r="S172" s="322">
        <f t="shared" si="25"/>
        <v>0</v>
      </c>
    </row>
    <row r="173" spans="1:19">
      <c r="A173" s="155"/>
      <c r="B173" s="57"/>
      <c r="C173" s="24">
        <f t="shared" si="26"/>
        <v>1</v>
      </c>
      <c r="D173" s="675"/>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0</v>
      </c>
      <c r="R173" s="671">
        <f t="shared" si="34"/>
        <v>0</v>
      </c>
      <c r="S173" s="322">
        <f t="shared" si="25"/>
        <v>0</v>
      </c>
    </row>
    <row r="174" spans="1:19">
      <c r="A174" s="155"/>
      <c r="B174" s="57"/>
      <c r="C174" s="24">
        <f t="shared" si="26"/>
        <v>1</v>
      </c>
      <c r="D174" s="675"/>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0</v>
      </c>
      <c r="R174" s="671">
        <f t="shared" si="34"/>
        <v>0</v>
      </c>
      <c r="S174" s="322">
        <f t="shared" si="25"/>
        <v>0</v>
      </c>
    </row>
    <row r="175" spans="1:19">
      <c r="A175" s="155"/>
      <c r="B175" s="57"/>
      <c r="C175" s="24">
        <f t="shared" si="26"/>
        <v>1</v>
      </c>
      <c r="D175" s="675"/>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0</v>
      </c>
      <c r="R175" s="671">
        <f t="shared" si="34"/>
        <v>0</v>
      </c>
      <c r="S175" s="322">
        <f t="shared" si="25"/>
        <v>0</v>
      </c>
    </row>
    <row r="176" spans="1:19">
      <c r="A176" s="155"/>
      <c r="B176" s="57"/>
      <c r="C176" s="24">
        <f t="shared" si="26"/>
        <v>1</v>
      </c>
      <c r="D176" s="675"/>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0</v>
      </c>
      <c r="R176" s="671">
        <f t="shared" si="34"/>
        <v>0</v>
      </c>
      <c r="S176" s="322">
        <f t="shared" si="25"/>
        <v>0</v>
      </c>
    </row>
    <row r="177" spans="1:19">
      <c r="A177" s="155"/>
      <c r="B177" s="57"/>
      <c r="C177" s="24">
        <f t="shared" si="26"/>
        <v>1</v>
      </c>
      <c r="D177" s="675"/>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0</v>
      </c>
      <c r="R177" s="671">
        <f t="shared" si="34"/>
        <v>0</v>
      </c>
      <c r="S177" s="322">
        <f t="shared" si="25"/>
        <v>0</v>
      </c>
    </row>
    <row r="178" spans="1:19">
      <c r="A178" s="155"/>
      <c r="B178" s="57"/>
      <c r="C178" s="24">
        <f t="shared" si="26"/>
        <v>1</v>
      </c>
      <c r="D178" s="675"/>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0</v>
      </c>
      <c r="R178" s="671">
        <f t="shared" si="34"/>
        <v>0</v>
      </c>
      <c r="S178" s="322">
        <f t="shared" si="25"/>
        <v>0</v>
      </c>
    </row>
    <row r="179" spans="1:19">
      <c r="A179" s="155"/>
      <c r="B179" s="57"/>
      <c r="C179" s="24">
        <f t="shared" si="26"/>
        <v>1</v>
      </c>
      <c r="D179" s="675"/>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0</v>
      </c>
      <c r="R179" s="671">
        <f t="shared" si="34"/>
        <v>0</v>
      </c>
      <c r="S179" s="322">
        <f t="shared" si="25"/>
        <v>0</v>
      </c>
    </row>
    <row r="180" spans="1:19">
      <c r="A180" s="155"/>
      <c r="B180" s="57"/>
      <c r="C180" s="24">
        <f t="shared" si="26"/>
        <v>1</v>
      </c>
      <c r="D180" s="675"/>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0</v>
      </c>
      <c r="R180" s="671">
        <f t="shared" si="34"/>
        <v>0</v>
      </c>
      <c r="S180" s="322">
        <f t="shared" si="25"/>
        <v>0</v>
      </c>
    </row>
    <row r="181" spans="1:19">
      <c r="A181" s="155"/>
      <c r="B181" s="57"/>
      <c r="C181" s="24">
        <f t="shared" si="26"/>
        <v>1</v>
      </c>
      <c r="D181" s="675"/>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0</v>
      </c>
      <c r="R181" s="671">
        <f t="shared" si="34"/>
        <v>0</v>
      </c>
      <c r="S181" s="322">
        <f t="shared" si="25"/>
        <v>0</v>
      </c>
    </row>
    <row r="182" spans="1:19">
      <c r="A182" s="155"/>
      <c r="B182" s="57"/>
      <c r="C182" s="24">
        <f t="shared" si="26"/>
        <v>1</v>
      </c>
      <c r="D182" s="675"/>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0</v>
      </c>
      <c r="R182" s="671">
        <f t="shared" si="34"/>
        <v>0</v>
      </c>
      <c r="S182" s="322">
        <f t="shared" si="25"/>
        <v>0</v>
      </c>
    </row>
    <row r="183" spans="1:19">
      <c r="A183" s="155"/>
      <c r="B183" s="57"/>
      <c r="C183" s="24">
        <f t="shared" si="26"/>
        <v>1</v>
      </c>
      <c r="D183" s="675"/>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0</v>
      </c>
      <c r="R183" s="671">
        <f t="shared" si="34"/>
        <v>0</v>
      </c>
      <c r="S183" s="322">
        <f t="shared" si="25"/>
        <v>0</v>
      </c>
    </row>
    <row r="184" spans="1:19">
      <c r="A184" s="155"/>
      <c r="B184" s="57"/>
      <c r="C184" s="24">
        <f t="shared" si="26"/>
        <v>1</v>
      </c>
      <c r="D184" s="675"/>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0</v>
      </c>
      <c r="R184" s="671">
        <f t="shared" si="34"/>
        <v>0</v>
      </c>
      <c r="S184" s="322">
        <f t="shared" si="25"/>
        <v>0</v>
      </c>
    </row>
    <row r="185" spans="1:19">
      <c r="A185" s="155"/>
      <c r="B185" s="57"/>
      <c r="C185" s="24">
        <f t="shared" si="26"/>
        <v>1</v>
      </c>
      <c r="D185" s="675"/>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0</v>
      </c>
      <c r="R185" s="671">
        <f t="shared" si="34"/>
        <v>0</v>
      </c>
      <c r="S185" s="322">
        <f t="shared" si="25"/>
        <v>0</v>
      </c>
    </row>
    <row r="186" spans="1:19">
      <c r="A186" s="155"/>
      <c r="B186" s="57"/>
      <c r="C186" s="24">
        <f t="shared" si="26"/>
        <v>1</v>
      </c>
      <c r="D186" s="675"/>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0</v>
      </c>
      <c r="R186" s="671">
        <f t="shared" si="34"/>
        <v>0</v>
      </c>
      <c r="S186" s="322">
        <f t="shared" si="25"/>
        <v>0</v>
      </c>
    </row>
    <row r="187" spans="1:19">
      <c r="A187" s="155"/>
      <c r="B187" s="57"/>
      <c r="C187" s="24">
        <f t="shared" si="26"/>
        <v>1</v>
      </c>
      <c r="D187" s="675"/>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0</v>
      </c>
      <c r="R187" s="671">
        <f t="shared" si="34"/>
        <v>0</v>
      </c>
      <c r="S187" s="322">
        <f t="shared" si="25"/>
        <v>0</v>
      </c>
    </row>
    <row r="188" spans="1:19">
      <c r="A188" s="155"/>
      <c r="B188" s="57"/>
      <c r="C188" s="24">
        <f t="shared" si="26"/>
        <v>1</v>
      </c>
      <c r="D188" s="675"/>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0</v>
      </c>
      <c r="R188" s="671">
        <f t="shared" si="34"/>
        <v>0</v>
      </c>
      <c r="S188" s="322">
        <f t="shared" si="25"/>
        <v>0</v>
      </c>
    </row>
    <row r="189" spans="1:19">
      <c r="A189" s="155"/>
      <c r="B189" s="57"/>
      <c r="C189" s="24">
        <f t="shared" si="26"/>
        <v>1</v>
      </c>
      <c r="D189" s="675"/>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0</v>
      </c>
      <c r="R189" s="671">
        <f t="shared" si="34"/>
        <v>0</v>
      </c>
      <c r="S189" s="322">
        <f t="shared" si="25"/>
        <v>0</v>
      </c>
    </row>
    <row r="190" spans="1:19">
      <c r="A190" s="155"/>
      <c r="B190" s="57"/>
      <c r="C190" s="24">
        <f t="shared" si="26"/>
        <v>1</v>
      </c>
      <c r="D190" s="675"/>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0</v>
      </c>
      <c r="R190" s="671">
        <f t="shared" si="34"/>
        <v>0</v>
      </c>
      <c r="S190" s="322">
        <f t="shared" si="25"/>
        <v>0</v>
      </c>
    </row>
    <row r="191" spans="1:19">
      <c r="A191" s="155"/>
      <c r="B191" s="57"/>
      <c r="C191" s="24">
        <f t="shared" si="26"/>
        <v>1</v>
      </c>
      <c r="D191" s="675"/>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0</v>
      </c>
      <c r="R191" s="671">
        <f t="shared" si="34"/>
        <v>0</v>
      </c>
      <c r="S191" s="322">
        <f t="shared" si="25"/>
        <v>0</v>
      </c>
    </row>
    <row r="192" spans="1:19">
      <c r="A192" s="155"/>
      <c r="B192" s="57"/>
      <c r="C192" s="24">
        <f t="shared" si="26"/>
        <v>1</v>
      </c>
      <c r="D192" s="675"/>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0</v>
      </c>
      <c r="R192" s="671">
        <f t="shared" si="34"/>
        <v>0</v>
      </c>
      <c r="S192" s="322">
        <f t="shared" si="25"/>
        <v>0</v>
      </c>
    </row>
    <row r="193" spans="1:19">
      <c r="A193" s="155"/>
      <c r="B193" s="57"/>
      <c r="C193" s="24">
        <f t="shared" si="26"/>
        <v>1</v>
      </c>
      <c r="D193" s="675"/>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0</v>
      </c>
      <c r="R193" s="671">
        <f t="shared" si="34"/>
        <v>0</v>
      </c>
      <c r="S193" s="322">
        <f t="shared" si="25"/>
        <v>0</v>
      </c>
    </row>
    <row r="194" spans="1:19">
      <c r="A194" s="155"/>
      <c r="B194" s="57"/>
      <c r="C194" s="24">
        <f t="shared" si="26"/>
        <v>1</v>
      </c>
      <c r="D194" s="675"/>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0</v>
      </c>
      <c r="R194" s="671">
        <f t="shared" si="34"/>
        <v>0</v>
      </c>
      <c r="S194" s="322">
        <f t="shared" si="25"/>
        <v>0</v>
      </c>
    </row>
    <row r="195" spans="1:19">
      <c r="A195" s="155"/>
      <c r="B195" s="57"/>
      <c r="C195" s="24">
        <f t="shared" si="26"/>
        <v>1</v>
      </c>
      <c r="D195" s="675"/>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0</v>
      </c>
      <c r="R195" s="671">
        <f t="shared" si="34"/>
        <v>0</v>
      </c>
      <c r="S195" s="322">
        <f t="shared" si="25"/>
        <v>0</v>
      </c>
    </row>
    <row r="196" spans="1:19">
      <c r="A196" s="155"/>
      <c r="B196" s="57"/>
      <c r="C196" s="24">
        <f t="shared" si="26"/>
        <v>1</v>
      </c>
      <c r="D196" s="675"/>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0</v>
      </c>
      <c r="R196" s="671">
        <f t="shared" si="34"/>
        <v>0</v>
      </c>
      <c r="S196" s="322">
        <f t="shared" si="25"/>
        <v>0</v>
      </c>
    </row>
    <row r="197" spans="1:19">
      <c r="A197" s="155"/>
      <c r="B197" s="57"/>
      <c r="C197" s="24">
        <f t="shared" si="26"/>
        <v>1</v>
      </c>
      <c r="D197" s="675"/>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0</v>
      </c>
      <c r="R197" s="671">
        <f t="shared" si="34"/>
        <v>0</v>
      </c>
      <c r="S197" s="322">
        <f t="shared" si="25"/>
        <v>0</v>
      </c>
    </row>
    <row r="198" spans="1:19">
      <c r="A198" s="155"/>
      <c r="B198" s="57"/>
      <c r="C198" s="24">
        <f t="shared" si="26"/>
        <v>1</v>
      </c>
      <c r="D198" s="675"/>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0</v>
      </c>
      <c r="R198" s="671">
        <f t="shared" si="34"/>
        <v>0</v>
      </c>
      <c r="S198" s="322">
        <f t="shared" si="25"/>
        <v>0</v>
      </c>
    </row>
    <row r="199" spans="1:19">
      <c r="A199" s="155"/>
      <c r="B199" s="57"/>
      <c r="C199" s="24">
        <f t="shared" si="26"/>
        <v>1</v>
      </c>
      <c r="D199" s="675"/>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0</v>
      </c>
      <c r="R199" s="671">
        <f t="shared" si="34"/>
        <v>0</v>
      </c>
      <c r="S199" s="322">
        <f t="shared" si="25"/>
        <v>0</v>
      </c>
    </row>
    <row r="200" spans="1:19">
      <c r="A200" s="155"/>
      <c r="B200" s="57"/>
      <c r="C200" s="24">
        <f t="shared" si="26"/>
        <v>1</v>
      </c>
      <c r="D200" s="675"/>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0</v>
      </c>
      <c r="R200" s="671">
        <f t="shared" si="34"/>
        <v>0</v>
      </c>
      <c r="S200" s="322">
        <f t="shared" si="25"/>
        <v>0</v>
      </c>
    </row>
    <row r="201" spans="1:19">
      <c r="A201" s="155"/>
      <c r="B201" s="57"/>
      <c r="C201" s="24">
        <f t="shared" si="26"/>
        <v>1</v>
      </c>
      <c r="D201" s="675"/>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0</v>
      </c>
      <c r="R201" s="671">
        <f t="shared" si="34"/>
        <v>0</v>
      </c>
      <c r="S201" s="322">
        <f t="shared" si="25"/>
        <v>0</v>
      </c>
    </row>
    <row r="202" spans="1:19">
      <c r="A202" s="155"/>
      <c r="B202" s="57"/>
      <c r="C202" s="24">
        <f t="shared" si="26"/>
        <v>1</v>
      </c>
      <c r="D202" s="675"/>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0</v>
      </c>
      <c r="R202" s="671">
        <f t="shared" si="34"/>
        <v>0</v>
      </c>
      <c r="S202" s="322">
        <f t="shared" si="25"/>
        <v>0</v>
      </c>
    </row>
    <row r="203" spans="1:19">
      <c r="A203" s="155"/>
      <c r="B203" s="57"/>
      <c r="C203" s="24">
        <f t="shared" si="26"/>
        <v>1</v>
      </c>
      <c r="D203" s="675"/>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0</v>
      </c>
      <c r="R203" s="671">
        <f t="shared" si="34"/>
        <v>0</v>
      </c>
      <c r="S203" s="322">
        <f t="shared" si="25"/>
        <v>0</v>
      </c>
    </row>
    <row r="204" spans="1:19">
      <c r="A204" s="155"/>
      <c r="B204" s="57"/>
      <c r="C204" s="24">
        <f t="shared" si="26"/>
        <v>1</v>
      </c>
      <c r="D204" s="675"/>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0</v>
      </c>
      <c r="R204" s="671">
        <f t="shared" si="34"/>
        <v>0</v>
      </c>
      <c r="S204" s="322">
        <f t="shared" si="25"/>
        <v>0</v>
      </c>
    </row>
    <row r="205" spans="1:19">
      <c r="A205" s="155"/>
      <c r="B205" s="57"/>
      <c r="C205" s="24">
        <f t="shared" si="26"/>
        <v>1</v>
      </c>
      <c r="D205" s="675"/>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0</v>
      </c>
      <c r="R205" s="671">
        <f t="shared" si="34"/>
        <v>0</v>
      </c>
      <c r="S205" s="322">
        <f t="shared" si="25"/>
        <v>0</v>
      </c>
    </row>
    <row r="206" spans="1:19">
      <c r="A206" s="155"/>
      <c r="B206" s="57"/>
      <c r="C206" s="24">
        <f t="shared" si="26"/>
        <v>1</v>
      </c>
      <c r="D206" s="675"/>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0</v>
      </c>
      <c r="R206" s="671">
        <f t="shared" si="34"/>
        <v>0</v>
      </c>
      <c r="S206" s="322">
        <f t="shared" si="25"/>
        <v>0</v>
      </c>
    </row>
    <row r="207" spans="1:19">
      <c r="A207" s="155"/>
      <c r="B207" s="57"/>
      <c r="C207" s="24">
        <f t="shared" si="26"/>
        <v>1</v>
      </c>
      <c r="D207" s="675"/>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0</v>
      </c>
      <c r="R207" s="671">
        <f t="shared" si="34"/>
        <v>0</v>
      </c>
      <c r="S207" s="322">
        <f t="shared" si="25"/>
        <v>0</v>
      </c>
    </row>
    <row r="208" spans="1:19">
      <c r="A208" s="155"/>
      <c r="B208" s="57"/>
      <c r="C208" s="24">
        <f t="shared" si="26"/>
        <v>1</v>
      </c>
      <c r="D208" s="675"/>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0</v>
      </c>
      <c r="R208" s="671">
        <f t="shared" si="34"/>
        <v>0</v>
      </c>
      <c r="S208" s="322">
        <f t="shared" si="25"/>
        <v>0</v>
      </c>
    </row>
    <row r="209" spans="1:19">
      <c r="A209" s="155"/>
      <c r="B209" s="57"/>
      <c r="C209" s="24">
        <f t="shared" si="26"/>
        <v>1</v>
      </c>
      <c r="D209" s="675"/>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0</v>
      </c>
      <c r="R209" s="671">
        <f t="shared" si="34"/>
        <v>0</v>
      </c>
      <c r="S209" s="322">
        <f t="shared" si="25"/>
        <v>0</v>
      </c>
    </row>
    <row r="210" spans="1:19">
      <c r="A210" s="155"/>
      <c r="B210" s="57"/>
      <c r="C210" s="24">
        <f t="shared" si="26"/>
        <v>1</v>
      </c>
      <c r="D210" s="675"/>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0</v>
      </c>
      <c r="R210" s="671">
        <f t="shared" si="34"/>
        <v>0</v>
      </c>
      <c r="S210" s="322">
        <f t="shared" si="25"/>
        <v>0</v>
      </c>
    </row>
    <row r="211" spans="1:19">
      <c r="A211" s="155"/>
      <c r="B211" s="57"/>
      <c r="C211" s="24">
        <f t="shared" si="26"/>
        <v>1</v>
      </c>
      <c r="D211" s="675"/>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0</v>
      </c>
      <c r="R211" s="671">
        <f t="shared" si="34"/>
        <v>0</v>
      </c>
      <c r="S211" s="322">
        <f t="shared" si="25"/>
        <v>0</v>
      </c>
    </row>
    <row r="212" spans="1:19">
      <c r="A212" s="155"/>
      <c r="B212" s="57"/>
      <c r="C212" s="24">
        <f t="shared" si="26"/>
        <v>1</v>
      </c>
      <c r="D212" s="675"/>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0</v>
      </c>
      <c r="R212" s="671">
        <f t="shared" si="34"/>
        <v>0</v>
      </c>
      <c r="S212" s="322">
        <f t="shared" si="25"/>
        <v>0</v>
      </c>
    </row>
    <row r="213" spans="1:19">
      <c r="A213" s="155"/>
      <c r="B213" s="57"/>
      <c r="C213" s="24">
        <f t="shared" si="26"/>
        <v>1</v>
      </c>
      <c r="D213" s="675"/>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0</v>
      </c>
      <c r="R213" s="671">
        <f t="shared" si="34"/>
        <v>0</v>
      </c>
      <c r="S213" s="322">
        <f t="shared" si="25"/>
        <v>0</v>
      </c>
    </row>
    <row r="214" spans="1:19">
      <c r="A214" s="155"/>
      <c r="B214" s="57"/>
      <c r="C214" s="24">
        <f t="shared" si="26"/>
        <v>1</v>
      </c>
      <c r="D214" s="675"/>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0</v>
      </c>
      <c r="R214" s="671">
        <f t="shared" si="34"/>
        <v>0</v>
      </c>
      <c r="S214" s="322">
        <f t="shared" si="25"/>
        <v>0</v>
      </c>
    </row>
    <row r="215" spans="1:19">
      <c r="A215" s="155"/>
      <c r="B215" s="57"/>
      <c r="C215" s="24">
        <f t="shared" si="26"/>
        <v>1</v>
      </c>
      <c r="D215" s="675"/>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0</v>
      </c>
      <c r="R215" s="671">
        <f t="shared" si="34"/>
        <v>0</v>
      </c>
      <c r="S215" s="322">
        <f t="shared" si="25"/>
        <v>0</v>
      </c>
    </row>
    <row r="216" spans="1:19">
      <c r="A216" s="155"/>
      <c r="B216" s="57"/>
      <c r="C216" s="24">
        <f t="shared" si="26"/>
        <v>1</v>
      </c>
      <c r="D216" s="675"/>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0</v>
      </c>
      <c r="R216" s="671">
        <f t="shared" si="34"/>
        <v>0</v>
      </c>
      <c r="S216" s="322">
        <f t="shared" ref="S216:S279" si="35">ROUND(R216*B216/10000,0)</f>
        <v>0</v>
      </c>
    </row>
    <row r="217" spans="1:19">
      <c r="A217" s="155"/>
      <c r="B217" s="57"/>
      <c r="C217" s="24">
        <f t="shared" si="26"/>
        <v>1</v>
      </c>
      <c r="D217" s="675"/>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0</v>
      </c>
      <c r="R217" s="671">
        <f t="shared" si="34"/>
        <v>0</v>
      </c>
      <c r="S217" s="322">
        <f t="shared" si="35"/>
        <v>0</v>
      </c>
    </row>
    <row r="218" spans="1:19">
      <c r="A218" s="155"/>
      <c r="B218" s="57"/>
      <c r="C218" s="24">
        <f t="shared" ref="C218:C281" si="36">IF(B218="",1,(LOOKUP(B218,$3:$3,$4:$4)-LOOKUP($B$24,$3:$3,$4:$4)+100)/100)</f>
        <v>1</v>
      </c>
      <c r="D218" s="675"/>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0</v>
      </c>
      <c r="R218" s="671">
        <f t="shared" ref="R218:R281" si="44">IF(B218="",0,ROUND($R$24*C218*E218*G218*I218*K218*M218*O218*Q218,0))</f>
        <v>0</v>
      </c>
      <c r="S218" s="322">
        <f t="shared" si="35"/>
        <v>0</v>
      </c>
    </row>
    <row r="219" spans="1:19">
      <c r="A219" s="155"/>
      <c r="B219" s="57"/>
      <c r="C219" s="24">
        <f t="shared" si="36"/>
        <v>1</v>
      </c>
      <c r="D219" s="675"/>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0</v>
      </c>
      <c r="R219" s="671">
        <f t="shared" si="44"/>
        <v>0</v>
      </c>
      <c r="S219" s="322">
        <f t="shared" si="35"/>
        <v>0</v>
      </c>
    </row>
    <row r="220" spans="1:19">
      <c r="A220" s="155"/>
      <c r="B220" s="57"/>
      <c r="C220" s="24">
        <f t="shared" si="36"/>
        <v>1</v>
      </c>
      <c r="D220" s="675"/>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0</v>
      </c>
      <c r="R220" s="671">
        <f t="shared" si="44"/>
        <v>0</v>
      </c>
      <c r="S220" s="322">
        <f t="shared" si="35"/>
        <v>0</v>
      </c>
    </row>
    <row r="221" spans="1:19">
      <c r="A221" s="155"/>
      <c r="B221" s="57"/>
      <c r="C221" s="24">
        <f t="shared" si="36"/>
        <v>1</v>
      </c>
      <c r="D221" s="675"/>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0</v>
      </c>
      <c r="R221" s="671">
        <f t="shared" si="44"/>
        <v>0</v>
      </c>
      <c r="S221" s="322">
        <f t="shared" si="35"/>
        <v>0</v>
      </c>
    </row>
    <row r="222" spans="1:19">
      <c r="A222" s="155"/>
      <c r="B222" s="57"/>
      <c r="C222" s="24">
        <f t="shared" si="36"/>
        <v>1</v>
      </c>
      <c r="D222" s="675"/>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0</v>
      </c>
      <c r="R222" s="671">
        <f t="shared" si="44"/>
        <v>0</v>
      </c>
      <c r="S222" s="322">
        <f t="shared" si="35"/>
        <v>0</v>
      </c>
    </row>
    <row r="223" spans="1:19">
      <c r="A223" s="155"/>
      <c r="B223" s="57"/>
      <c r="C223" s="24">
        <f t="shared" si="36"/>
        <v>1</v>
      </c>
      <c r="D223" s="675"/>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0</v>
      </c>
      <c r="R223" s="671">
        <f t="shared" si="44"/>
        <v>0</v>
      </c>
      <c r="S223" s="322">
        <f t="shared" si="35"/>
        <v>0</v>
      </c>
    </row>
    <row r="224" spans="1:19">
      <c r="A224" s="155"/>
      <c r="B224" s="57"/>
      <c r="C224" s="24">
        <f t="shared" si="36"/>
        <v>1</v>
      </c>
      <c r="D224" s="675"/>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0</v>
      </c>
      <c r="R224" s="671">
        <f t="shared" si="44"/>
        <v>0</v>
      </c>
      <c r="S224" s="322">
        <f t="shared" si="35"/>
        <v>0</v>
      </c>
    </row>
    <row r="225" spans="1:19">
      <c r="A225" s="155"/>
      <c r="B225" s="57"/>
      <c r="C225" s="24">
        <f t="shared" si="36"/>
        <v>1</v>
      </c>
      <c r="D225" s="675"/>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0</v>
      </c>
      <c r="R225" s="671">
        <f t="shared" si="44"/>
        <v>0</v>
      </c>
      <c r="S225" s="322">
        <f t="shared" si="35"/>
        <v>0</v>
      </c>
    </row>
    <row r="226" spans="1:19">
      <c r="A226" s="155"/>
      <c r="B226" s="57"/>
      <c r="C226" s="24">
        <f t="shared" si="36"/>
        <v>1</v>
      </c>
      <c r="D226" s="675"/>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0</v>
      </c>
      <c r="R226" s="671">
        <f t="shared" si="44"/>
        <v>0</v>
      </c>
      <c r="S226" s="322">
        <f t="shared" si="35"/>
        <v>0</v>
      </c>
    </row>
    <row r="227" spans="1:19">
      <c r="A227" s="155"/>
      <c r="B227" s="57"/>
      <c r="C227" s="24">
        <f t="shared" si="36"/>
        <v>1</v>
      </c>
      <c r="D227" s="675"/>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0</v>
      </c>
      <c r="R227" s="671">
        <f t="shared" si="44"/>
        <v>0</v>
      </c>
      <c r="S227" s="322">
        <f t="shared" si="35"/>
        <v>0</v>
      </c>
    </row>
    <row r="228" spans="1:19">
      <c r="A228" s="155"/>
      <c r="B228" s="57"/>
      <c r="C228" s="24">
        <f t="shared" si="36"/>
        <v>1</v>
      </c>
      <c r="D228" s="675"/>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0</v>
      </c>
      <c r="R228" s="671">
        <f t="shared" si="44"/>
        <v>0</v>
      </c>
      <c r="S228" s="322">
        <f t="shared" si="35"/>
        <v>0</v>
      </c>
    </row>
    <row r="229" spans="1:19">
      <c r="A229" s="155"/>
      <c r="B229" s="57"/>
      <c r="C229" s="24">
        <f t="shared" si="36"/>
        <v>1</v>
      </c>
      <c r="D229" s="675"/>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0</v>
      </c>
      <c r="R229" s="671">
        <f t="shared" si="44"/>
        <v>0</v>
      </c>
      <c r="S229" s="322">
        <f t="shared" si="35"/>
        <v>0</v>
      </c>
    </row>
    <row r="230" spans="1:19">
      <c r="A230" s="155"/>
      <c r="B230" s="57"/>
      <c r="C230" s="24">
        <f t="shared" si="36"/>
        <v>1</v>
      </c>
      <c r="D230" s="675"/>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0</v>
      </c>
      <c r="R230" s="671">
        <f t="shared" si="44"/>
        <v>0</v>
      </c>
      <c r="S230" s="322">
        <f t="shared" si="35"/>
        <v>0</v>
      </c>
    </row>
    <row r="231" spans="1:19">
      <c r="A231" s="155"/>
      <c r="B231" s="57"/>
      <c r="C231" s="24">
        <f t="shared" si="36"/>
        <v>1</v>
      </c>
      <c r="D231" s="675"/>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0</v>
      </c>
      <c r="R231" s="671">
        <f t="shared" si="44"/>
        <v>0</v>
      </c>
      <c r="S231" s="322">
        <f t="shared" si="35"/>
        <v>0</v>
      </c>
    </row>
    <row r="232" spans="1:19">
      <c r="A232" s="155"/>
      <c r="B232" s="57"/>
      <c r="C232" s="24">
        <f t="shared" si="36"/>
        <v>1</v>
      </c>
      <c r="D232" s="675"/>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0</v>
      </c>
      <c r="R232" s="671">
        <f t="shared" si="44"/>
        <v>0</v>
      </c>
      <c r="S232" s="322">
        <f t="shared" si="35"/>
        <v>0</v>
      </c>
    </row>
    <row r="233" spans="1:19">
      <c r="A233" s="155"/>
      <c r="B233" s="57"/>
      <c r="C233" s="24">
        <f t="shared" si="36"/>
        <v>1</v>
      </c>
      <c r="D233" s="675"/>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0</v>
      </c>
      <c r="R233" s="671">
        <f t="shared" si="44"/>
        <v>0</v>
      </c>
      <c r="S233" s="322">
        <f t="shared" si="35"/>
        <v>0</v>
      </c>
    </row>
    <row r="234" spans="1:19">
      <c r="A234" s="155"/>
      <c r="B234" s="57"/>
      <c r="C234" s="24">
        <f t="shared" si="36"/>
        <v>1</v>
      </c>
      <c r="D234" s="675"/>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0</v>
      </c>
      <c r="R234" s="671">
        <f t="shared" si="44"/>
        <v>0</v>
      </c>
      <c r="S234" s="322">
        <f t="shared" si="35"/>
        <v>0</v>
      </c>
    </row>
    <row r="235" spans="1:19">
      <c r="A235" s="155"/>
      <c r="B235" s="57"/>
      <c r="C235" s="24">
        <f t="shared" si="36"/>
        <v>1</v>
      </c>
      <c r="D235" s="675"/>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0</v>
      </c>
      <c r="R235" s="671">
        <f t="shared" si="44"/>
        <v>0</v>
      </c>
      <c r="S235" s="322">
        <f t="shared" si="35"/>
        <v>0</v>
      </c>
    </row>
    <row r="236" spans="1:19">
      <c r="A236" s="155"/>
      <c r="B236" s="57"/>
      <c r="C236" s="24">
        <f t="shared" si="36"/>
        <v>1</v>
      </c>
      <c r="D236" s="675"/>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0</v>
      </c>
      <c r="R236" s="671">
        <f t="shared" si="44"/>
        <v>0</v>
      </c>
      <c r="S236" s="322">
        <f t="shared" si="35"/>
        <v>0</v>
      </c>
    </row>
    <row r="237" spans="1:19">
      <c r="A237" s="155"/>
      <c r="B237" s="57"/>
      <c r="C237" s="24">
        <f t="shared" si="36"/>
        <v>1</v>
      </c>
      <c r="D237" s="675"/>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0</v>
      </c>
      <c r="R237" s="671">
        <f t="shared" si="44"/>
        <v>0</v>
      </c>
      <c r="S237" s="322">
        <f t="shared" si="35"/>
        <v>0</v>
      </c>
    </row>
    <row r="238" spans="1:19">
      <c r="A238" s="155"/>
      <c r="B238" s="57"/>
      <c r="C238" s="24">
        <f t="shared" si="36"/>
        <v>1</v>
      </c>
      <c r="D238" s="675"/>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0</v>
      </c>
      <c r="R238" s="671">
        <f t="shared" si="44"/>
        <v>0</v>
      </c>
      <c r="S238" s="322">
        <f t="shared" si="35"/>
        <v>0</v>
      </c>
    </row>
    <row r="239" spans="1:19">
      <c r="A239" s="155"/>
      <c r="B239" s="57"/>
      <c r="C239" s="24">
        <f t="shared" si="36"/>
        <v>1</v>
      </c>
      <c r="D239" s="675"/>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0</v>
      </c>
      <c r="R239" s="671">
        <f t="shared" si="44"/>
        <v>0</v>
      </c>
      <c r="S239" s="322">
        <f t="shared" si="35"/>
        <v>0</v>
      </c>
    </row>
    <row r="240" spans="1:19">
      <c r="A240" s="155"/>
      <c r="B240" s="57"/>
      <c r="C240" s="24">
        <f t="shared" si="36"/>
        <v>1</v>
      </c>
      <c r="D240" s="675"/>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0</v>
      </c>
      <c r="R240" s="671">
        <f t="shared" si="44"/>
        <v>0</v>
      </c>
      <c r="S240" s="322">
        <f t="shared" si="35"/>
        <v>0</v>
      </c>
    </row>
    <row r="241" spans="1:19">
      <c r="A241" s="155"/>
      <c r="B241" s="57"/>
      <c r="C241" s="24">
        <f t="shared" si="36"/>
        <v>1</v>
      </c>
      <c r="D241" s="675"/>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0</v>
      </c>
      <c r="R241" s="671">
        <f t="shared" si="44"/>
        <v>0</v>
      </c>
      <c r="S241" s="322">
        <f t="shared" si="35"/>
        <v>0</v>
      </c>
    </row>
    <row r="242" spans="1:19">
      <c r="A242" s="155"/>
      <c r="B242" s="57"/>
      <c r="C242" s="24">
        <f t="shared" si="36"/>
        <v>1</v>
      </c>
      <c r="D242" s="675"/>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0</v>
      </c>
      <c r="R242" s="671">
        <f t="shared" si="44"/>
        <v>0</v>
      </c>
      <c r="S242" s="322">
        <f t="shared" si="35"/>
        <v>0</v>
      </c>
    </row>
    <row r="243" spans="1:19">
      <c r="A243" s="155"/>
      <c r="B243" s="57"/>
      <c r="C243" s="24">
        <f t="shared" si="36"/>
        <v>1</v>
      </c>
      <c r="D243" s="675"/>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0</v>
      </c>
      <c r="R243" s="671">
        <f t="shared" si="44"/>
        <v>0</v>
      </c>
      <c r="S243" s="322">
        <f t="shared" si="35"/>
        <v>0</v>
      </c>
    </row>
    <row r="244" spans="1:19">
      <c r="A244" s="155"/>
      <c r="B244" s="57"/>
      <c r="C244" s="24">
        <f t="shared" si="36"/>
        <v>1</v>
      </c>
      <c r="D244" s="675"/>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0</v>
      </c>
      <c r="R244" s="671">
        <f t="shared" si="44"/>
        <v>0</v>
      </c>
      <c r="S244" s="322">
        <f t="shared" si="35"/>
        <v>0</v>
      </c>
    </row>
    <row r="245" spans="1:19">
      <c r="A245" s="155"/>
      <c r="B245" s="57"/>
      <c r="C245" s="24">
        <f t="shared" si="36"/>
        <v>1</v>
      </c>
      <c r="D245" s="675"/>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0</v>
      </c>
      <c r="R245" s="671">
        <f t="shared" si="44"/>
        <v>0</v>
      </c>
      <c r="S245" s="322">
        <f t="shared" si="35"/>
        <v>0</v>
      </c>
    </row>
    <row r="246" spans="1:19">
      <c r="A246" s="155"/>
      <c r="B246" s="57"/>
      <c r="C246" s="24">
        <f t="shared" si="36"/>
        <v>1</v>
      </c>
      <c r="D246" s="675"/>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0</v>
      </c>
      <c r="R246" s="671">
        <f t="shared" si="44"/>
        <v>0</v>
      </c>
      <c r="S246" s="322">
        <f t="shared" si="35"/>
        <v>0</v>
      </c>
    </row>
    <row r="247" spans="1:19">
      <c r="A247" s="155"/>
      <c r="B247" s="57"/>
      <c r="C247" s="24">
        <f t="shared" si="36"/>
        <v>1</v>
      </c>
      <c r="D247" s="675"/>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0</v>
      </c>
      <c r="R247" s="671">
        <f t="shared" si="44"/>
        <v>0</v>
      </c>
      <c r="S247" s="322">
        <f t="shared" si="35"/>
        <v>0</v>
      </c>
    </row>
    <row r="248" spans="1:19">
      <c r="A248" s="155"/>
      <c r="B248" s="57"/>
      <c r="C248" s="24">
        <f t="shared" si="36"/>
        <v>1</v>
      </c>
      <c r="D248" s="675"/>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0</v>
      </c>
      <c r="R248" s="671">
        <f t="shared" si="44"/>
        <v>0</v>
      </c>
      <c r="S248" s="322">
        <f t="shared" si="35"/>
        <v>0</v>
      </c>
    </row>
    <row r="249" spans="1:19">
      <c r="A249" s="155"/>
      <c r="B249" s="57"/>
      <c r="C249" s="24">
        <f t="shared" si="36"/>
        <v>1</v>
      </c>
      <c r="D249" s="675"/>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0</v>
      </c>
      <c r="R249" s="671">
        <f t="shared" si="44"/>
        <v>0</v>
      </c>
      <c r="S249" s="322">
        <f t="shared" si="35"/>
        <v>0</v>
      </c>
    </row>
    <row r="250" spans="1:19">
      <c r="A250" s="155"/>
      <c r="B250" s="57"/>
      <c r="C250" s="24">
        <f t="shared" si="36"/>
        <v>1</v>
      </c>
      <c r="D250" s="675"/>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0</v>
      </c>
      <c r="R250" s="671">
        <f t="shared" si="44"/>
        <v>0</v>
      </c>
      <c r="S250" s="322">
        <f t="shared" si="35"/>
        <v>0</v>
      </c>
    </row>
    <row r="251" spans="1:19">
      <c r="A251" s="155"/>
      <c r="B251" s="57"/>
      <c r="C251" s="24">
        <f t="shared" si="36"/>
        <v>1</v>
      </c>
      <c r="D251" s="675"/>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0</v>
      </c>
      <c r="R251" s="671">
        <f t="shared" si="44"/>
        <v>0</v>
      </c>
      <c r="S251" s="322">
        <f t="shared" si="35"/>
        <v>0</v>
      </c>
    </row>
    <row r="252" spans="1:19">
      <c r="A252" s="155"/>
      <c r="B252" s="57"/>
      <c r="C252" s="24">
        <f t="shared" si="36"/>
        <v>1</v>
      </c>
      <c r="D252" s="675"/>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0</v>
      </c>
      <c r="R252" s="671">
        <f t="shared" si="44"/>
        <v>0</v>
      </c>
      <c r="S252" s="322">
        <f t="shared" si="35"/>
        <v>0</v>
      </c>
    </row>
    <row r="253" spans="1:19">
      <c r="A253" s="155"/>
      <c r="B253" s="57"/>
      <c r="C253" s="24">
        <f t="shared" si="36"/>
        <v>1</v>
      </c>
      <c r="D253" s="675"/>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0</v>
      </c>
      <c r="R253" s="671">
        <f t="shared" si="44"/>
        <v>0</v>
      </c>
      <c r="S253" s="322">
        <f t="shared" si="35"/>
        <v>0</v>
      </c>
    </row>
    <row r="254" spans="1:19">
      <c r="A254" s="155"/>
      <c r="B254" s="57"/>
      <c r="C254" s="24">
        <f t="shared" si="36"/>
        <v>1</v>
      </c>
      <c r="D254" s="675"/>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0</v>
      </c>
      <c r="R254" s="671">
        <f t="shared" si="44"/>
        <v>0</v>
      </c>
      <c r="S254" s="322">
        <f t="shared" si="35"/>
        <v>0</v>
      </c>
    </row>
    <row r="255" spans="1:19">
      <c r="A255" s="155"/>
      <c r="B255" s="57"/>
      <c r="C255" s="24">
        <f t="shared" si="36"/>
        <v>1</v>
      </c>
      <c r="D255" s="675"/>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0</v>
      </c>
      <c r="R255" s="671">
        <f t="shared" si="44"/>
        <v>0</v>
      </c>
      <c r="S255" s="322">
        <f t="shared" si="35"/>
        <v>0</v>
      </c>
    </row>
    <row r="256" spans="1:19">
      <c r="A256" s="155"/>
      <c r="B256" s="57"/>
      <c r="C256" s="24">
        <f t="shared" si="36"/>
        <v>1</v>
      </c>
      <c r="D256" s="675"/>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0</v>
      </c>
      <c r="R256" s="671">
        <f t="shared" si="44"/>
        <v>0</v>
      </c>
      <c r="S256" s="322">
        <f t="shared" si="35"/>
        <v>0</v>
      </c>
    </row>
    <row r="257" spans="1:19">
      <c r="A257" s="155"/>
      <c r="B257" s="57"/>
      <c r="C257" s="24">
        <f t="shared" si="36"/>
        <v>1</v>
      </c>
      <c r="D257" s="675"/>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0</v>
      </c>
      <c r="R257" s="671">
        <f t="shared" si="44"/>
        <v>0</v>
      </c>
      <c r="S257" s="322">
        <f t="shared" si="35"/>
        <v>0</v>
      </c>
    </row>
    <row r="258" spans="1:19">
      <c r="A258" s="155"/>
      <c r="B258" s="57"/>
      <c r="C258" s="24">
        <f t="shared" si="36"/>
        <v>1</v>
      </c>
      <c r="D258" s="675"/>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0</v>
      </c>
      <c r="R258" s="671">
        <f t="shared" si="44"/>
        <v>0</v>
      </c>
      <c r="S258" s="322">
        <f t="shared" si="35"/>
        <v>0</v>
      </c>
    </row>
    <row r="259" spans="1:19">
      <c r="A259" s="155"/>
      <c r="B259" s="57"/>
      <c r="C259" s="24">
        <f t="shared" si="36"/>
        <v>1</v>
      </c>
      <c r="D259" s="675"/>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0</v>
      </c>
      <c r="R259" s="671">
        <f t="shared" si="44"/>
        <v>0</v>
      </c>
      <c r="S259" s="322">
        <f t="shared" si="35"/>
        <v>0</v>
      </c>
    </row>
    <row r="260" spans="1:19">
      <c r="A260" s="155"/>
      <c r="B260" s="57"/>
      <c r="C260" s="24">
        <f t="shared" si="36"/>
        <v>1</v>
      </c>
      <c r="D260" s="675"/>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0</v>
      </c>
      <c r="R260" s="671">
        <f t="shared" si="44"/>
        <v>0</v>
      </c>
      <c r="S260" s="322">
        <f t="shared" si="35"/>
        <v>0</v>
      </c>
    </row>
    <row r="261" spans="1:19">
      <c r="A261" s="155"/>
      <c r="B261" s="57"/>
      <c r="C261" s="24">
        <f t="shared" si="36"/>
        <v>1</v>
      </c>
      <c r="D261" s="675"/>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0</v>
      </c>
      <c r="R261" s="671">
        <f t="shared" si="44"/>
        <v>0</v>
      </c>
      <c r="S261" s="322">
        <f t="shared" si="35"/>
        <v>0</v>
      </c>
    </row>
    <row r="262" spans="1:19">
      <c r="A262" s="155"/>
      <c r="B262" s="57"/>
      <c r="C262" s="24">
        <f t="shared" si="36"/>
        <v>1</v>
      </c>
      <c r="D262" s="675"/>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0</v>
      </c>
      <c r="R262" s="671">
        <f t="shared" si="44"/>
        <v>0</v>
      </c>
      <c r="S262" s="322">
        <f t="shared" si="35"/>
        <v>0</v>
      </c>
    </row>
    <row r="263" spans="1:19">
      <c r="A263" s="155"/>
      <c r="B263" s="57"/>
      <c r="C263" s="24">
        <f t="shared" si="36"/>
        <v>1</v>
      </c>
      <c r="D263" s="675"/>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0</v>
      </c>
      <c r="R263" s="671">
        <f t="shared" si="44"/>
        <v>0</v>
      </c>
      <c r="S263" s="322">
        <f t="shared" si="35"/>
        <v>0</v>
      </c>
    </row>
    <row r="264" spans="1:19">
      <c r="A264" s="155"/>
      <c r="B264" s="57"/>
      <c r="C264" s="24">
        <f t="shared" si="36"/>
        <v>1</v>
      </c>
      <c r="D264" s="675"/>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0</v>
      </c>
      <c r="R264" s="671">
        <f t="shared" si="44"/>
        <v>0</v>
      </c>
      <c r="S264" s="322">
        <f t="shared" si="35"/>
        <v>0</v>
      </c>
    </row>
    <row r="265" spans="1:19">
      <c r="A265" s="155"/>
      <c r="B265" s="57"/>
      <c r="C265" s="24">
        <f t="shared" si="36"/>
        <v>1</v>
      </c>
      <c r="D265" s="675"/>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0</v>
      </c>
      <c r="R265" s="671">
        <f t="shared" si="44"/>
        <v>0</v>
      </c>
      <c r="S265" s="322">
        <f t="shared" si="35"/>
        <v>0</v>
      </c>
    </row>
    <row r="266" spans="1:19">
      <c r="A266" s="155"/>
      <c r="B266" s="57"/>
      <c r="C266" s="24">
        <f t="shared" si="36"/>
        <v>1</v>
      </c>
      <c r="D266" s="675"/>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0</v>
      </c>
      <c r="R266" s="671">
        <f t="shared" si="44"/>
        <v>0</v>
      </c>
      <c r="S266" s="322">
        <f t="shared" si="35"/>
        <v>0</v>
      </c>
    </row>
    <row r="267" spans="1:19">
      <c r="A267" s="155"/>
      <c r="B267" s="57"/>
      <c r="C267" s="24">
        <f t="shared" si="36"/>
        <v>1</v>
      </c>
      <c r="D267" s="675"/>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0</v>
      </c>
      <c r="R267" s="671">
        <f t="shared" si="44"/>
        <v>0</v>
      </c>
      <c r="S267" s="322">
        <f t="shared" si="35"/>
        <v>0</v>
      </c>
    </row>
    <row r="268" spans="1:19">
      <c r="A268" s="155"/>
      <c r="B268" s="57"/>
      <c r="C268" s="24">
        <f t="shared" si="36"/>
        <v>1</v>
      </c>
      <c r="D268" s="675"/>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0</v>
      </c>
      <c r="R268" s="671">
        <f t="shared" si="44"/>
        <v>0</v>
      </c>
      <c r="S268" s="322">
        <f t="shared" si="35"/>
        <v>0</v>
      </c>
    </row>
    <row r="269" spans="1:19">
      <c r="A269" s="155"/>
      <c r="B269" s="57"/>
      <c r="C269" s="24">
        <f t="shared" si="36"/>
        <v>1</v>
      </c>
      <c r="D269" s="675"/>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0</v>
      </c>
      <c r="R269" s="671">
        <f t="shared" si="44"/>
        <v>0</v>
      </c>
      <c r="S269" s="322">
        <f t="shared" si="35"/>
        <v>0</v>
      </c>
    </row>
    <row r="270" spans="1:19">
      <c r="A270" s="155"/>
      <c r="B270" s="57"/>
      <c r="C270" s="24">
        <f t="shared" si="36"/>
        <v>1</v>
      </c>
      <c r="D270" s="675"/>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0</v>
      </c>
      <c r="R270" s="671">
        <f t="shared" si="44"/>
        <v>0</v>
      </c>
      <c r="S270" s="322">
        <f t="shared" si="35"/>
        <v>0</v>
      </c>
    </row>
    <row r="271" spans="1:19">
      <c r="A271" s="155"/>
      <c r="B271" s="57"/>
      <c r="C271" s="24">
        <f t="shared" si="36"/>
        <v>1</v>
      </c>
      <c r="D271" s="675"/>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0</v>
      </c>
      <c r="R271" s="671">
        <f t="shared" si="44"/>
        <v>0</v>
      </c>
      <c r="S271" s="322">
        <f t="shared" si="35"/>
        <v>0</v>
      </c>
    </row>
    <row r="272" spans="1:19">
      <c r="A272" s="155"/>
      <c r="B272" s="57"/>
      <c r="C272" s="24">
        <f t="shared" si="36"/>
        <v>1</v>
      </c>
      <c r="D272" s="675"/>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0</v>
      </c>
      <c r="R272" s="671">
        <f t="shared" si="44"/>
        <v>0</v>
      </c>
      <c r="S272" s="322">
        <f t="shared" si="35"/>
        <v>0</v>
      </c>
    </row>
    <row r="273" spans="1:19">
      <c r="A273" s="155"/>
      <c r="B273" s="57"/>
      <c r="C273" s="24">
        <f t="shared" si="36"/>
        <v>1</v>
      </c>
      <c r="D273" s="675"/>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0</v>
      </c>
      <c r="R273" s="671">
        <f t="shared" si="44"/>
        <v>0</v>
      </c>
      <c r="S273" s="322">
        <f t="shared" si="35"/>
        <v>0</v>
      </c>
    </row>
    <row r="274" spans="1:19">
      <c r="A274" s="155"/>
      <c r="B274" s="57"/>
      <c r="C274" s="24">
        <f t="shared" si="36"/>
        <v>1</v>
      </c>
      <c r="D274" s="675"/>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0</v>
      </c>
      <c r="R274" s="671">
        <f t="shared" si="44"/>
        <v>0</v>
      </c>
      <c r="S274" s="322">
        <f t="shared" si="35"/>
        <v>0</v>
      </c>
    </row>
    <row r="275" spans="1:19">
      <c r="A275" s="155"/>
      <c r="B275" s="57"/>
      <c r="C275" s="24">
        <f t="shared" si="36"/>
        <v>1</v>
      </c>
      <c r="D275" s="675"/>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0</v>
      </c>
      <c r="R275" s="671">
        <f t="shared" si="44"/>
        <v>0</v>
      </c>
      <c r="S275" s="322">
        <f t="shared" si="35"/>
        <v>0</v>
      </c>
    </row>
    <row r="276" spans="1:19">
      <c r="A276" s="155"/>
      <c r="B276" s="57"/>
      <c r="C276" s="24">
        <f t="shared" si="36"/>
        <v>1</v>
      </c>
      <c r="D276" s="675"/>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0</v>
      </c>
      <c r="R276" s="671">
        <f t="shared" si="44"/>
        <v>0</v>
      </c>
      <c r="S276" s="322">
        <f t="shared" si="35"/>
        <v>0</v>
      </c>
    </row>
    <row r="277" spans="1:19">
      <c r="A277" s="155"/>
      <c r="B277" s="57"/>
      <c r="C277" s="24">
        <f t="shared" si="36"/>
        <v>1</v>
      </c>
      <c r="D277" s="675"/>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0</v>
      </c>
      <c r="R277" s="671">
        <f t="shared" si="44"/>
        <v>0</v>
      </c>
      <c r="S277" s="322">
        <f t="shared" si="35"/>
        <v>0</v>
      </c>
    </row>
    <row r="278" spans="1:19">
      <c r="A278" s="155"/>
      <c r="B278" s="57"/>
      <c r="C278" s="24">
        <f t="shared" si="36"/>
        <v>1</v>
      </c>
      <c r="D278" s="675"/>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0</v>
      </c>
      <c r="R278" s="671">
        <f t="shared" si="44"/>
        <v>0</v>
      </c>
      <c r="S278" s="322">
        <f t="shared" si="35"/>
        <v>0</v>
      </c>
    </row>
    <row r="279" spans="1:19">
      <c r="A279" s="155"/>
      <c r="B279" s="57"/>
      <c r="C279" s="24">
        <f t="shared" si="36"/>
        <v>1</v>
      </c>
      <c r="D279" s="675"/>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0</v>
      </c>
      <c r="R279" s="671">
        <f t="shared" si="44"/>
        <v>0</v>
      </c>
      <c r="S279" s="322">
        <f t="shared" si="35"/>
        <v>0</v>
      </c>
    </row>
    <row r="280" spans="1:19">
      <c r="A280" s="155"/>
      <c r="B280" s="57"/>
      <c r="C280" s="24">
        <f t="shared" si="36"/>
        <v>1</v>
      </c>
      <c r="D280" s="675"/>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0</v>
      </c>
      <c r="R280" s="671">
        <f t="shared" si="44"/>
        <v>0</v>
      </c>
      <c r="S280" s="322">
        <f t="shared" ref="S280:S343" si="45">ROUND(R280*B280/10000,0)</f>
        <v>0</v>
      </c>
    </row>
    <row r="281" spans="1:19">
      <c r="A281" s="155"/>
      <c r="B281" s="57"/>
      <c r="C281" s="24">
        <f t="shared" si="36"/>
        <v>1</v>
      </c>
      <c r="D281" s="675"/>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0</v>
      </c>
      <c r="R281" s="671">
        <f t="shared" si="44"/>
        <v>0</v>
      </c>
      <c r="S281" s="322">
        <f t="shared" si="45"/>
        <v>0</v>
      </c>
    </row>
    <row r="282" spans="1:19">
      <c r="A282" s="155"/>
      <c r="B282" s="57"/>
      <c r="C282" s="24">
        <f t="shared" ref="C282:C345" si="46">IF(B282="",1,(LOOKUP(B282,$3:$3,$4:$4)-LOOKUP($B$24,$3:$3,$4:$4)+100)/100)</f>
        <v>1</v>
      </c>
      <c r="D282" s="675"/>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0</v>
      </c>
      <c r="R282" s="671">
        <f t="shared" ref="R282:R345" si="54">IF(B282="",0,ROUND($R$24*C282*E282*G282*I282*K282*M282*O282*Q282,0))</f>
        <v>0</v>
      </c>
      <c r="S282" s="322">
        <f t="shared" si="45"/>
        <v>0</v>
      </c>
    </row>
    <row r="283" spans="1:19">
      <c r="A283" s="155"/>
      <c r="B283" s="57"/>
      <c r="C283" s="24">
        <f t="shared" si="46"/>
        <v>1</v>
      </c>
      <c r="D283" s="675"/>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0</v>
      </c>
      <c r="R283" s="671">
        <f t="shared" si="54"/>
        <v>0</v>
      </c>
      <c r="S283" s="322">
        <f t="shared" si="45"/>
        <v>0</v>
      </c>
    </row>
    <row r="284" spans="1:19">
      <c r="A284" s="155"/>
      <c r="B284" s="57"/>
      <c r="C284" s="24">
        <f t="shared" si="46"/>
        <v>1</v>
      </c>
      <c r="D284" s="675"/>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0</v>
      </c>
      <c r="R284" s="671">
        <f t="shared" si="54"/>
        <v>0</v>
      </c>
      <c r="S284" s="322">
        <f t="shared" si="45"/>
        <v>0</v>
      </c>
    </row>
    <row r="285" spans="1:19">
      <c r="A285" s="155"/>
      <c r="B285" s="57"/>
      <c r="C285" s="24">
        <f t="shared" si="46"/>
        <v>1</v>
      </c>
      <c r="D285" s="675"/>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0</v>
      </c>
      <c r="R285" s="671">
        <f t="shared" si="54"/>
        <v>0</v>
      </c>
      <c r="S285" s="322">
        <f t="shared" si="45"/>
        <v>0</v>
      </c>
    </row>
    <row r="286" spans="1:19">
      <c r="A286" s="155"/>
      <c r="B286" s="57"/>
      <c r="C286" s="24">
        <f t="shared" si="46"/>
        <v>1</v>
      </c>
      <c r="D286" s="675"/>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0</v>
      </c>
      <c r="R286" s="671">
        <f t="shared" si="54"/>
        <v>0</v>
      </c>
      <c r="S286" s="322">
        <f t="shared" si="45"/>
        <v>0</v>
      </c>
    </row>
    <row r="287" spans="1:19">
      <c r="A287" s="155"/>
      <c r="B287" s="57"/>
      <c r="C287" s="24">
        <f t="shared" si="46"/>
        <v>1</v>
      </c>
      <c r="D287" s="675"/>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0</v>
      </c>
      <c r="R287" s="671">
        <f t="shared" si="54"/>
        <v>0</v>
      </c>
      <c r="S287" s="322">
        <f t="shared" si="45"/>
        <v>0</v>
      </c>
    </row>
    <row r="288" spans="1:19">
      <c r="A288" s="155"/>
      <c r="B288" s="57"/>
      <c r="C288" s="24">
        <f t="shared" si="46"/>
        <v>1</v>
      </c>
      <c r="D288" s="675"/>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0</v>
      </c>
      <c r="R288" s="671">
        <f t="shared" si="54"/>
        <v>0</v>
      </c>
      <c r="S288" s="322">
        <f t="shared" si="45"/>
        <v>0</v>
      </c>
    </row>
    <row r="289" spans="1:19">
      <c r="A289" s="155"/>
      <c r="B289" s="57"/>
      <c r="C289" s="24">
        <f t="shared" si="46"/>
        <v>1</v>
      </c>
      <c r="D289" s="675"/>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0</v>
      </c>
      <c r="R289" s="671">
        <f t="shared" si="54"/>
        <v>0</v>
      </c>
      <c r="S289" s="322">
        <f t="shared" si="45"/>
        <v>0</v>
      </c>
    </row>
    <row r="290" spans="1:19">
      <c r="A290" s="155"/>
      <c r="B290" s="57"/>
      <c r="C290" s="24">
        <f t="shared" si="46"/>
        <v>1</v>
      </c>
      <c r="D290" s="675"/>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0</v>
      </c>
      <c r="R290" s="671">
        <f t="shared" si="54"/>
        <v>0</v>
      </c>
      <c r="S290" s="322">
        <f t="shared" si="45"/>
        <v>0</v>
      </c>
    </row>
    <row r="291" spans="1:19">
      <c r="A291" s="155"/>
      <c r="B291" s="57"/>
      <c r="C291" s="24">
        <f t="shared" si="46"/>
        <v>1</v>
      </c>
      <c r="D291" s="675"/>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0</v>
      </c>
      <c r="R291" s="671">
        <f t="shared" si="54"/>
        <v>0</v>
      </c>
      <c r="S291" s="322">
        <f t="shared" si="45"/>
        <v>0</v>
      </c>
    </row>
    <row r="292" spans="1:19">
      <c r="A292" s="155"/>
      <c r="B292" s="57"/>
      <c r="C292" s="24">
        <f t="shared" si="46"/>
        <v>1</v>
      </c>
      <c r="D292" s="675"/>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0</v>
      </c>
      <c r="R292" s="671">
        <f t="shared" si="54"/>
        <v>0</v>
      </c>
      <c r="S292" s="322">
        <f t="shared" si="45"/>
        <v>0</v>
      </c>
    </row>
    <row r="293" spans="1:19">
      <c r="A293" s="155"/>
      <c r="B293" s="57"/>
      <c r="C293" s="24">
        <f t="shared" si="46"/>
        <v>1</v>
      </c>
      <c r="D293" s="675"/>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0</v>
      </c>
      <c r="R293" s="671">
        <f t="shared" si="54"/>
        <v>0</v>
      </c>
      <c r="S293" s="322">
        <f t="shared" si="45"/>
        <v>0</v>
      </c>
    </row>
    <row r="294" spans="1:19">
      <c r="A294" s="155"/>
      <c r="B294" s="57"/>
      <c r="C294" s="24">
        <f t="shared" si="46"/>
        <v>1</v>
      </c>
      <c r="D294" s="675"/>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0</v>
      </c>
      <c r="R294" s="671">
        <f t="shared" si="54"/>
        <v>0</v>
      </c>
      <c r="S294" s="322">
        <f t="shared" si="45"/>
        <v>0</v>
      </c>
    </row>
    <row r="295" spans="1:19">
      <c r="A295" s="155"/>
      <c r="B295" s="57"/>
      <c r="C295" s="24">
        <f t="shared" si="46"/>
        <v>1</v>
      </c>
      <c r="D295" s="675"/>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0</v>
      </c>
      <c r="R295" s="671">
        <f t="shared" si="54"/>
        <v>0</v>
      </c>
      <c r="S295" s="322">
        <f t="shared" si="45"/>
        <v>0</v>
      </c>
    </row>
    <row r="296" spans="1:19">
      <c r="A296" s="155"/>
      <c r="B296" s="57"/>
      <c r="C296" s="24">
        <f t="shared" si="46"/>
        <v>1</v>
      </c>
      <c r="D296" s="675"/>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0</v>
      </c>
      <c r="R296" s="671">
        <f t="shared" si="54"/>
        <v>0</v>
      </c>
      <c r="S296" s="322">
        <f t="shared" si="45"/>
        <v>0</v>
      </c>
    </row>
    <row r="297" spans="1:19">
      <c r="A297" s="155"/>
      <c r="B297" s="57"/>
      <c r="C297" s="24">
        <f t="shared" si="46"/>
        <v>1</v>
      </c>
      <c r="D297" s="675"/>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0</v>
      </c>
      <c r="R297" s="671">
        <f t="shared" si="54"/>
        <v>0</v>
      </c>
      <c r="S297" s="322">
        <f t="shared" si="45"/>
        <v>0</v>
      </c>
    </row>
    <row r="298" spans="1:19">
      <c r="A298" s="155"/>
      <c r="B298" s="57"/>
      <c r="C298" s="24">
        <f t="shared" si="46"/>
        <v>1</v>
      </c>
      <c r="D298" s="675"/>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0</v>
      </c>
      <c r="R298" s="671">
        <f t="shared" si="54"/>
        <v>0</v>
      </c>
      <c r="S298" s="322">
        <f t="shared" si="45"/>
        <v>0</v>
      </c>
    </row>
    <row r="299" spans="1:19">
      <c r="A299" s="155"/>
      <c r="B299" s="57"/>
      <c r="C299" s="24">
        <f t="shared" si="46"/>
        <v>1</v>
      </c>
      <c r="D299" s="675"/>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0</v>
      </c>
      <c r="R299" s="671">
        <f t="shared" si="54"/>
        <v>0</v>
      </c>
      <c r="S299" s="322">
        <f t="shared" si="45"/>
        <v>0</v>
      </c>
    </row>
    <row r="300" spans="1:19">
      <c r="A300" s="155"/>
      <c r="B300" s="57"/>
      <c r="C300" s="24">
        <f t="shared" si="46"/>
        <v>1</v>
      </c>
      <c r="D300" s="675"/>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0</v>
      </c>
      <c r="R300" s="671">
        <f t="shared" si="54"/>
        <v>0</v>
      </c>
      <c r="S300" s="322">
        <f t="shared" si="45"/>
        <v>0</v>
      </c>
    </row>
    <row r="301" spans="1:19">
      <c r="A301" s="155"/>
      <c r="B301" s="57"/>
      <c r="C301" s="24">
        <f t="shared" si="46"/>
        <v>1</v>
      </c>
      <c r="D301" s="675"/>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0</v>
      </c>
      <c r="R301" s="671">
        <f t="shared" si="54"/>
        <v>0</v>
      </c>
      <c r="S301" s="322">
        <f t="shared" si="45"/>
        <v>0</v>
      </c>
    </row>
    <row r="302" spans="1:19">
      <c r="A302" s="155"/>
      <c r="B302" s="57"/>
      <c r="C302" s="24">
        <f t="shared" si="46"/>
        <v>1</v>
      </c>
      <c r="D302" s="675"/>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0</v>
      </c>
      <c r="R302" s="671">
        <f t="shared" si="54"/>
        <v>0</v>
      </c>
      <c r="S302" s="322">
        <f t="shared" si="45"/>
        <v>0</v>
      </c>
    </row>
    <row r="303" spans="1:19">
      <c r="A303" s="155"/>
      <c r="B303" s="57"/>
      <c r="C303" s="24">
        <f t="shared" si="46"/>
        <v>1</v>
      </c>
      <c r="D303" s="675"/>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0</v>
      </c>
      <c r="R303" s="671">
        <f t="shared" si="54"/>
        <v>0</v>
      </c>
      <c r="S303" s="322">
        <f t="shared" si="45"/>
        <v>0</v>
      </c>
    </row>
    <row r="304" spans="1:19">
      <c r="A304" s="155"/>
      <c r="B304" s="57"/>
      <c r="C304" s="24">
        <f t="shared" si="46"/>
        <v>1</v>
      </c>
      <c r="D304" s="675"/>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0</v>
      </c>
      <c r="R304" s="671">
        <f t="shared" si="54"/>
        <v>0</v>
      </c>
      <c r="S304" s="322">
        <f t="shared" si="45"/>
        <v>0</v>
      </c>
    </row>
    <row r="305" spans="1:19">
      <c r="A305" s="155"/>
      <c r="B305" s="57"/>
      <c r="C305" s="24">
        <f t="shared" si="46"/>
        <v>1</v>
      </c>
      <c r="D305" s="675"/>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0</v>
      </c>
      <c r="R305" s="671">
        <f t="shared" si="54"/>
        <v>0</v>
      </c>
      <c r="S305" s="322">
        <f t="shared" si="45"/>
        <v>0</v>
      </c>
    </row>
    <row r="306" spans="1:19">
      <c r="A306" s="155"/>
      <c r="B306" s="57"/>
      <c r="C306" s="24">
        <f t="shared" si="46"/>
        <v>1</v>
      </c>
      <c r="D306" s="675"/>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0</v>
      </c>
      <c r="R306" s="671">
        <f t="shared" si="54"/>
        <v>0</v>
      </c>
      <c r="S306" s="322">
        <f t="shared" si="45"/>
        <v>0</v>
      </c>
    </row>
    <row r="307" spans="1:19">
      <c r="A307" s="155"/>
      <c r="B307" s="57"/>
      <c r="C307" s="24">
        <f t="shared" si="46"/>
        <v>1</v>
      </c>
      <c r="D307" s="675"/>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0</v>
      </c>
      <c r="R307" s="671">
        <f t="shared" si="54"/>
        <v>0</v>
      </c>
      <c r="S307" s="322">
        <f t="shared" si="45"/>
        <v>0</v>
      </c>
    </row>
    <row r="308" spans="1:19">
      <c r="A308" s="155"/>
      <c r="B308" s="57"/>
      <c r="C308" s="24">
        <f t="shared" si="46"/>
        <v>1</v>
      </c>
      <c r="D308" s="675"/>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0</v>
      </c>
      <c r="R308" s="671">
        <f t="shared" si="54"/>
        <v>0</v>
      </c>
      <c r="S308" s="322">
        <f t="shared" si="45"/>
        <v>0</v>
      </c>
    </row>
    <row r="309" spans="1:19">
      <c r="A309" s="155"/>
      <c r="B309" s="57"/>
      <c r="C309" s="24">
        <f t="shared" si="46"/>
        <v>1</v>
      </c>
      <c r="D309" s="675"/>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0</v>
      </c>
      <c r="R309" s="671">
        <f t="shared" si="54"/>
        <v>0</v>
      </c>
      <c r="S309" s="322">
        <f t="shared" si="45"/>
        <v>0</v>
      </c>
    </row>
    <row r="310" spans="1:19">
      <c r="A310" s="155"/>
      <c r="B310" s="57"/>
      <c r="C310" s="24">
        <f t="shared" si="46"/>
        <v>1</v>
      </c>
      <c r="D310" s="675"/>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0</v>
      </c>
      <c r="R310" s="671">
        <f t="shared" si="54"/>
        <v>0</v>
      </c>
      <c r="S310" s="322">
        <f t="shared" si="45"/>
        <v>0</v>
      </c>
    </row>
    <row r="311" spans="1:19">
      <c r="A311" s="155"/>
      <c r="B311" s="57"/>
      <c r="C311" s="24">
        <f t="shared" si="46"/>
        <v>1</v>
      </c>
      <c r="D311" s="675"/>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0</v>
      </c>
      <c r="R311" s="671">
        <f t="shared" si="54"/>
        <v>0</v>
      </c>
      <c r="S311" s="322">
        <f t="shared" si="45"/>
        <v>0</v>
      </c>
    </row>
    <row r="312" spans="1:19">
      <c r="A312" s="155"/>
      <c r="B312" s="57"/>
      <c r="C312" s="24">
        <f t="shared" si="46"/>
        <v>1</v>
      </c>
      <c r="D312" s="675"/>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0</v>
      </c>
      <c r="R312" s="671">
        <f t="shared" si="54"/>
        <v>0</v>
      </c>
      <c r="S312" s="322">
        <f t="shared" si="45"/>
        <v>0</v>
      </c>
    </row>
    <row r="313" spans="1:19">
      <c r="A313" s="155"/>
      <c r="B313" s="57"/>
      <c r="C313" s="24">
        <f t="shared" si="46"/>
        <v>1</v>
      </c>
      <c r="D313" s="675"/>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0</v>
      </c>
      <c r="R313" s="671">
        <f t="shared" si="54"/>
        <v>0</v>
      </c>
      <c r="S313" s="322">
        <f t="shared" si="45"/>
        <v>0</v>
      </c>
    </row>
    <row r="314" spans="1:19">
      <c r="A314" s="155"/>
      <c r="B314" s="57"/>
      <c r="C314" s="24">
        <f t="shared" si="46"/>
        <v>1</v>
      </c>
      <c r="D314" s="675"/>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0</v>
      </c>
      <c r="R314" s="671">
        <f t="shared" si="54"/>
        <v>0</v>
      </c>
      <c r="S314" s="322">
        <f t="shared" si="45"/>
        <v>0</v>
      </c>
    </row>
    <row r="315" spans="1:19">
      <c r="A315" s="155"/>
      <c r="B315" s="57"/>
      <c r="C315" s="24">
        <f t="shared" si="46"/>
        <v>1</v>
      </c>
      <c r="D315" s="675"/>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0</v>
      </c>
      <c r="R315" s="671">
        <f t="shared" si="54"/>
        <v>0</v>
      </c>
      <c r="S315" s="322">
        <f t="shared" si="45"/>
        <v>0</v>
      </c>
    </row>
    <row r="316" spans="1:19">
      <c r="A316" s="155"/>
      <c r="B316" s="57"/>
      <c r="C316" s="24">
        <f t="shared" si="46"/>
        <v>1</v>
      </c>
      <c r="D316" s="675"/>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0</v>
      </c>
      <c r="R316" s="671">
        <f t="shared" si="54"/>
        <v>0</v>
      </c>
      <c r="S316" s="322">
        <f t="shared" si="45"/>
        <v>0</v>
      </c>
    </row>
    <row r="317" spans="1:19">
      <c r="A317" s="155"/>
      <c r="B317" s="57"/>
      <c r="C317" s="24">
        <f t="shared" si="46"/>
        <v>1</v>
      </c>
      <c r="D317" s="675"/>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0</v>
      </c>
      <c r="R317" s="671">
        <f t="shared" si="54"/>
        <v>0</v>
      </c>
      <c r="S317" s="322">
        <f t="shared" si="45"/>
        <v>0</v>
      </c>
    </row>
    <row r="318" spans="1:19">
      <c r="A318" s="155"/>
      <c r="B318" s="57"/>
      <c r="C318" s="24">
        <f t="shared" si="46"/>
        <v>1</v>
      </c>
      <c r="D318" s="675"/>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0</v>
      </c>
      <c r="R318" s="671">
        <f t="shared" si="54"/>
        <v>0</v>
      </c>
      <c r="S318" s="322">
        <f t="shared" si="45"/>
        <v>0</v>
      </c>
    </row>
    <row r="319" spans="1:19">
      <c r="A319" s="155"/>
      <c r="B319" s="57"/>
      <c r="C319" s="24">
        <f t="shared" si="46"/>
        <v>1</v>
      </c>
      <c r="D319" s="675"/>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0</v>
      </c>
      <c r="R319" s="671">
        <f t="shared" si="54"/>
        <v>0</v>
      </c>
      <c r="S319" s="322">
        <f t="shared" si="45"/>
        <v>0</v>
      </c>
    </row>
    <row r="320" spans="1:19">
      <c r="A320" s="155"/>
      <c r="B320" s="57"/>
      <c r="C320" s="24">
        <f t="shared" si="46"/>
        <v>1</v>
      </c>
      <c r="D320" s="675"/>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0</v>
      </c>
      <c r="R320" s="671">
        <f t="shared" si="54"/>
        <v>0</v>
      </c>
      <c r="S320" s="322">
        <f t="shared" si="45"/>
        <v>0</v>
      </c>
    </row>
    <row r="321" spans="1:19">
      <c r="A321" s="155"/>
      <c r="B321" s="57"/>
      <c r="C321" s="24">
        <f t="shared" si="46"/>
        <v>1</v>
      </c>
      <c r="D321" s="675"/>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0</v>
      </c>
      <c r="R321" s="671">
        <f t="shared" si="54"/>
        <v>0</v>
      </c>
      <c r="S321" s="322">
        <f t="shared" si="45"/>
        <v>0</v>
      </c>
    </row>
    <row r="322" spans="1:19">
      <c r="A322" s="155"/>
      <c r="B322" s="57"/>
      <c r="C322" s="24">
        <f t="shared" si="46"/>
        <v>1</v>
      </c>
      <c r="D322" s="675"/>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0</v>
      </c>
      <c r="R322" s="671">
        <f t="shared" si="54"/>
        <v>0</v>
      </c>
      <c r="S322" s="322">
        <f t="shared" si="45"/>
        <v>0</v>
      </c>
    </row>
    <row r="323" spans="1:19">
      <c r="A323" s="155"/>
      <c r="B323" s="57"/>
      <c r="C323" s="24">
        <f t="shared" si="46"/>
        <v>1</v>
      </c>
      <c r="D323" s="675"/>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0</v>
      </c>
      <c r="R323" s="671">
        <f t="shared" si="54"/>
        <v>0</v>
      </c>
      <c r="S323" s="322">
        <f t="shared" si="45"/>
        <v>0</v>
      </c>
    </row>
    <row r="324" spans="1:19">
      <c r="A324" s="155"/>
      <c r="B324" s="57"/>
      <c r="C324" s="24">
        <f t="shared" si="46"/>
        <v>1</v>
      </c>
      <c r="D324" s="675"/>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0</v>
      </c>
      <c r="R324" s="671">
        <f t="shared" si="54"/>
        <v>0</v>
      </c>
      <c r="S324" s="322">
        <f t="shared" si="45"/>
        <v>0</v>
      </c>
    </row>
    <row r="325" spans="1:19">
      <c r="A325" s="155"/>
      <c r="B325" s="57"/>
      <c r="C325" s="24">
        <f t="shared" si="46"/>
        <v>1</v>
      </c>
      <c r="D325" s="675"/>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0</v>
      </c>
      <c r="R325" s="671">
        <f t="shared" si="54"/>
        <v>0</v>
      </c>
      <c r="S325" s="322">
        <f t="shared" si="45"/>
        <v>0</v>
      </c>
    </row>
    <row r="326" spans="1:19">
      <c r="A326" s="155"/>
      <c r="B326" s="57"/>
      <c r="C326" s="24">
        <f t="shared" si="46"/>
        <v>1</v>
      </c>
      <c r="D326" s="675"/>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0</v>
      </c>
      <c r="R326" s="671">
        <f t="shared" si="54"/>
        <v>0</v>
      </c>
      <c r="S326" s="322">
        <f t="shared" si="45"/>
        <v>0</v>
      </c>
    </row>
    <row r="327" spans="1:19">
      <c r="A327" s="155"/>
      <c r="B327" s="57"/>
      <c r="C327" s="24">
        <f t="shared" si="46"/>
        <v>1</v>
      </c>
      <c r="D327" s="675"/>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0</v>
      </c>
      <c r="R327" s="671">
        <f t="shared" si="54"/>
        <v>0</v>
      </c>
      <c r="S327" s="322">
        <f t="shared" si="45"/>
        <v>0</v>
      </c>
    </row>
    <row r="328" spans="1:19">
      <c r="A328" s="155"/>
      <c r="B328" s="57"/>
      <c r="C328" s="24">
        <f t="shared" si="46"/>
        <v>1</v>
      </c>
      <c r="D328" s="675"/>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0</v>
      </c>
      <c r="R328" s="671">
        <f t="shared" si="54"/>
        <v>0</v>
      </c>
      <c r="S328" s="322">
        <f t="shared" si="45"/>
        <v>0</v>
      </c>
    </row>
    <row r="329" spans="1:19">
      <c r="A329" s="155"/>
      <c r="B329" s="57"/>
      <c r="C329" s="24">
        <f t="shared" si="46"/>
        <v>1</v>
      </c>
      <c r="D329" s="675"/>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0</v>
      </c>
      <c r="R329" s="671">
        <f t="shared" si="54"/>
        <v>0</v>
      </c>
      <c r="S329" s="322">
        <f t="shared" si="45"/>
        <v>0</v>
      </c>
    </row>
    <row r="330" spans="1:19">
      <c r="A330" s="155"/>
      <c r="B330" s="57"/>
      <c r="C330" s="24">
        <f t="shared" si="46"/>
        <v>1</v>
      </c>
      <c r="D330" s="675"/>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0</v>
      </c>
      <c r="R330" s="671">
        <f t="shared" si="54"/>
        <v>0</v>
      </c>
      <c r="S330" s="322">
        <f t="shared" si="45"/>
        <v>0</v>
      </c>
    </row>
    <row r="331" spans="1:19">
      <c r="A331" s="155"/>
      <c r="B331" s="57"/>
      <c r="C331" s="24">
        <f t="shared" si="46"/>
        <v>1</v>
      </c>
      <c r="D331" s="675"/>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0</v>
      </c>
      <c r="R331" s="671">
        <f t="shared" si="54"/>
        <v>0</v>
      </c>
      <c r="S331" s="322">
        <f t="shared" si="45"/>
        <v>0</v>
      </c>
    </row>
    <row r="332" spans="1:19">
      <c r="A332" s="155"/>
      <c r="B332" s="57"/>
      <c r="C332" s="24">
        <f t="shared" si="46"/>
        <v>1</v>
      </c>
      <c r="D332" s="675"/>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0</v>
      </c>
      <c r="R332" s="671">
        <f t="shared" si="54"/>
        <v>0</v>
      </c>
      <c r="S332" s="322">
        <f t="shared" si="45"/>
        <v>0</v>
      </c>
    </row>
    <row r="333" spans="1:19">
      <c r="A333" s="155"/>
      <c r="B333" s="57"/>
      <c r="C333" s="24">
        <f t="shared" si="46"/>
        <v>1</v>
      </c>
      <c r="D333" s="675"/>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0</v>
      </c>
      <c r="R333" s="671">
        <f t="shared" si="54"/>
        <v>0</v>
      </c>
      <c r="S333" s="322">
        <f t="shared" si="45"/>
        <v>0</v>
      </c>
    </row>
    <row r="334" spans="1:19">
      <c r="A334" s="155"/>
      <c r="B334" s="57"/>
      <c r="C334" s="24">
        <f t="shared" si="46"/>
        <v>1</v>
      </c>
      <c r="D334" s="675"/>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0</v>
      </c>
      <c r="R334" s="671">
        <f t="shared" si="54"/>
        <v>0</v>
      </c>
      <c r="S334" s="322">
        <f t="shared" si="45"/>
        <v>0</v>
      </c>
    </row>
    <row r="335" spans="1:19">
      <c r="A335" s="155"/>
      <c r="B335" s="57"/>
      <c r="C335" s="24">
        <f t="shared" si="46"/>
        <v>1</v>
      </c>
      <c r="D335" s="675"/>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0</v>
      </c>
      <c r="R335" s="671">
        <f t="shared" si="54"/>
        <v>0</v>
      </c>
      <c r="S335" s="322">
        <f t="shared" si="45"/>
        <v>0</v>
      </c>
    </row>
    <row r="336" spans="1:19">
      <c r="A336" s="155"/>
      <c r="B336" s="57"/>
      <c r="C336" s="24">
        <f t="shared" si="46"/>
        <v>1</v>
      </c>
      <c r="D336" s="675"/>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0</v>
      </c>
      <c r="R336" s="671">
        <f t="shared" si="54"/>
        <v>0</v>
      </c>
      <c r="S336" s="322">
        <f t="shared" si="45"/>
        <v>0</v>
      </c>
    </row>
    <row r="337" spans="1:19">
      <c r="A337" s="155"/>
      <c r="B337" s="57"/>
      <c r="C337" s="24">
        <f t="shared" si="46"/>
        <v>1</v>
      </c>
      <c r="D337" s="675"/>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0</v>
      </c>
      <c r="R337" s="671">
        <f t="shared" si="54"/>
        <v>0</v>
      </c>
      <c r="S337" s="322">
        <f t="shared" si="45"/>
        <v>0</v>
      </c>
    </row>
    <row r="338" spans="1:19">
      <c r="A338" s="155"/>
      <c r="B338" s="57"/>
      <c r="C338" s="24">
        <f t="shared" si="46"/>
        <v>1</v>
      </c>
      <c r="D338" s="675"/>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0</v>
      </c>
      <c r="R338" s="671">
        <f t="shared" si="54"/>
        <v>0</v>
      </c>
      <c r="S338" s="322">
        <f t="shared" si="45"/>
        <v>0</v>
      </c>
    </row>
    <row r="339" spans="1:19">
      <c r="A339" s="155"/>
      <c r="B339" s="57"/>
      <c r="C339" s="24">
        <f t="shared" si="46"/>
        <v>1</v>
      </c>
      <c r="D339" s="675"/>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0</v>
      </c>
      <c r="R339" s="671">
        <f t="shared" si="54"/>
        <v>0</v>
      </c>
      <c r="S339" s="322">
        <f t="shared" si="45"/>
        <v>0</v>
      </c>
    </row>
    <row r="340" spans="1:19">
      <c r="A340" s="155"/>
      <c r="B340" s="57"/>
      <c r="C340" s="24">
        <f t="shared" si="46"/>
        <v>1</v>
      </c>
      <c r="D340" s="675"/>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0</v>
      </c>
      <c r="R340" s="671">
        <f t="shared" si="54"/>
        <v>0</v>
      </c>
      <c r="S340" s="322">
        <f t="shared" si="45"/>
        <v>0</v>
      </c>
    </row>
    <row r="341" spans="1:19">
      <c r="A341" s="155"/>
      <c r="B341" s="57"/>
      <c r="C341" s="24">
        <f t="shared" si="46"/>
        <v>1</v>
      </c>
      <c r="D341" s="675"/>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0</v>
      </c>
      <c r="R341" s="671">
        <f t="shared" si="54"/>
        <v>0</v>
      </c>
      <c r="S341" s="322">
        <f t="shared" si="45"/>
        <v>0</v>
      </c>
    </row>
    <row r="342" spans="1:19">
      <c r="A342" s="155"/>
      <c r="B342" s="57"/>
      <c r="C342" s="24">
        <f t="shared" si="46"/>
        <v>1</v>
      </c>
      <c r="D342" s="675"/>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0</v>
      </c>
      <c r="R342" s="671">
        <f t="shared" si="54"/>
        <v>0</v>
      </c>
      <c r="S342" s="322">
        <f t="shared" si="45"/>
        <v>0</v>
      </c>
    </row>
    <row r="343" spans="1:19">
      <c r="A343" s="155"/>
      <c r="B343" s="57"/>
      <c r="C343" s="24">
        <f t="shared" si="46"/>
        <v>1</v>
      </c>
      <c r="D343" s="675"/>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0</v>
      </c>
      <c r="R343" s="671">
        <f t="shared" si="54"/>
        <v>0</v>
      </c>
      <c r="S343" s="322">
        <f t="shared" si="45"/>
        <v>0</v>
      </c>
    </row>
    <row r="344" spans="1:19">
      <c r="A344" s="155"/>
      <c r="B344" s="57"/>
      <c r="C344" s="24">
        <f t="shared" si="46"/>
        <v>1</v>
      </c>
      <c r="D344" s="675"/>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0</v>
      </c>
      <c r="R344" s="671">
        <f t="shared" si="54"/>
        <v>0</v>
      </c>
      <c r="S344" s="322">
        <f t="shared" ref="S344:S407" si="55">ROUND(R344*B344/10000,0)</f>
        <v>0</v>
      </c>
    </row>
    <row r="345" spans="1:19">
      <c r="A345" s="155"/>
      <c r="B345" s="57"/>
      <c r="C345" s="24">
        <f t="shared" si="46"/>
        <v>1</v>
      </c>
      <c r="D345" s="675"/>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0</v>
      </c>
      <c r="R345" s="671">
        <f t="shared" si="54"/>
        <v>0</v>
      </c>
      <c r="S345" s="322">
        <f t="shared" si="55"/>
        <v>0</v>
      </c>
    </row>
    <row r="346" spans="1:19">
      <c r="A346" s="155"/>
      <c r="B346" s="57"/>
      <c r="C346" s="24">
        <f t="shared" ref="C346:C409" si="56">IF(B346="",1,(LOOKUP(B346,$3:$3,$4:$4)-LOOKUP($B$24,$3:$3,$4:$4)+100)/100)</f>
        <v>1</v>
      </c>
      <c r="D346" s="675"/>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0</v>
      </c>
      <c r="R346" s="671">
        <f t="shared" ref="R346:R409" si="64">IF(B346="",0,ROUND($R$24*C346*E346*G346*I346*K346*M346*O346*Q346,0))</f>
        <v>0</v>
      </c>
      <c r="S346" s="322">
        <f t="shared" si="55"/>
        <v>0</v>
      </c>
    </row>
    <row r="347" spans="1:19">
      <c r="A347" s="155"/>
      <c r="B347" s="57"/>
      <c r="C347" s="24">
        <f t="shared" si="56"/>
        <v>1</v>
      </c>
      <c r="D347" s="675"/>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0</v>
      </c>
      <c r="R347" s="671">
        <f t="shared" si="64"/>
        <v>0</v>
      </c>
      <c r="S347" s="322">
        <f t="shared" si="55"/>
        <v>0</v>
      </c>
    </row>
    <row r="348" spans="1:19">
      <c r="A348" s="155"/>
      <c r="B348" s="57"/>
      <c r="C348" s="24">
        <f t="shared" si="56"/>
        <v>1</v>
      </c>
      <c r="D348" s="675"/>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0</v>
      </c>
      <c r="R348" s="671">
        <f t="shared" si="64"/>
        <v>0</v>
      </c>
      <c r="S348" s="322">
        <f t="shared" si="55"/>
        <v>0</v>
      </c>
    </row>
    <row r="349" spans="1:19">
      <c r="A349" s="155"/>
      <c r="B349" s="57"/>
      <c r="C349" s="24">
        <f t="shared" si="56"/>
        <v>1</v>
      </c>
      <c r="D349" s="675"/>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0</v>
      </c>
      <c r="R349" s="671">
        <f t="shared" si="64"/>
        <v>0</v>
      </c>
      <c r="S349" s="322">
        <f t="shared" si="55"/>
        <v>0</v>
      </c>
    </row>
    <row r="350" spans="1:19">
      <c r="A350" s="155"/>
      <c r="B350" s="57"/>
      <c r="C350" s="24">
        <f t="shared" si="56"/>
        <v>1</v>
      </c>
      <c r="D350" s="675"/>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0</v>
      </c>
      <c r="R350" s="671">
        <f t="shared" si="64"/>
        <v>0</v>
      </c>
      <c r="S350" s="322">
        <f t="shared" si="55"/>
        <v>0</v>
      </c>
    </row>
    <row r="351" spans="1:19">
      <c r="A351" s="155"/>
      <c r="B351" s="57"/>
      <c r="C351" s="24">
        <f t="shared" si="56"/>
        <v>1</v>
      </c>
      <c r="D351" s="675"/>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0</v>
      </c>
      <c r="R351" s="671">
        <f t="shared" si="64"/>
        <v>0</v>
      </c>
      <c r="S351" s="322">
        <f t="shared" si="55"/>
        <v>0</v>
      </c>
    </row>
    <row r="352" spans="1:19">
      <c r="A352" s="155"/>
      <c r="B352" s="57"/>
      <c r="C352" s="24">
        <f t="shared" si="56"/>
        <v>1</v>
      </c>
      <c r="D352" s="675"/>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0</v>
      </c>
      <c r="R352" s="671">
        <f t="shared" si="64"/>
        <v>0</v>
      </c>
      <c r="S352" s="322">
        <f t="shared" si="55"/>
        <v>0</v>
      </c>
    </row>
    <row r="353" spans="1:19">
      <c r="A353" s="155"/>
      <c r="B353" s="57"/>
      <c r="C353" s="24">
        <f t="shared" si="56"/>
        <v>1</v>
      </c>
      <c r="D353" s="675"/>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0</v>
      </c>
      <c r="R353" s="671">
        <f t="shared" si="64"/>
        <v>0</v>
      </c>
      <c r="S353" s="322">
        <f t="shared" si="55"/>
        <v>0</v>
      </c>
    </row>
    <row r="354" spans="1:19">
      <c r="A354" s="155"/>
      <c r="B354" s="57"/>
      <c r="C354" s="24">
        <f t="shared" si="56"/>
        <v>1</v>
      </c>
      <c r="D354" s="675"/>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0</v>
      </c>
      <c r="R354" s="671">
        <f t="shared" si="64"/>
        <v>0</v>
      </c>
      <c r="S354" s="322">
        <f t="shared" si="55"/>
        <v>0</v>
      </c>
    </row>
    <row r="355" spans="1:19">
      <c r="A355" s="155"/>
      <c r="B355" s="57"/>
      <c r="C355" s="24">
        <f t="shared" si="56"/>
        <v>1</v>
      </c>
      <c r="D355" s="675"/>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0</v>
      </c>
      <c r="R355" s="671">
        <f t="shared" si="64"/>
        <v>0</v>
      </c>
      <c r="S355" s="322">
        <f t="shared" si="55"/>
        <v>0</v>
      </c>
    </row>
    <row r="356" spans="1:19">
      <c r="A356" s="155"/>
      <c r="B356" s="57"/>
      <c r="C356" s="24">
        <f t="shared" si="56"/>
        <v>1</v>
      </c>
      <c r="D356" s="675"/>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0</v>
      </c>
      <c r="R356" s="671">
        <f t="shared" si="64"/>
        <v>0</v>
      </c>
      <c r="S356" s="322">
        <f t="shared" si="55"/>
        <v>0</v>
      </c>
    </row>
    <row r="357" spans="1:19">
      <c r="A357" s="155"/>
      <c r="B357" s="57"/>
      <c r="C357" s="24">
        <f t="shared" si="56"/>
        <v>1</v>
      </c>
      <c r="D357" s="675"/>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0</v>
      </c>
      <c r="R357" s="671">
        <f t="shared" si="64"/>
        <v>0</v>
      </c>
      <c r="S357" s="322">
        <f t="shared" si="55"/>
        <v>0</v>
      </c>
    </row>
    <row r="358" spans="1:19">
      <c r="A358" s="155"/>
      <c r="B358" s="57"/>
      <c r="C358" s="24">
        <f t="shared" si="56"/>
        <v>1</v>
      </c>
      <c r="D358" s="675"/>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0</v>
      </c>
      <c r="R358" s="671">
        <f t="shared" si="64"/>
        <v>0</v>
      </c>
      <c r="S358" s="322">
        <f t="shared" si="55"/>
        <v>0</v>
      </c>
    </row>
    <row r="359" spans="1:19">
      <c r="A359" s="155"/>
      <c r="B359" s="57"/>
      <c r="C359" s="24">
        <f t="shared" si="56"/>
        <v>1</v>
      </c>
      <c r="D359" s="675"/>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0</v>
      </c>
      <c r="R359" s="671">
        <f t="shared" si="64"/>
        <v>0</v>
      </c>
      <c r="S359" s="322">
        <f t="shared" si="55"/>
        <v>0</v>
      </c>
    </row>
    <row r="360" spans="1:19">
      <c r="A360" s="155"/>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0</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0</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0</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0</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0</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0</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0</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0</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0</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0</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0</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0</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0</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0</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0</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0</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0</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0</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0</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0</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0</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0</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0</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0</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0</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0</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0</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0</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0</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0</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0</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0</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0</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0</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0</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0</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0</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0</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0</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0</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0</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0</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0</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0</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0</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0</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0</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0</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0</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0</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0</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0</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0</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0</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0</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0</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0</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0</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0</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0</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0</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0</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0</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0</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0</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0</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0</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0</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0</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0</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0</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0</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0</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0</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0</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0</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0</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0</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0</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0</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0</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0</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0</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0</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0</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0</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0</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0</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0</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0</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0</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0</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0</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0</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0</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0</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0</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0</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0</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0</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0</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0</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0</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0</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0</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0</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0</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0</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0</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0</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0</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0</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0</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0</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0</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0</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0</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0</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0</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0</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0</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0</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0</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0</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0</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0</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0</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0</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0</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0</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0</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0</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0</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0</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0</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0</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0</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0</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0</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0</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0</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0</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0</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0</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0</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0</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0</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0</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0</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0</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0</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0</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0</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0</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0</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0</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0</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0</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0</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0</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0</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0</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0</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0</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0</v>
      </c>
      <c r="R524" s="671">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I51" sqref="I51"/>
    </sheetView>
  </sheetViews>
  <sheetFormatPr defaultRowHeight="13.5"/>
  <sheetData/>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t="s">
        <v>1343</v>
      </c>
      <c r="C1" s="204"/>
      <c r="D1" s="204"/>
      <c r="E1" s="204"/>
      <c r="F1" s="204"/>
      <c r="G1" s="1287">
        <f>MATCH(B1,'数据-取费表'!A6:A16,0)+5</f>
        <v>6</v>
      </c>
    </row>
    <row r="2" spans="1:9" s="206" customFormat="1" ht="18" customHeight="1">
      <c r="A2" s="207" t="s">
        <v>2148</v>
      </c>
      <c r="B2" s="208">
        <f ca="1">IF(D2="——",C52,C52-E2)</f>
        <v>32641</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7515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9799</v>
      </c>
      <c r="D5" s="217" t="s">
        <v>2155</v>
      </c>
      <c r="E5" s="218" t="s">
        <v>2156</v>
      </c>
      <c r="F5" s="218" t="s">
        <v>2157</v>
      </c>
      <c r="G5" s="219"/>
    </row>
    <row r="6" spans="1:9" s="220" customFormat="1" ht="13.5" customHeight="1">
      <c r="A6" s="885" t="s">
        <v>2158</v>
      </c>
      <c r="B6" s="221" t="s">
        <v>2159</v>
      </c>
      <c r="C6" s="222">
        <f>典型户型修正!S22</f>
        <v>8917</v>
      </c>
      <c r="D6" s="223"/>
      <c r="E6" s="224"/>
      <c r="F6" s="224"/>
      <c r="G6" s="225"/>
    </row>
    <row r="7" spans="1:9" s="220" customFormat="1" ht="13.5" customHeight="1">
      <c r="A7" s="885" t="s">
        <v>2160</v>
      </c>
      <c r="B7" s="221" t="s">
        <v>2161</v>
      </c>
      <c r="C7" s="226">
        <f>ROUND(C6*F7,0)</f>
        <v>361</v>
      </c>
      <c r="D7" s="226"/>
      <c r="E7" s="224"/>
      <c r="F7" s="227">
        <f>IF(项目基本情况!B8="出让",0,'数据-取费表'!B48+'数据-取费表'!B49)</f>
        <v>4.0500000000000001E-2</v>
      </c>
      <c r="G7" s="225"/>
    </row>
    <row r="8" spans="1:9" s="229" customFormat="1">
      <c r="A8" s="885" t="s">
        <v>2162</v>
      </c>
      <c r="B8" s="221" t="s">
        <v>2163</v>
      </c>
      <c r="C8" s="226">
        <f ca="1">IF(G8="已包含在土地购买价格中","0",IF(B1="",'数据-取费表'!B29,IF(G9="全部缴纳",C9+C10,H9)))</f>
        <v>521</v>
      </c>
      <c r="D8" s="228"/>
      <c r="E8" s="226"/>
      <c r="F8" s="227"/>
      <c r="G8" s="2040" t="s">
        <v>3145</v>
      </c>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1" t="s">
        <v>3146</v>
      </c>
      <c r="H9" s="1298"/>
      <c r="I9" s="2042" t="s">
        <v>2165</v>
      </c>
    </row>
    <row r="10" spans="1:9" s="220" customFormat="1" ht="13.5" customHeight="1">
      <c r="A10" s="886" t="s">
        <v>801</v>
      </c>
      <c r="B10" s="230" t="s">
        <v>2166</v>
      </c>
      <c r="C10" s="231">
        <f ca="1">ROUND(D10*E10/10000,0)</f>
        <v>521</v>
      </c>
      <c r="D10" s="953">
        <f ca="1">IF(B1="",'数据-汇总表'!E6,IF(INDIRECT("'数据-取费表'!c"&amp;$G$1)="住宅",INDIRECT("'数据-取费表'!s"&amp;$G$1),INDIRECT("'数据-取费表'!k"&amp;$G$1)+INDIRECT("'数据-取费表'!s"&amp;$G$1)))</f>
        <v>43436.4</v>
      </c>
      <c r="E10" s="231">
        <f>'数据-取费表'!B28</f>
        <v>120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t="str">
        <f>IF(G19="已包含在土地取得成本中","0",ROUND(D19*E19/10000,0))</f>
        <v>0</v>
      </c>
      <c r="D19" s="957">
        <f ca="1">D9+D10</f>
        <v>43436.4</v>
      </c>
      <c r="E19" s="217">
        <f>'数据-取费表'!B31</f>
        <v>200</v>
      </c>
      <c r="F19" s="237"/>
      <c r="G19" s="2040" t="s">
        <v>3147</v>
      </c>
    </row>
    <row r="20" spans="1:7" s="220" customFormat="1" ht="13.5" customHeight="1">
      <c r="A20" s="261" t="s">
        <v>2179</v>
      </c>
      <c r="B20" s="216" t="s">
        <v>2180</v>
      </c>
      <c r="C20" s="238">
        <f ca="1">ROUND((C5+C19)*F20,0)</f>
        <v>196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880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871</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9</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1999</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ROUND((C5+C19+C20)*F27*'数据-取费表'!B21/'数据-取费表'!B20,0)</f>
        <v>1999</v>
      </c>
      <c r="D28" s="241"/>
      <c r="E28" s="242"/>
      <c r="F28" s="252"/>
      <c r="G28" s="253"/>
    </row>
    <row r="29" spans="1:7" s="220" customFormat="1" ht="13.5" customHeight="1">
      <c r="A29" s="887"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13966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16756</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15203</v>
      </c>
      <c r="D34" s="223"/>
      <c r="E34" s="226"/>
      <c r="F34" s="263">
        <f ca="1">IF('数据-取费表'!B24=0,1,IF(B1="",'数据-取费表'!N16,INDIRECT("'数据-取费表'!n"&amp;$G$1)))</f>
        <v>1</v>
      </c>
      <c r="G34" s="225" t="s">
        <v>2212</v>
      </c>
    </row>
    <row r="35" spans="1:7" ht="13.5" customHeight="1">
      <c r="A35" s="887" t="s">
        <v>796</v>
      </c>
      <c r="B35" s="221" t="s">
        <v>2213</v>
      </c>
      <c r="C35" s="226">
        <f ca="1">ROUND(C34*F35,0)</f>
        <v>456</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869</v>
      </c>
      <c r="D37" s="223">
        <f ca="1">D19</f>
        <v>43436.4</v>
      </c>
      <c r="E37" s="255">
        <f>'数据-取费表'!B35</f>
        <v>200</v>
      </c>
      <c r="F37" s="265"/>
      <c r="G37" s="267" t="s">
        <v>2218</v>
      </c>
    </row>
    <row r="38" spans="1:7" ht="13.5" customHeight="1">
      <c r="A38" s="887" t="s">
        <v>799</v>
      </c>
      <c r="B38" s="221" t="s">
        <v>2219</v>
      </c>
      <c r="C38" s="226">
        <f ca="1">ROUND(C34*F38,0)</f>
        <v>228</v>
      </c>
      <c r="D38" s="226"/>
      <c r="E38" s="226"/>
      <c r="F38" s="265">
        <f>'数据-取费表'!B36</f>
        <v>1.4999999999999999E-2</v>
      </c>
      <c r="G38" s="225" t="s">
        <v>2214</v>
      </c>
    </row>
    <row r="39" spans="1:7" s="220" customFormat="1" ht="13.5" customHeight="1">
      <c r="A39" s="261" t="s">
        <v>2220</v>
      </c>
      <c r="B39" s="216" t="s">
        <v>2221</v>
      </c>
      <c r="C39" s="238">
        <f ca="1">ROUND(C33*F20,0)</f>
        <v>335</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744</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729</v>
      </c>
      <c r="D42" s="244"/>
      <c r="E42" s="244"/>
      <c r="F42" s="245"/>
      <c r="G42" s="3350" t="s">
        <v>2230</v>
      </c>
    </row>
    <row r="43" spans="1:7" ht="13.5" customHeight="1">
      <c r="A43" s="887" t="s">
        <v>792</v>
      </c>
      <c r="B43" s="221" t="s">
        <v>2231</v>
      </c>
      <c r="C43" s="244">
        <f ca="1">ROUND(IF('数据-取费表'!B22&lt;=1,C39*F22*'数据-取费表'!B21/2,C39*(POWER((1+F22),'数据-取费表'!B21/2)-1)),0)</f>
        <v>15</v>
      </c>
      <c r="D43" s="244"/>
      <c r="E43" s="244"/>
      <c r="F43" s="245"/>
      <c r="G43" s="3351"/>
    </row>
    <row r="44" spans="1:7" ht="13.5" customHeight="1">
      <c r="A44" s="887" t="s">
        <v>793</v>
      </c>
      <c r="B44" s="221" t="s">
        <v>2232</v>
      </c>
      <c r="C44" s="244">
        <f ca="1">ROUND(IF('数据-取费表'!B22&lt;=1,C40*F22*'数据-取费表'!B21/2,C40*(POWER((1+F22),'数据-取费表'!B21/2)-1)),4)</f>
        <v>8.9999999999999998E-4</v>
      </c>
      <c r="D44" s="244"/>
      <c r="E44" s="244"/>
      <c r="F44" s="245"/>
      <c r="G44" s="3352"/>
    </row>
    <row r="45" spans="1:7" s="220" customFormat="1" ht="13.5" customHeight="1">
      <c r="A45" s="261" t="s">
        <v>2233</v>
      </c>
      <c r="B45" s="250" t="s">
        <v>2199</v>
      </c>
      <c r="C45" s="251">
        <f ca="1">C46</f>
        <v>3418</v>
      </c>
      <c r="D45" s="241">
        <f ca="1">C47</f>
        <v>4.0000000000000001E-3</v>
      </c>
      <c r="E45" s="242" t="s">
        <v>2225</v>
      </c>
      <c r="F45" s="2535">
        <f ca="1">F27</f>
        <v>0.2</v>
      </c>
      <c r="G45" s="253" t="s">
        <v>2234</v>
      </c>
    </row>
    <row r="46" spans="1:7" s="220" customFormat="1" ht="13.5" customHeight="1">
      <c r="A46" s="887" t="s">
        <v>791</v>
      </c>
      <c r="B46" s="254" t="s">
        <v>2235</v>
      </c>
      <c r="C46" s="255">
        <f ca="1">ROUND((C33+C39)*F27,0)</f>
        <v>3418</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23056</v>
      </c>
      <c r="D49" s="238"/>
      <c r="E49" s="238"/>
      <c r="F49" s="270"/>
      <c r="G49" s="240" t="s">
        <v>2240</v>
      </c>
    </row>
    <row r="50" spans="1:7" s="264" customFormat="1" ht="24">
      <c r="A50" s="261" t="s">
        <v>2241</v>
      </c>
      <c r="B50" s="216" t="s">
        <v>2242</v>
      </c>
      <c r="C50" s="238"/>
      <c r="D50" s="238"/>
      <c r="E50" s="238"/>
      <c r="F50" s="270">
        <f>IF('数据-取费表'!B24=0,'数据-取费表'!N16,1)</f>
        <v>0.81</v>
      </c>
      <c r="G50" s="253" t="s">
        <v>2243</v>
      </c>
    </row>
    <row r="51" spans="1:7" ht="16.5" customHeight="1">
      <c r="A51" s="261" t="s">
        <v>2244</v>
      </c>
      <c r="B51" s="216" t="s">
        <v>2245</v>
      </c>
      <c r="C51" s="238">
        <f ca="1">ROUND(C49*F50,0)</f>
        <v>18675</v>
      </c>
      <c r="D51" s="238"/>
      <c r="E51" s="238"/>
      <c r="F51" s="270"/>
      <c r="G51" s="240" t="s">
        <v>2246</v>
      </c>
    </row>
    <row r="52" spans="1:7" s="214" customFormat="1" ht="16.5" thickBot="1">
      <c r="A52" s="271" t="s">
        <v>2247</v>
      </c>
      <c r="B52" s="272"/>
      <c r="C52" s="273">
        <f ca="1">C31+C51</f>
        <v>32641</v>
      </c>
      <c r="D52" s="272"/>
      <c r="E52" s="272"/>
      <c r="F52" s="272"/>
      <c r="G52" s="274"/>
    </row>
    <row r="55" spans="1:7" ht="15">
      <c r="B55" s="276" t="s">
        <v>2248</v>
      </c>
      <c r="C55" s="277"/>
    </row>
    <row r="56" spans="1:7">
      <c r="B56" s="279" t="s">
        <v>1478</v>
      </c>
      <c r="C56" s="281">
        <f ca="1">1-C57</f>
        <v>0.42800000000000005</v>
      </c>
    </row>
    <row r="57" spans="1:7">
      <c r="B57" s="279" t="s">
        <v>1479</v>
      </c>
      <c r="C57" s="280">
        <f ca="1">ROUND(C51/C52,3)</f>
        <v>0.57199999999999995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70" zoomScaleNormal="60" zoomScaleSheetLayoutView="70" workbookViewId="0">
      <selection activeCell="I11" sqref="I11"/>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8.5" style="363" customWidth="1"/>
    <col min="6" max="6" width="12.25" style="363" customWidth="1"/>
    <col min="7" max="7" width="18.125" style="363" customWidth="1"/>
    <col min="8" max="8" width="12.25" style="363" customWidth="1"/>
    <col min="9" max="9" width="16.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f>F66</f>
        <v>8935</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f>ROUND(IF(D3="",B2*10000/'数据-汇总表'!E3,B2*10000/D3),0)</f>
        <v>2057</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299" t="s">
        <v>2467</v>
      </c>
      <c r="D4" s="3300"/>
      <c r="E4" s="3301" t="s">
        <v>2468</v>
      </c>
      <c r="F4" s="3302"/>
      <c r="G4" s="3299" t="s">
        <v>2469</v>
      </c>
      <c r="H4" s="3300"/>
      <c r="I4" s="3299" t="s">
        <v>2470</v>
      </c>
      <c r="J4" s="3300"/>
      <c r="K4" s="567" t="s">
        <v>2471</v>
      </c>
      <c r="L4" s="2942"/>
      <c r="M4" s="2943"/>
      <c r="N4" s="2943"/>
      <c r="O4" s="2943"/>
      <c r="P4" s="3337" t="s">
        <v>2472</v>
      </c>
      <c r="Q4" s="3338"/>
      <c r="R4" s="3341" t="s">
        <v>2468</v>
      </c>
      <c r="S4" s="3342"/>
      <c r="T4" s="3341" t="s">
        <v>2469</v>
      </c>
      <c r="U4" s="3342"/>
      <c r="V4" s="3316" t="s">
        <v>2470</v>
      </c>
      <c r="W4" s="3316"/>
      <c r="X4" s="1537"/>
      <c r="Y4" s="3341" t="s">
        <v>2472</v>
      </c>
      <c r="Z4" s="3342"/>
      <c r="AA4" s="3336" t="s">
        <v>2468</v>
      </c>
      <c r="AB4" s="3329" t="s">
        <v>2469</v>
      </c>
      <c r="AC4" s="3336" t="s">
        <v>2470</v>
      </c>
    </row>
    <row r="5" spans="1:30" ht="15">
      <c r="A5" s="364"/>
      <c r="B5" s="365"/>
      <c r="C5" s="3325" t="s">
        <v>2363</v>
      </c>
      <c r="D5" s="3320"/>
      <c r="E5" s="3343" t="str">
        <f>土地案例!A4</f>
        <v>和平大街101地块</v>
      </c>
      <c r="F5" s="3332"/>
      <c r="G5" s="3325" t="str">
        <f>土地案例!A7</f>
        <v>宁官06</v>
      </c>
      <c r="H5" s="3320"/>
      <c r="I5" s="3325" t="str">
        <f>土地案例!A8</f>
        <v>GN-RJ-03-11</v>
      </c>
      <c r="J5" s="3320"/>
      <c r="K5" s="567"/>
      <c r="L5" s="2942"/>
      <c r="M5" s="2943"/>
      <c r="N5" s="2943"/>
      <c r="O5" s="2943"/>
      <c r="P5" s="3339"/>
      <c r="Q5" s="3306"/>
      <c r="R5" s="3311"/>
      <c r="S5" s="3312"/>
      <c r="T5" s="3311"/>
      <c r="U5" s="3312"/>
      <c r="V5" s="3316"/>
      <c r="W5" s="3316"/>
      <c r="X5" s="1537"/>
      <c r="Y5" s="3311"/>
      <c r="Z5" s="3312"/>
      <c r="AA5" s="3329"/>
      <c r="AB5" s="3329"/>
      <c r="AC5" s="3329"/>
    </row>
    <row r="6" spans="1:30" ht="15.75" thickBot="1">
      <c r="A6" s="366"/>
      <c r="B6" s="367"/>
      <c r="C6" s="3317" t="s">
        <v>2367</v>
      </c>
      <c r="D6" s="3318"/>
      <c r="E6" s="3326" t="s">
        <v>2367</v>
      </c>
      <c r="F6" s="3327"/>
      <c r="G6" s="3317" t="s">
        <v>2367</v>
      </c>
      <c r="H6" s="3318"/>
      <c r="I6" s="3317" t="s">
        <v>2367</v>
      </c>
      <c r="J6" s="3318"/>
      <c r="K6" s="567" t="s">
        <v>2368</v>
      </c>
      <c r="L6" s="2942"/>
      <c r="M6" s="2943"/>
      <c r="N6" s="2943"/>
      <c r="O6" s="2943"/>
      <c r="P6" s="3340"/>
      <c r="Q6" s="3308"/>
      <c r="R6" s="3311"/>
      <c r="S6" s="3312"/>
      <c r="T6" s="3313"/>
      <c r="U6" s="3314"/>
      <c r="V6" s="3316"/>
      <c r="W6" s="3316"/>
      <c r="X6" s="1537"/>
      <c r="Y6" s="3313"/>
      <c r="Z6" s="3314"/>
      <c r="AA6" s="3330"/>
      <c r="AB6" s="3330"/>
      <c r="AC6" s="3330"/>
    </row>
    <row r="7" spans="1:30" s="113" customFormat="1" ht="15.75" thickBot="1">
      <c r="A7" s="368" t="s">
        <v>2369</v>
      </c>
      <c r="B7" s="369"/>
      <c r="C7" s="370">
        <f>'数据-取费表'!B2</f>
        <v>44561</v>
      </c>
      <c r="D7" s="371">
        <v>100</v>
      </c>
      <c r="E7" s="372">
        <f>土地案例!L4</f>
        <v>44195</v>
      </c>
      <c r="F7" s="373">
        <f>SUMIF(70:70,YEAR(E7)&amp;"-"&amp;INT((MONTH(E7)+2)/3),71:71)</f>
        <v>99.199999999999989</v>
      </c>
      <c r="G7" s="2158">
        <f>土地案例!L7</f>
        <v>44118</v>
      </c>
      <c r="H7" s="371">
        <f>SUMIF(70:70,YEAR(G7)&amp;"-"&amp;INT((MONTH(G7)+2)/3),71:71)</f>
        <v>99.199999999999989</v>
      </c>
      <c r="I7" s="2158">
        <f>土地案例!L8</f>
        <v>44034</v>
      </c>
      <c r="J7" s="371">
        <f>SUMIF(70:70,YEAR(I7)&amp;"-"&amp;INT((MONTH(I7)+2)/3),71:71)</f>
        <v>98.999999999999986</v>
      </c>
      <c r="K7" s="568"/>
      <c r="L7" s="2944"/>
      <c r="M7" s="2945"/>
      <c r="N7" s="2945"/>
      <c r="O7" s="2945"/>
      <c r="P7" s="3323" t="s">
        <v>2370</v>
      </c>
      <c r="Q7" s="3324"/>
      <c r="R7" s="709" t="s">
        <v>17</v>
      </c>
      <c r="S7" s="710">
        <f t="shared" ref="S7:S15" si="0">F7</f>
        <v>99.199999999999989</v>
      </c>
      <c r="T7" s="709" t="s">
        <v>17</v>
      </c>
      <c r="U7" s="710">
        <f t="shared" ref="U7:U15" si="1">H7</f>
        <v>99.199999999999989</v>
      </c>
      <c r="V7" s="709" t="s">
        <v>17</v>
      </c>
      <c r="W7" s="710">
        <f t="shared" ref="W7:W15" si="2">J7</f>
        <v>98.999999999999986</v>
      </c>
      <c r="X7" s="711"/>
      <c r="Y7" s="3323" t="s">
        <v>2370</v>
      </c>
      <c r="Z7" s="3322"/>
      <c r="AA7" s="712">
        <f>D7/F7</f>
        <v>1.0080645161290325</v>
      </c>
      <c r="AB7" s="712">
        <f>D7/H7</f>
        <v>1.0080645161290325</v>
      </c>
      <c r="AC7" s="712">
        <f>D7/J7</f>
        <v>1.0101010101010102</v>
      </c>
    </row>
    <row r="8" spans="1:30" s="113" customFormat="1" ht="15.75" thickBot="1">
      <c r="A8" s="368" t="s">
        <v>2371</v>
      </c>
      <c r="B8" s="369"/>
      <c r="C8" s="374" t="s">
        <v>2372</v>
      </c>
      <c r="D8" s="371">
        <v>100</v>
      </c>
      <c r="E8" s="374" t="s">
        <v>3081</v>
      </c>
      <c r="F8" s="373">
        <f>SUMIF(73:73,E8,74:74)-SUMIF(73:73,C8,74:74)+100</f>
        <v>100</v>
      </c>
      <c r="G8" s="374" t="s">
        <v>3081</v>
      </c>
      <c r="H8" s="371">
        <f>SUMIF(73:73,G8,74:74)-SUMIF(73:73,C8,74:74)+100</f>
        <v>100</v>
      </c>
      <c r="I8" s="374" t="s">
        <v>3081</v>
      </c>
      <c r="J8" s="371">
        <f>SUMIF(73:73,I8,74:74)-SUMIF(73:73,C8,74:74)+100</f>
        <v>100</v>
      </c>
      <c r="K8" s="568"/>
      <c r="L8" s="2944"/>
      <c r="M8" s="2945"/>
      <c r="N8" s="2945"/>
      <c r="O8" s="2945"/>
      <c r="P8" s="3323" t="s">
        <v>2373</v>
      </c>
      <c r="Q8" s="3322"/>
      <c r="R8" s="709" t="s">
        <v>17</v>
      </c>
      <c r="S8" s="710">
        <f t="shared" si="0"/>
        <v>100</v>
      </c>
      <c r="T8" s="709" t="s">
        <v>17</v>
      </c>
      <c r="U8" s="710">
        <f t="shared" si="1"/>
        <v>100</v>
      </c>
      <c r="V8" s="709" t="s">
        <v>17</v>
      </c>
      <c r="W8" s="710">
        <f t="shared" si="2"/>
        <v>100</v>
      </c>
      <c r="X8" s="711"/>
      <c r="Y8" s="3323" t="s">
        <v>2373</v>
      </c>
      <c r="Z8" s="3322"/>
      <c r="AA8" s="712">
        <f t="shared" ref="AA8:AA45" si="3">D8/F8</f>
        <v>1</v>
      </c>
      <c r="AB8" s="712">
        <f t="shared" ref="AB8:AB45" si="4">D8/H8</f>
        <v>1</v>
      </c>
      <c r="AC8" s="712">
        <f t="shared" ref="AC8:AC45" si="5">D8/J8</f>
        <v>1</v>
      </c>
    </row>
    <row r="9" spans="1:30" s="113" customFormat="1">
      <c r="A9" s="375" t="s">
        <v>2374</v>
      </c>
      <c r="B9" s="67" t="s">
        <v>2375</v>
      </c>
      <c r="C9" s="2161" t="s">
        <v>1343</v>
      </c>
      <c r="D9" s="131">
        <v>100</v>
      </c>
      <c r="E9" s="2161" t="s">
        <v>1343</v>
      </c>
      <c r="F9" s="131">
        <f>SUMIF(75:75,E9,76:76)-SUMIF(75:75,C9,76:76)+100</f>
        <v>100</v>
      </c>
      <c r="G9" s="2161" t="s">
        <v>1343</v>
      </c>
      <c r="H9" s="131">
        <f>SUMIF(75:75,G9,76:76)-SUMIF(75:75,C9,76:76)+100</f>
        <v>100</v>
      </c>
      <c r="I9" s="2161" t="s">
        <v>1343</v>
      </c>
      <c r="J9" s="131">
        <f>SUMIF(75:75,I9,76:76)-SUMIF(75:75,C9,76:76)+100</f>
        <v>100</v>
      </c>
      <c r="K9" s="568"/>
      <c r="L9" s="2944"/>
      <c r="M9" s="2945"/>
      <c r="N9" s="2945"/>
      <c r="O9" s="2999"/>
      <c r="P9" s="3282" t="s">
        <v>2376</v>
      </c>
      <c r="Q9" s="1525" t="str">
        <f t="shared" ref="Q9:Q15" si="6">B9</f>
        <v>用途</v>
      </c>
      <c r="R9" s="709" t="s">
        <v>17</v>
      </c>
      <c r="S9" s="710">
        <f t="shared" si="0"/>
        <v>100</v>
      </c>
      <c r="T9" s="709" t="s">
        <v>17</v>
      </c>
      <c r="U9" s="710">
        <f t="shared" si="1"/>
        <v>100</v>
      </c>
      <c r="V9" s="709" t="s">
        <v>17</v>
      </c>
      <c r="W9" s="710">
        <f t="shared" si="2"/>
        <v>100</v>
      </c>
      <c r="X9" s="711"/>
      <c r="Y9" s="3185"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235</v>
      </c>
      <c r="G10" s="422"/>
      <c r="H10" s="132">
        <f>ROUND(100/'数据-取费表'!G16,0)</f>
        <v>235</v>
      </c>
      <c r="I10" s="422"/>
      <c r="J10" s="132">
        <f>ROUND(100/'数据-取费表'!G16,0)</f>
        <v>235</v>
      </c>
      <c r="K10" s="628"/>
      <c r="L10" s="2946"/>
      <c r="M10" s="2947"/>
      <c r="N10" s="2947"/>
      <c r="O10" s="3000"/>
      <c r="P10" s="3282"/>
      <c r="Q10" s="1525" t="str">
        <f t="shared" si="6"/>
        <v>土地使用年限（年）</v>
      </c>
      <c r="R10" s="709" t="s">
        <v>17</v>
      </c>
      <c r="S10" s="710">
        <f t="shared" si="0"/>
        <v>235</v>
      </c>
      <c r="T10" s="709" t="s">
        <v>17</v>
      </c>
      <c r="U10" s="710">
        <f t="shared" si="1"/>
        <v>235</v>
      </c>
      <c r="V10" s="709" t="s">
        <v>17</v>
      </c>
      <c r="W10" s="710">
        <f t="shared" si="2"/>
        <v>235</v>
      </c>
      <c r="X10" s="711"/>
      <c r="Y10" s="3185"/>
      <c r="Z10" s="55" t="str">
        <f t="shared" si="7"/>
        <v>土地使用年限（年）</v>
      </c>
      <c r="AA10" s="712">
        <f t="shared" si="3"/>
        <v>0.42553191489361702</v>
      </c>
      <c r="AB10" s="712">
        <f t="shared" si="4"/>
        <v>0.42553191489361702</v>
      </c>
      <c r="AC10" s="712">
        <f t="shared" si="5"/>
        <v>0.42553191489361702</v>
      </c>
    </row>
    <row r="11" spans="1:30" ht="15">
      <c r="A11" s="387"/>
      <c r="B11" s="381" t="s">
        <v>2379</v>
      </c>
      <c r="C11" s="388">
        <f>'数据-汇总表'!I6</f>
        <v>1.61</v>
      </c>
      <c r="D11" s="132">
        <v>100</v>
      </c>
      <c r="E11" s="388">
        <v>6</v>
      </c>
      <c r="F11" s="132">
        <f>LOOKUP(E11,80:80,81:81)-LOOKUP(C11,80:80,81:81)+100</f>
        <v>94</v>
      </c>
      <c r="G11" s="389">
        <v>3.5</v>
      </c>
      <c r="H11" s="132">
        <f>LOOKUP(G11,80:80,81:81)-LOOKUP(C11,80:80,81:81)+100</f>
        <v>98</v>
      </c>
      <c r="I11" s="388">
        <v>1.2</v>
      </c>
      <c r="J11" s="132">
        <f>LOOKUP(I11,80:80,81:81)-LOOKUP(C11,80:80,81:81)+100</f>
        <v>100</v>
      </c>
      <c r="K11" s="629">
        <v>2</v>
      </c>
      <c r="L11" s="2948"/>
      <c r="M11" s="2943"/>
      <c r="N11" s="2943"/>
      <c r="O11" s="3001"/>
      <c r="P11" s="3282"/>
      <c r="Q11" s="1525" t="str">
        <f t="shared" si="6"/>
        <v>容积率</v>
      </c>
      <c r="R11" s="709" t="s">
        <v>17</v>
      </c>
      <c r="S11" s="710">
        <f t="shared" si="0"/>
        <v>94</v>
      </c>
      <c r="T11" s="709" t="s">
        <v>17</v>
      </c>
      <c r="U11" s="710">
        <f t="shared" si="1"/>
        <v>98</v>
      </c>
      <c r="V11" s="709" t="s">
        <v>17</v>
      </c>
      <c r="W11" s="710">
        <f t="shared" si="2"/>
        <v>100</v>
      </c>
      <c r="X11" s="711"/>
      <c r="Y11" s="3185"/>
      <c r="Z11" s="55" t="str">
        <f t="shared" si="7"/>
        <v>容积率</v>
      </c>
      <c r="AA11" s="712">
        <f t="shared" si="3"/>
        <v>1.0638297872340425</v>
      </c>
      <c r="AB11" s="712">
        <f t="shared" si="4"/>
        <v>1.0204081632653061</v>
      </c>
      <c r="AC11" s="712">
        <f t="shared" si="5"/>
        <v>1</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2"/>
      <c r="Q12" s="1525" t="str">
        <f t="shared" si="6"/>
        <v>配建</v>
      </c>
      <c r="R12" s="709" t="s">
        <v>17</v>
      </c>
      <c r="S12" s="710">
        <f t="shared" si="0"/>
        <v>100</v>
      </c>
      <c r="T12" s="709" t="s">
        <v>17</v>
      </c>
      <c r="U12" s="710">
        <f t="shared" si="1"/>
        <v>100</v>
      </c>
      <c r="V12" s="709" t="s">
        <v>17</v>
      </c>
      <c r="W12" s="710">
        <f t="shared" si="2"/>
        <v>100</v>
      </c>
      <c r="X12" s="711"/>
      <c r="Y12" s="3185"/>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85"/>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2"/>
      <c r="Q14" s="1525">
        <f t="shared" si="6"/>
        <v>111</v>
      </c>
      <c r="R14" s="709" t="s">
        <v>17</v>
      </c>
      <c r="S14" s="710">
        <f t="shared" si="0"/>
        <v>100</v>
      </c>
      <c r="T14" s="709" t="s">
        <v>17</v>
      </c>
      <c r="U14" s="710">
        <f t="shared" si="1"/>
        <v>100</v>
      </c>
      <c r="V14" s="709" t="s">
        <v>17</v>
      </c>
      <c r="W14" s="710">
        <f t="shared" si="2"/>
        <v>100</v>
      </c>
      <c r="X14" s="711"/>
      <c r="Y14" s="3185"/>
      <c r="Z14" s="55">
        <f t="shared" si="7"/>
        <v>111</v>
      </c>
      <c r="AA14" s="712">
        <f>D14/F14</f>
        <v>1</v>
      </c>
      <c r="AB14" s="712">
        <f>D14/H14</f>
        <v>1</v>
      </c>
      <c r="AC14" s="712">
        <f>D14/J14</f>
        <v>1</v>
      </c>
    </row>
    <row r="15" spans="1:30" ht="71.2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9" t="s">
        <v>2381</v>
      </c>
      <c r="Q15" s="1534" t="str">
        <f t="shared" si="6"/>
        <v>居住社区成熟度</v>
      </c>
      <c r="R15" s="713" t="s">
        <v>17</v>
      </c>
      <c r="S15" s="714">
        <f t="shared" si="0"/>
        <v>100</v>
      </c>
      <c r="T15" s="713" t="s">
        <v>17</v>
      </c>
      <c r="U15" s="714">
        <f t="shared" si="1"/>
        <v>100</v>
      </c>
      <c r="V15" s="713" t="s">
        <v>17</v>
      </c>
      <c r="W15" s="714">
        <f t="shared" si="2"/>
        <v>100</v>
      </c>
      <c r="X15" s="1537"/>
      <c r="Y15" s="3289"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290"/>
      <c r="Q16" s="1534"/>
      <c r="R16" s="713"/>
      <c r="S16" s="714"/>
      <c r="T16" s="713"/>
      <c r="U16" s="714"/>
      <c r="V16" s="713"/>
      <c r="W16" s="714"/>
      <c r="X16" s="1537"/>
      <c r="Y16" s="3290"/>
      <c r="Z16" s="1538"/>
      <c r="AA16" s="1535">
        <v>1</v>
      </c>
      <c r="AB16" s="1535">
        <v>1</v>
      </c>
      <c r="AC16" s="1535">
        <v>1</v>
      </c>
    </row>
    <row r="17" spans="1:29" ht="57">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90</v>
      </c>
      <c r="I17" s="413"/>
      <c r="J17" s="414">
        <f>SUMIF(90:90,I18,91:91)-SUMIF(90:90,C18,91:91)+100</f>
        <v>100</v>
      </c>
      <c r="K17" s="629">
        <v>5</v>
      </c>
      <c r="L17" s="2949"/>
      <c r="M17" s="2943"/>
      <c r="N17" s="2943"/>
      <c r="O17" s="3001"/>
      <c r="P17" s="3290"/>
      <c r="Q17" s="1534" t="str">
        <f>B17</f>
        <v>商业繁华度</v>
      </c>
      <c r="R17" s="713" t="s">
        <v>17</v>
      </c>
      <c r="S17" s="714">
        <f>F17</f>
        <v>100</v>
      </c>
      <c r="T17" s="713" t="s">
        <v>17</v>
      </c>
      <c r="U17" s="714">
        <f>H17</f>
        <v>90</v>
      </c>
      <c r="V17" s="713" t="s">
        <v>17</v>
      </c>
      <c r="W17" s="714">
        <f>J17</f>
        <v>100</v>
      </c>
      <c r="X17" s="1537"/>
      <c r="Y17" s="3290"/>
      <c r="Z17" s="1538" t="str">
        <f>Q17</f>
        <v>商业繁华度</v>
      </c>
      <c r="AA17" s="1535">
        <f t="shared" si="3"/>
        <v>1</v>
      </c>
      <c r="AB17" s="1535">
        <f t="shared" si="4"/>
        <v>1.1111111111111112</v>
      </c>
      <c r="AC17" s="1535">
        <f t="shared" si="5"/>
        <v>1</v>
      </c>
    </row>
    <row r="18" spans="1:29" ht="15">
      <c r="A18" s="387"/>
      <c r="B18" s="415"/>
      <c r="C18" s="2085" t="s">
        <v>3083</v>
      </c>
      <c r="D18" s="409"/>
      <c r="E18" s="2087" t="s">
        <v>3083</v>
      </c>
      <c r="F18" s="409"/>
      <c r="G18" s="2087" t="s">
        <v>3117</v>
      </c>
      <c r="H18" s="407"/>
      <c r="I18" s="2086" t="s">
        <v>3083</v>
      </c>
      <c r="J18" s="407"/>
      <c r="K18" s="628"/>
      <c r="L18" s="2949"/>
      <c r="M18" s="2943"/>
      <c r="N18" s="2943"/>
      <c r="O18" s="3001"/>
      <c r="P18" s="3290"/>
      <c r="Q18" s="1534"/>
      <c r="R18" s="713"/>
      <c r="S18" s="714"/>
      <c r="T18" s="713"/>
      <c r="U18" s="714"/>
      <c r="V18" s="713"/>
      <c r="W18" s="714"/>
      <c r="X18" s="1537"/>
      <c r="Y18" s="3290"/>
      <c r="Z18" s="1538"/>
      <c r="AA18" s="1535">
        <v>1</v>
      </c>
      <c r="AB18" s="1535">
        <v>1</v>
      </c>
      <c r="AC18" s="1535">
        <v>1</v>
      </c>
    </row>
    <row r="19" spans="1:29" ht="57">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0"/>
      <c r="Q19" s="1534" t="str">
        <f>B19</f>
        <v>办公集聚程度</v>
      </c>
      <c r="R19" s="713" t="s">
        <v>17</v>
      </c>
      <c r="S19" s="714">
        <f>F19</f>
        <v>100</v>
      </c>
      <c r="T19" s="713" t="s">
        <v>17</v>
      </c>
      <c r="U19" s="714">
        <f>H19</f>
        <v>100</v>
      </c>
      <c r="V19" s="713" t="s">
        <v>17</v>
      </c>
      <c r="W19" s="714">
        <f>J19</f>
        <v>100</v>
      </c>
      <c r="X19" s="1537"/>
      <c r="Y19" s="3290"/>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290"/>
      <c r="Q20" s="1534"/>
      <c r="R20" s="713"/>
      <c r="S20" s="714"/>
      <c r="T20" s="713"/>
      <c r="U20" s="714"/>
      <c r="V20" s="713"/>
      <c r="W20" s="714"/>
      <c r="X20" s="1537"/>
      <c r="Y20" s="3290"/>
      <c r="Z20" s="1538"/>
      <c r="AA20" s="1535">
        <v>1</v>
      </c>
      <c r="AB20" s="1535">
        <v>1</v>
      </c>
      <c r="AC20" s="1535">
        <v>1</v>
      </c>
    </row>
    <row r="21" spans="1:29" ht="71.2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49"/>
      <c r="M21" s="2943"/>
      <c r="N21" s="2943"/>
      <c r="O21" s="3001"/>
      <c r="P21" s="3290"/>
      <c r="Q21" s="1534" t="str">
        <f>B21</f>
        <v>交通便捷度</v>
      </c>
      <c r="R21" s="713" t="s">
        <v>17</v>
      </c>
      <c r="S21" s="714">
        <f>F21</f>
        <v>100</v>
      </c>
      <c r="T21" s="713" t="s">
        <v>17</v>
      </c>
      <c r="U21" s="714">
        <f>H21</f>
        <v>97</v>
      </c>
      <c r="V21" s="713" t="s">
        <v>17</v>
      </c>
      <c r="W21" s="714">
        <f>J21</f>
        <v>97</v>
      </c>
      <c r="X21" s="1537"/>
      <c r="Y21" s="3290"/>
      <c r="Z21" s="1538" t="str">
        <f>Q21</f>
        <v>交通便捷度</v>
      </c>
      <c r="AA21" s="1535">
        <f t="shared" si="3"/>
        <v>1</v>
      </c>
      <c r="AB21" s="1535">
        <f t="shared" si="4"/>
        <v>1.0309278350515463</v>
      </c>
      <c r="AC21" s="1535">
        <f t="shared" si="5"/>
        <v>1.0309278350515463</v>
      </c>
    </row>
    <row r="22" spans="1:29" ht="15">
      <c r="A22" s="387"/>
      <c r="B22" s="1292"/>
      <c r="C22" s="406" t="s">
        <v>3083</v>
      </c>
      <c r="D22" s="409"/>
      <c r="E22" s="2082" t="s">
        <v>3083</v>
      </c>
      <c r="F22" s="407"/>
      <c r="G22" s="2082" t="s">
        <v>3085</v>
      </c>
      <c r="H22" s="407"/>
      <c r="I22" s="2081" t="s">
        <v>3085</v>
      </c>
      <c r="J22" s="407"/>
      <c r="K22" s="628"/>
      <c r="L22" s="2949"/>
      <c r="M22" s="2943"/>
      <c r="N22" s="2943"/>
      <c r="O22" s="3001"/>
      <c r="P22" s="3290"/>
      <c r="Q22" s="1534"/>
      <c r="R22" s="713"/>
      <c r="S22" s="714"/>
      <c r="T22" s="713"/>
      <c r="U22" s="714"/>
      <c r="V22" s="713"/>
      <c r="W22" s="714"/>
      <c r="X22" s="1537"/>
      <c r="Y22" s="3290"/>
      <c r="Z22" s="1538"/>
      <c r="AA22" s="1535">
        <v>1</v>
      </c>
      <c r="AB22" s="1535">
        <v>1</v>
      </c>
      <c r="AC22" s="1535">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90"/>
      <c r="Q23" s="1534" t="str">
        <f t="shared" ref="Q23:Q37" si="8">B23</f>
        <v>区域土地利用方向</v>
      </c>
      <c r="R23" s="713" t="s">
        <v>17</v>
      </c>
      <c r="S23" s="714">
        <f>F23</f>
        <v>100</v>
      </c>
      <c r="T23" s="713" t="s">
        <v>17</v>
      </c>
      <c r="U23" s="714">
        <f>H23</f>
        <v>100</v>
      </c>
      <c r="V23" s="713" t="s">
        <v>17</v>
      </c>
      <c r="W23" s="714">
        <f>J23</f>
        <v>100</v>
      </c>
      <c r="X23" s="1537"/>
      <c r="Y23" s="3290"/>
      <c r="Z23" s="1538" t="str">
        <f>Q23</f>
        <v>区域土地利用方向</v>
      </c>
      <c r="AA23" s="1535">
        <f t="shared" si="3"/>
        <v>1</v>
      </c>
      <c r="AB23" s="1535">
        <f t="shared" si="4"/>
        <v>1</v>
      </c>
      <c r="AC23" s="1535">
        <f t="shared" si="5"/>
        <v>1</v>
      </c>
    </row>
    <row r="24" spans="1:29" ht="15">
      <c r="A24" s="364"/>
      <c r="B24" s="415"/>
      <c r="C24" s="573" t="s">
        <v>3083</v>
      </c>
      <c r="D24" s="407"/>
      <c r="E24" s="573" t="s">
        <v>3083</v>
      </c>
      <c r="F24" s="407"/>
      <c r="G24" s="573" t="s">
        <v>3083</v>
      </c>
      <c r="H24" s="407"/>
      <c r="I24" s="573" t="s">
        <v>3083</v>
      </c>
      <c r="J24" s="407"/>
      <c r="K24" s="750"/>
      <c r="L24" s="2949"/>
      <c r="M24" s="2943"/>
      <c r="N24" s="2943"/>
      <c r="O24" s="3001"/>
      <c r="P24" s="3290"/>
      <c r="Q24" s="1534"/>
      <c r="R24" s="713"/>
      <c r="S24" s="714"/>
      <c r="T24" s="713"/>
      <c r="U24" s="714"/>
      <c r="V24" s="713"/>
      <c r="W24" s="714"/>
      <c r="X24" s="1537"/>
      <c r="Y24" s="3290"/>
      <c r="Z24" s="1538"/>
      <c r="AA24" s="1535"/>
      <c r="AB24" s="1535"/>
      <c r="AC24" s="1535"/>
    </row>
    <row r="25" spans="1:29" ht="42.75">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97</v>
      </c>
      <c r="I25" s="413"/>
      <c r="J25" s="409">
        <f>SUMIF(98:98,I26,99:99)-SUMIF(98:98,C26,99:99)+100</f>
        <v>97</v>
      </c>
      <c r="K25" s="629">
        <v>3</v>
      </c>
      <c r="L25" s="2949"/>
      <c r="M25" s="2943"/>
      <c r="N25" s="2943"/>
      <c r="O25" s="3001"/>
      <c r="P25" s="3290"/>
      <c r="Q25" s="1534" t="str">
        <f t="shared" si="8"/>
        <v>自然及人文环境状况</v>
      </c>
      <c r="R25" s="713" t="s">
        <v>17</v>
      </c>
      <c r="S25" s="714">
        <f>F25</f>
        <v>100</v>
      </c>
      <c r="T25" s="713" t="s">
        <v>17</v>
      </c>
      <c r="U25" s="714">
        <f>H25</f>
        <v>97</v>
      </c>
      <c r="V25" s="713" t="s">
        <v>17</v>
      </c>
      <c r="W25" s="714">
        <f>J25</f>
        <v>97</v>
      </c>
      <c r="X25" s="1537"/>
      <c r="Y25" s="3290"/>
      <c r="Z25" s="1538" t="str">
        <f>Q25</f>
        <v>自然及人文环境状况</v>
      </c>
      <c r="AA25" s="1535">
        <f t="shared" si="3"/>
        <v>1</v>
      </c>
      <c r="AB25" s="1535">
        <f t="shared" si="4"/>
        <v>1.0309278350515463</v>
      </c>
      <c r="AC25" s="1535">
        <f t="shared" si="5"/>
        <v>1.0309278350515463</v>
      </c>
    </row>
    <row r="26" spans="1:29" ht="15">
      <c r="A26" s="364"/>
      <c r="B26" s="415"/>
      <c r="C26" s="406" t="s">
        <v>3083</v>
      </c>
      <c r="D26" s="407"/>
      <c r="E26" s="2088" t="s">
        <v>3083</v>
      </c>
      <c r="F26" s="407"/>
      <c r="G26" s="2088" t="s">
        <v>3085</v>
      </c>
      <c r="H26" s="407"/>
      <c r="I26" s="406" t="s">
        <v>3085</v>
      </c>
      <c r="J26" s="407"/>
      <c r="K26" s="628"/>
      <c r="L26" s="2949"/>
      <c r="M26" s="2943"/>
      <c r="N26" s="2943"/>
      <c r="O26" s="3001"/>
      <c r="P26" s="3290"/>
      <c r="Q26" s="1534"/>
      <c r="R26" s="713"/>
      <c r="S26" s="714"/>
      <c r="T26" s="713"/>
      <c r="U26" s="714"/>
      <c r="V26" s="713"/>
      <c r="W26" s="714"/>
      <c r="X26" s="1537"/>
      <c r="Y26" s="3290"/>
      <c r="Z26" s="1538"/>
      <c r="AA26" s="1535">
        <v>1</v>
      </c>
      <c r="AB26" s="1535">
        <v>1</v>
      </c>
      <c r="AC26" s="1535">
        <v>1</v>
      </c>
    </row>
    <row r="27" spans="1:29" s="113" customFormat="1" ht="28.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94</v>
      </c>
      <c r="I27" s="413"/>
      <c r="J27" s="409">
        <f>SUMIF(100:100,I28,101:101)-SUMIF(100:100,C28,101:101)+100</f>
        <v>100</v>
      </c>
      <c r="K27" s="629">
        <v>3</v>
      </c>
      <c r="L27" s="2944"/>
      <c r="M27" s="2945"/>
      <c r="N27" s="2945"/>
      <c r="O27" s="2999"/>
      <c r="P27" s="3290"/>
      <c r="Q27" s="1525" t="str">
        <f t="shared" si="8"/>
        <v>公共配套设施</v>
      </c>
      <c r="R27" s="709" t="s">
        <v>17</v>
      </c>
      <c r="S27" s="710">
        <f>F27</f>
        <v>100</v>
      </c>
      <c r="T27" s="709" t="s">
        <v>17</v>
      </c>
      <c r="U27" s="710">
        <f>H27</f>
        <v>94</v>
      </c>
      <c r="V27" s="709" t="s">
        <v>17</v>
      </c>
      <c r="W27" s="710">
        <f>J27</f>
        <v>100</v>
      </c>
      <c r="X27" s="711"/>
      <c r="Y27" s="3290"/>
      <c r="Z27" s="55" t="str">
        <f>Q27</f>
        <v>公共配套设施</v>
      </c>
      <c r="AA27" s="1535">
        <f>D27/F27</f>
        <v>1</v>
      </c>
      <c r="AB27" s="1535">
        <f>D27/H27</f>
        <v>1.0638297872340425</v>
      </c>
      <c r="AC27" s="1535">
        <f>D27/J27</f>
        <v>1</v>
      </c>
    </row>
    <row r="28" spans="1:29" s="113" customFormat="1" ht="15">
      <c r="A28" s="605"/>
      <c r="B28" s="415"/>
      <c r="C28" s="2162" t="s">
        <v>3083</v>
      </c>
      <c r="D28" s="407"/>
      <c r="E28" s="2162" t="s">
        <v>3083</v>
      </c>
      <c r="F28" s="407"/>
      <c r="G28" s="2088" t="s">
        <v>3117</v>
      </c>
      <c r="H28" s="407"/>
      <c r="I28" s="406" t="s">
        <v>3083</v>
      </c>
      <c r="J28" s="407"/>
      <c r="K28" s="628"/>
      <c r="L28" s="2944"/>
      <c r="M28" s="2945"/>
      <c r="N28" s="2945"/>
      <c r="O28" s="2999"/>
      <c r="P28" s="3290"/>
      <c r="Q28" s="1525"/>
      <c r="R28" s="709"/>
      <c r="S28" s="710"/>
      <c r="T28" s="709"/>
      <c r="U28" s="710"/>
      <c r="V28" s="709"/>
      <c r="W28" s="710"/>
      <c r="X28" s="711"/>
      <c r="Y28" s="3290"/>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290"/>
      <c r="Q29" s="1525" t="str">
        <f t="shared" ref="Q29" si="9">B29</f>
        <v>基础设施水平</v>
      </c>
      <c r="R29" s="709" t="s">
        <v>17</v>
      </c>
      <c r="S29" s="710">
        <f>F29</f>
        <v>100</v>
      </c>
      <c r="T29" s="709" t="s">
        <v>17</v>
      </c>
      <c r="U29" s="710">
        <f>H29</f>
        <v>100</v>
      </c>
      <c r="V29" s="709" t="s">
        <v>17</v>
      </c>
      <c r="W29" s="710">
        <f>J29</f>
        <v>100</v>
      </c>
      <c r="X29" s="711"/>
      <c r="Y29" s="3290"/>
      <c r="Z29" s="55" t="str">
        <f>Q29</f>
        <v>基础设施水平</v>
      </c>
      <c r="AA29" s="1535">
        <f>D29/F29</f>
        <v>1</v>
      </c>
      <c r="AB29" s="1535">
        <f>D29/H29</f>
        <v>1</v>
      </c>
      <c r="AC29" s="1535">
        <f>D29/J29</f>
        <v>1</v>
      </c>
    </row>
    <row r="30" spans="1:29" s="113" customFormat="1" ht="15">
      <c r="A30" s="605"/>
      <c r="B30" s="415"/>
      <c r="C30" s="2162" t="s">
        <v>3245</v>
      </c>
      <c r="D30" s="407"/>
      <c r="E30" s="2162" t="s">
        <v>3245</v>
      </c>
      <c r="F30" s="407"/>
      <c r="G30" s="2162" t="s">
        <v>3245</v>
      </c>
      <c r="H30" s="407"/>
      <c r="I30" s="2162" t="s">
        <v>3245</v>
      </c>
      <c r="J30" s="407"/>
      <c r="K30" s="628"/>
      <c r="L30" s="2944"/>
      <c r="M30" s="2945"/>
      <c r="N30" s="2945"/>
      <c r="O30" s="2999"/>
      <c r="P30" s="3290"/>
      <c r="Q30" s="1525"/>
      <c r="R30" s="709"/>
      <c r="S30" s="710"/>
      <c r="T30" s="709"/>
      <c r="U30" s="710"/>
      <c r="V30" s="709"/>
      <c r="W30" s="710"/>
      <c r="X30" s="711"/>
      <c r="Y30" s="3290"/>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90"/>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90"/>
      <c r="Z31" s="1538" t="str">
        <f t="shared" ref="Z31:Z45" si="13">Q31</f>
        <v>临街状况</v>
      </c>
      <c r="AA31" s="1535">
        <f t="shared" si="3"/>
        <v>1</v>
      </c>
      <c r="AB31" s="1535">
        <f t="shared" si="4"/>
        <v>1</v>
      </c>
      <c r="AC31" s="1535">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0"/>
      <c r="Q32" s="1534" t="str">
        <f t="shared" si="8"/>
        <v>毗邻道路的类型与等级</v>
      </c>
      <c r="R32" s="713" t="s">
        <v>17</v>
      </c>
      <c r="S32" s="714">
        <f t="shared" si="10"/>
        <v>100</v>
      </c>
      <c r="T32" s="713" t="s">
        <v>17</v>
      </c>
      <c r="U32" s="714">
        <f t="shared" si="11"/>
        <v>100</v>
      </c>
      <c r="V32" s="713" t="s">
        <v>17</v>
      </c>
      <c r="W32" s="714">
        <f t="shared" si="12"/>
        <v>100</v>
      </c>
      <c r="X32" s="1537"/>
      <c r="Y32" s="3290"/>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290"/>
      <c r="Q33" s="1534"/>
      <c r="R33" s="713"/>
      <c r="S33" s="714"/>
      <c r="T33" s="713"/>
      <c r="U33" s="714"/>
      <c r="V33" s="713"/>
      <c r="W33" s="714"/>
      <c r="X33" s="1537"/>
      <c r="Y33" s="3290"/>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0"/>
      <c r="Q34" s="1534" t="str">
        <f t="shared" si="8"/>
        <v>土地级别</v>
      </c>
      <c r="R34" s="713" t="s">
        <v>17</v>
      </c>
      <c r="S34" s="714">
        <f t="shared" si="10"/>
        <v>100</v>
      </c>
      <c r="T34" s="713" t="s">
        <v>17</v>
      </c>
      <c r="U34" s="714">
        <f t="shared" si="11"/>
        <v>100</v>
      </c>
      <c r="V34" s="713" t="s">
        <v>17</v>
      </c>
      <c r="W34" s="714">
        <f t="shared" si="12"/>
        <v>100</v>
      </c>
      <c r="X34" s="1537"/>
      <c r="Y34" s="3290"/>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0"/>
      <c r="Q35" s="1534">
        <f t="shared" si="8"/>
        <v>111</v>
      </c>
      <c r="R35" s="713" t="s">
        <v>17</v>
      </c>
      <c r="S35" s="714">
        <f t="shared" si="10"/>
        <v>100</v>
      </c>
      <c r="T35" s="713" t="s">
        <v>17</v>
      </c>
      <c r="U35" s="714">
        <f t="shared" si="11"/>
        <v>100</v>
      </c>
      <c r="V35" s="713" t="s">
        <v>17</v>
      </c>
      <c r="W35" s="714">
        <f t="shared" si="12"/>
        <v>100</v>
      </c>
      <c r="X35" s="1537"/>
      <c r="Y35" s="3290"/>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57" t="s">
        <v>2386</v>
      </c>
      <c r="Q36" s="1534">
        <f t="shared" si="8"/>
        <v>111</v>
      </c>
      <c r="R36" s="713" t="s">
        <v>17</v>
      </c>
      <c r="S36" s="714">
        <f t="shared" si="10"/>
        <v>100</v>
      </c>
      <c r="T36" s="713" t="s">
        <v>17</v>
      </c>
      <c r="U36" s="714">
        <f t="shared" si="11"/>
        <v>100</v>
      </c>
      <c r="V36" s="713" t="s">
        <v>17</v>
      </c>
      <c r="W36" s="714">
        <f t="shared" si="12"/>
        <v>100</v>
      </c>
      <c r="X36" s="1537"/>
      <c r="Y36" s="3294"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4"/>
      <c r="Q37" s="1534">
        <f t="shared" si="8"/>
        <v>111</v>
      </c>
      <c r="R37" s="716" t="s">
        <v>17</v>
      </c>
      <c r="S37" s="717">
        <f t="shared" si="10"/>
        <v>100</v>
      </c>
      <c r="T37" s="716" t="s">
        <v>17</v>
      </c>
      <c r="U37" s="717">
        <f t="shared" si="11"/>
        <v>100</v>
      </c>
      <c r="V37" s="716" t="s">
        <v>17</v>
      </c>
      <c r="W37" s="717">
        <f t="shared" si="12"/>
        <v>100</v>
      </c>
      <c r="X37" s="718"/>
      <c r="Y37" s="3294"/>
      <c r="Z37" s="719">
        <f t="shared" si="13"/>
        <v>111</v>
      </c>
      <c r="AA37" s="1535">
        <f t="shared" si="3"/>
        <v>1</v>
      </c>
      <c r="AB37" s="1535">
        <f t="shared" si="4"/>
        <v>1</v>
      </c>
      <c r="AC37" s="1535">
        <f t="shared" si="5"/>
        <v>1</v>
      </c>
    </row>
    <row r="38" spans="1:29" ht="15">
      <c r="A38" s="431" t="s">
        <v>2384</v>
      </c>
      <c r="B38" s="415" t="s">
        <v>2572</v>
      </c>
      <c r="C38" s="635">
        <f>Sheet1!G6</f>
        <v>13473.9</v>
      </c>
      <c r="D38" s="426">
        <v>100</v>
      </c>
      <c r="E38" s="635">
        <f>土地案例!E4</f>
        <v>7524.48</v>
      </c>
      <c r="F38" s="426">
        <f>LOOKUP(E38,117:117,118:118)-LOOKUP(C38,117:117,118:118)+100</f>
        <v>99</v>
      </c>
      <c r="G38" s="635">
        <f>土地案例!E7</f>
        <v>20637.11</v>
      </c>
      <c r="H38" s="426">
        <f>LOOKUP(G38,117:117,118:118)-LOOKUP(C38,117:117,118:118)+100</f>
        <v>102</v>
      </c>
      <c r="I38" s="487">
        <f>土地案例!E8</f>
        <v>6591.19</v>
      </c>
      <c r="J38" s="426">
        <f>LOOKUP(I38,117:117,118:118)-LOOKUP(C38,117:117,118:118)+100</f>
        <v>99</v>
      </c>
      <c r="K38" s="570"/>
      <c r="L38" s="2949"/>
      <c r="M38" s="2943"/>
      <c r="N38" s="2943"/>
      <c r="O38" s="3001"/>
      <c r="P38" s="3294"/>
      <c r="Q38" s="1534" t="str">
        <f>B38</f>
        <v>宗地面积</v>
      </c>
      <c r="R38" s="713" t="s">
        <v>17</v>
      </c>
      <c r="S38" s="714">
        <f t="shared" si="10"/>
        <v>99</v>
      </c>
      <c r="T38" s="713" t="s">
        <v>17</v>
      </c>
      <c r="U38" s="714">
        <f t="shared" si="11"/>
        <v>102</v>
      </c>
      <c r="V38" s="713" t="s">
        <v>17</v>
      </c>
      <c r="W38" s="714">
        <f t="shared" si="12"/>
        <v>99</v>
      </c>
      <c r="X38" s="1537"/>
      <c r="Y38" s="3294"/>
      <c r="Z38" s="1538" t="str">
        <f t="shared" si="13"/>
        <v>宗地面积</v>
      </c>
      <c r="AA38" s="1535">
        <f t="shared" si="3"/>
        <v>1.0101010101010102</v>
      </c>
      <c r="AB38" s="1535">
        <f t="shared" si="4"/>
        <v>0.98039215686274506</v>
      </c>
      <c r="AC38" s="1535">
        <f t="shared" si="5"/>
        <v>1.0101010101010102</v>
      </c>
    </row>
    <row r="39" spans="1:29" ht="15">
      <c r="A39" s="431"/>
      <c r="B39" s="381" t="s">
        <v>2573</v>
      </c>
      <c r="C39" s="2090" t="s">
        <v>3256</v>
      </c>
      <c r="D39" s="394">
        <v>100</v>
      </c>
      <c r="E39" s="2090" t="s">
        <v>3254</v>
      </c>
      <c r="F39" s="394">
        <f>SUMIF(119:119,E39,120:120)-SUMIF(119:119,C39,120:120)+100</f>
        <v>102</v>
      </c>
      <c r="G39" s="2090" t="s">
        <v>3254</v>
      </c>
      <c r="H39" s="394">
        <f>SUMIF(119:119,G39,120:120)-SUMIF(119:119,C39,120:120)+100</f>
        <v>102</v>
      </c>
      <c r="I39" s="2090" t="s">
        <v>3254</v>
      </c>
      <c r="J39" s="394">
        <f>SUMIF(119:119,I39,120:120)-SUMIF(119:119,C39,120:120)+100</f>
        <v>102</v>
      </c>
      <c r="K39" s="569">
        <v>2</v>
      </c>
      <c r="L39" s="2949"/>
      <c r="M39" s="2943"/>
      <c r="N39" s="2943"/>
      <c r="O39" s="3001"/>
      <c r="P39" s="3294"/>
      <c r="Q39" s="1534" t="str">
        <f t="shared" ref="Q39:Q45" si="14">B39</f>
        <v>宗地形状</v>
      </c>
      <c r="R39" s="713" t="s">
        <v>17</v>
      </c>
      <c r="S39" s="714">
        <f t="shared" si="10"/>
        <v>102</v>
      </c>
      <c r="T39" s="713" t="s">
        <v>17</v>
      </c>
      <c r="U39" s="714">
        <f t="shared" si="11"/>
        <v>102</v>
      </c>
      <c r="V39" s="713" t="s">
        <v>17</v>
      </c>
      <c r="W39" s="714">
        <f t="shared" si="12"/>
        <v>102</v>
      </c>
      <c r="X39" s="1537"/>
      <c r="Y39" s="3294"/>
      <c r="Z39" s="1538" t="str">
        <f t="shared" si="13"/>
        <v>宗地形状</v>
      </c>
      <c r="AA39" s="1535">
        <f t="shared" si="3"/>
        <v>0.98039215686274506</v>
      </c>
      <c r="AB39" s="1535">
        <f t="shared" si="4"/>
        <v>0.98039215686274506</v>
      </c>
      <c r="AC39" s="1535">
        <f t="shared" si="5"/>
        <v>0.98039215686274506</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4"/>
      <c r="Q40" s="1534" t="str">
        <f t="shared" si="14"/>
        <v>临街宽度及深度</v>
      </c>
      <c r="R40" s="713" t="s">
        <v>17</v>
      </c>
      <c r="S40" s="714">
        <f t="shared" si="10"/>
        <v>100</v>
      </c>
      <c r="T40" s="713" t="s">
        <v>17</v>
      </c>
      <c r="U40" s="714">
        <f t="shared" si="11"/>
        <v>100</v>
      </c>
      <c r="V40" s="713" t="s">
        <v>17</v>
      </c>
      <c r="W40" s="714">
        <f t="shared" si="12"/>
        <v>100</v>
      </c>
      <c r="X40" s="1537"/>
      <c r="Y40" s="3294"/>
      <c r="Z40" s="1538" t="str">
        <f t="shared" si="13"/>
        <v>临街宽度及深度</v>
      </c>
      <c r="AA40" s="1535">
        <f t="shared" si="3"/>
        <v>1</v>
      </c>
      <c r="AB40" s="1535">
        <f t="shared" si="4"/>
        <v>1</v>
      </c>
      <c r="AC40" s="1535">
        <f t="shared" si="5"/>
        <v>1</v>
      </c>
    </row>
    <row r="41" spans="1:29" s="113" customFormat="1" ht="15">
      <c r="A41" s="432"/>
      <c r="B41" s="381" t="s">
        <v>2575</v>
      </c>
      <c r="C41" s="2164" t="s">
        <v>3245</v>
      </c>
      <c r="D41" s="132">
        <v>100</v>
      </c>
      <c r="E41" s="2164" t="s">
        <v>3251</v>
      </c>
      <c r="F41" s="394">
        <f>SUMIF(123:123,E41,124:124)-SUMIF(123:123,C41,124:124)+100</f>
        <v>96</v>
      </c>
      <c r="G41" s="2164" t="s">
        <v>3251</v>
      </c>
      <c r="H41" s="394">
        <f>SUMIF(123:123,G41,124:124)-SUMIF(123:123,C41,124:124)+100</f>
        <v>96</v>
      </c>
      <c r="I41" s="2164" t="s">
        <v>3251</v>
      </c>
      <c r="J41" s="394">
        <f>SUMIF(123:123,I41,124:124)-SUMIF(123:123,C41,124:124)+100</f>
        <v>96</v>
      </c>
      <c r="K41" s="569">
        <v>1</v>
      </c>
      <c r="L41" s="2944"/>
      <c r="M41" s="2945"/>
      <c r="N41" s="2945"/>
      <c r="O41" s="2999"/>
      <c r="P41" s="3294"/>
      <c r="Q41" s="1534" t="str">
        <f t="shared" si="14"/>
        <v>宗地开发程度</v>
      </c>
      <c r="R41" s="709" t="s">
        <v>17</v>
      </c>
      <c r="S41" s="710">
        <f t="shared" si="10"/>
        <v>96</v>
      </c>
      <c r="T41" s="709" t="s">
        <v>17</v>
      </c>
      <c r="U41" s="710">
        <f t="shared" si="11"/>
        <v>96</v>
      </c>
      <c r="V41" s="709" t="s">
        <v>17</v>
      </c>
      <c r="W41" s="710">
        <f t="shared" si="12"/>
        <v>96</v>
      </c>
      <c r="X41" s="711"/>
      <c r="Y41" s="3294"/>
      <c r="Z41" s="55" t="str">
        <f t="shared" si="13"/>
        <v>宗地开发程度</v>
      </c>
      <c r="AA41" s="712">
        <f t="shared" si="3"/>
        <v>1.0416666666666667</v>
      </c>
      <c r="AB41" s="712">
        <f t="shared" si="4"/>
        <v>1.0416666666666667</v>
      </c>
      <c r="AC41" s="712">
        <f t="shared" si="5"/>
        <v>1.0416666666666667</v>
      </c>
    </row>
    <row r="42" spans="1:29" ht="15">
      <c r="A42" s="431"/>
      <c r="B42" s="381" t="s">
        <v>2576</v>
      </c>
      <c r="C42" s="2090" t="s">
        <v>3083</v>
      </c>
      <c r="D42" s="394">
        <v>100</v>
      </c>
      <c r="E42" s="2090" t="s">
        <v>3083</v>
      </c>
      <c r="F42" s="394">
        <f>SUMIF(125:125,E42,126:126)-SUMIF(125:125,C42,126:126)+100</f>
        <v>100</v>
      </c>
      <c r="G42" s="2090" t="s">
        <v>3083</v>
      </c>
      <c r="H42" s="394">
        <f>SUMIF(125:125,G42,126:126)-SUMIF(125:125,C42,126:126)+100</f>
        <v>100</v>
      </c>
      <c r="I42" s="2090" t="s">
        <v>3083</v>
      </c>
      <c r="J42" s="394">
        <f>SUMIF(125:125,I42,126:126)-SUMIF(125:125,C42,126:126)+100</f>
        <v>100</v>
      </c>
      <c r="K42" s="569">
        <v>2</v>
      </c>
      <c r="L42" s="2949"/>
      <c r="M42" s="2943"/>
      <c r="N42" s="2943"/>
      <c r="O42" s="3001"/>
      <c r="P42" s="3294" t="s">
        <v>2386</v>
      </c>
      <c r="Q42" s="1534" t="str">
        <f t="shared" si="14"/>
        <v>工程地质条件</v>
      </c>
      <c r="R42" s="713" t="s">
        <v>17</v>
      </c>
      <c r="S42" s="714">
        <f t="shared" si="10"/>
        <v>100</v>
      </c>
      <c r="T42" s="713" t="s">
        <v>17</v>
      </c>
      <c r="U42" s="714">
        <f t="shared" si="11"/>
        <v>100</v>
      </c>
      <c r="V42" s="713" t="s">
        <v>17</v>
      </c>
      <c r="W42" s="714">
        <f t="shared" si="12"/>
        <v>100</v>
      </c>
      <c r="X42" s="1537"/>
      <c r="Y42" s="3294"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4"/>
      <c r="Q43" s="1534">
        <f t="shared" si="14"/>
        <v>111</v>
      </c>
      <c r="R43" s="713" t="s">
        <v>17</v>
      </c>
      <c r="S43" s="714">
        <f t="shared" si="10"/>
        <v>100</v>
      </c>
      <c r="T43" s="713" t="s">
        <v>17</v>
      </c>
      <c r="U43" s="714">
        <f t="shared" si="11"/>
        <v>100</v>
      </c>
      <c r="V43" s="713" t="s">
        <v>17</v>
      </c>
      <c r="W43" s="714">
        <f t="shared" si="12"/>
        <v>100</v>
      </c>
      <c r="X43" s="1537"/>
      <c r="Y43" s="3294"/>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4"/>
      <c r="Q44" s="1534">
        <f t="shared" si="14"/>
        <v>111</v>
      </c>
      <c r="R44" s="713" t="s">
        <v>17</v>
      </c>
      <c r="S44" s="714">
        <f t="shared" si="10"/>
        <v>100</v>
      </c>
      <c r="T44" s="713" t="s">
        <v>17</v>
      </c>
      <c r="U44" s="714">
        <f t="shared" si="11"/>
        <v>100</v>
      </c>
      <c r="V44" s="713" t="s">
        <v>17</v>
      </c>
      <c r="W44" s="714">
        <f t="shared" si="12"/>
        <v>100</v>
      </c>
      <c r="X44" s="1537"/>
      <c r="Y44" s="3294"/>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4"/>
      <c r="Q45" s="1534">
        <f t="shared" si="14"/>
        <v>111</v>
      </c>
      <c r="R45" s="716" t="s">
        <v>17</v>
      </c>
      <c r="S45" s="717">
        <f t="shared" si="10"/>
        <v>100</v>
      </c>
      <c r="T45" s="716" t="s">
        <v>17</v>
      </c>
      <c r="U45" s="717">
        <f t="shared" si="11"/>
        <v>100</v>
      </c>
      <c r="V45" s="716" t="s">
        <v>17</v>
      </c>
      <c r="W45" s="717">
        <f t="shared" si="12"/>
        <v>100</v>
      </c>
      <c r="X45" s="718"/>
      <c r="Y45" s="3294"/>
      <c r="Z45" s="719">
        <f t="shared" si="13"/>
        <v>111</v>
      </c>
      <c r="AA45" s="1535">
        <f t="shared" si="3"/>
        <v>1</v>
      </c>
      <c r="AB45" s="1535">
        <f t="shared" si="4"/>
        <v>1</v>
      </c>
      <c r="AC45" s="1535">
        <f t="shared" si="5"/>
        <v>1</v>
      </c>
    </row>
    <row r="46" spans="1:29" ht="15">
      <c r="A46" s="438" t="s">
        <v>2541</v>
      </c>
      <c r="B46" s="2166" t="s">
        <v>2577</v>
      </c>
      <c r="C46" s="638" t="s">
        <v>1</v>
      </c>
      <c r="D46" s="440"/>
      <c r="E46" s="441">
        <f>土地案例!S4</f>
        <v>5055</v>
      </c>
      <c r="F46" s="442"/>
      <c r="G46" s="443">
        <f>土地案例!S7</f>
        <v>2147</v>
      </c>
      <c r="H46" s="444"/>
      <c r="I46" s="441">
        <f>土地案例!S8</f>
        <v>4610</v>
      </c>
      <c r="J46" s="444"/>
      <c r="K46" s="722"/>
      <c r="L46" s="2951"/>
      <c r="M46" s="2952"/>
      <c r="N46" s="2943"/>
      <c r="O46" s="2952"/>
      <c r="P46" s="3282" t="str">
        <f>A46</f>
        <v>成交单价</v>
      </c>
      <c r="Q46" s="3282"/>
      <c r="R46" s="3316">
        <f>E46</f>
        <v>5055</v>
      </c>
      <c r="S46" s="3316"/>
      <c r="T46" s="3316">
        <f>G46</f>
        <v>2147</v>
      </c>
      <c r="U46" s="3316"/>
      <c r="V46" s="3316">
        <f>I46</f>
        <v>4610</v>
      </c>
      <c r="W46" s="3316"/>
      <c r="X46" s="698"/>
      <c r="Y46" s="720"/>
      <c r="Z46" s="698"/>
      <c r="AA46" s="698"/>
      <c r="AB46" s="698"/>
      <c r="AC46" s="698"/>
    </row>
    <row r="47" spans="1:29" ht="15.75" thickBot="1">
      <c r="A47" s="445" t="s">
        <v>2490</v>
      </c>
      <c r="B47" s="639"/>
      <c r="C47" s="448">
        <f>R48</f>
        <v>2057</v>
      </c>
      <c r="D47" s="2536" t="s">
        <v>3259</v>
      </c>
      <c r="E47" s="448">
        <f>R47</f>
        <v>2380</v>
      </c>
      <c r="F47" s="2537">
        <v>0.4</v>
      </c>
      <c r="G47" s="447">
        <f>T47</f>
        <v>1182</v>
      </c>
      <c r="H47" s="2537">
        <v>0.2</v>
      </c>
      <c r="I47" s="448">
        <f>V47</f>
        <v>2172</v>
      </c>
      <c r="J47" s="2537">
        <v>0.4</v>
      </c>
      <c r="K47" s="2539">
        <f>F47+H47+J47</f>
        <v>1</v>
      </c>
      <c r="L47" s="2951"/>
      <c r="M47" s="2952"/>
      <c r="N47" s="2952"/>
      <c r="O47" s="2952"/>
      <c r="P47" s="3282" t="str">
        <f>A47</f>
        <v>比较价值（元/平方米）</v>
      </c>
      <c r="Q47" s="3282"/>
      <c r="R47" s="3353">
        <f>ROUND(PRODUCT(R46,AA7:AA45),0)</f>
        <v>2380</v>
      </c>
      <c r="S47" s="3353"/>
      <c r="T47" s="3353">
        <f>ROUND(PRODUCT(T46,AB7:AB45),0)</f>
        <v>1182</v>
      </c>
      <c r="U47" s="3353"/>
      <c r="V47" s="3353">
        <f>ROUND(PRODUCT(V46,AC7:AC45),0)</f>
        <v>2172</v>
      </c>
      <c r="W47" s="3353"/>
      <c r="X47" s="698"/>
      <c r="Y47" s="698"/>
      <c r="Z47" s="698"/>
      <c r="AA47" s="698"/>
      <c r="AB47" s="698"/>
      <c r="AC47" s="698"/>
    </row>
    <row r="48" spans="1:29" ht="15.75" thickBot="1">
      <c r="A48" s="449" t="s">
        <v>2578</v>
      </c>
      <c r="B48" s="450"/>
      <c r="C48" s="451">
        <f>R48</f>
        <v>2057</v>
      </c>
      <c r="D48" s="451"/>
      <c r="E48" s="451"/>
      <c r="F48" s="451"/>
      <c r="G48" s="451"/>
      <c r="H48" s="451"/>
      <c r="I48" s="451"/>
      <c r="J48" s="451"/>
      <c r="K48" s="723"/>
      <c r="L48" s="2951"/>
      <c r="M48" s="2952"/>
      <c r="N48" s="2952"/>
      <c r="O48" s="2952"/>
      <c r="P48" s="3333" t="str">
        <f>A48</f>
        <v>估价对象XX用房的比较价值（楼面单价，元/平方米）</v>
      </c>
      <c r="Q48" s="3334"/>
      <c r="R48" s="3354">
        <f>ROUND(IF(D47="简单平均",AVERAGE(R47:W47),R47*F47+T47*H47+V47*J47),0)</f>
        <v>2057</v>
      </c>
      <c r="S48" s="3354"/>
      <c r="T48" s="3354"/>
      <c r="U48" s="3354"/>
      <c r="V48" s="3354"/>
      <c r="W48" s="3354"/>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f>IF(E46&lt;E47,E47/E46-1,E46/E47-1)</f>
        <v>1.1239495798319328</v>
      </c>
      <c r="F51" s="457" t="str">
        <f>IF(OR(E51&gt;=0.3,E51&lt;=-0.3),"超过30%","")</f>
        <v>超过30%</v>
      </c>
      <c r="G51" s="456">
        <f>IF(G46&lt;G47,G47/G46-1,G46/G47-1)</f>
        <v>0.81641285956006771</v>
      </c>
      <c r="H51" s="457" t="str">
        <f>IF(OR(G51&gt;=0.3,G51&lt;=-0.3),"超过30%","")</f>
        <v>超过30%</v>
      </c>
      <c r="I51" s="456">
        <f>IF(I46&lt;I47,I47/I46-1,I46/I47-1)</f>
        <v>1.1224677716390423</v>
      </c>
      <c r="J51" s="457"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f>IF(E47&lt;G47,G47/E47-1,E47/G47-1)</f>
        <v>1.0135363790186127</v>
      </c>
      <c r="F52" s="457" t="str">
        <f>IF(OR(E52&gt;=0.2,E52&lt;=-0.2),"超过20%","")</f>
        <v>超过20%</v>
      </c>
      <c r="G52" s="456">
        <f>IF(G47&lt;I47,I47/G47-1,G47/I47-1)</f>
        <v>0.8375634517766497</v>
      </c>
      <c r="H52" s="457" t="str">
        <f>IF(OR(G52&gt;=0.2,G52&lt;=-0.2),"超过20%","")</f>
        <v>超过20%</v>
      </c>
      <c r="I52" s="456">
        <f>IF(I47&lt;E47,E47/I47-1,I47/E47-1)</f>
        <v>9.5764272559852648E-2</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f>IF(E46&lt;G46,G46/E46-1,E46/G46-1)</f>
        <v>1.3544480670703307</v>
      </c>
      <c r="F53" s="457" t="str">
        <f>IF(OR(E53&gt;=0.3,E53&lt;=-0.3),"超过30%","")</f>
        <v>超过30%</v>
      </c>
      <c r="G53" s="456">
        <f>IF(G46&lt;I46,I46/G46-1,G46/I46-1)</f>
        <v>1.1471821145784817</v>
      </c>
      <c r="H53" s="457" t="str">
        <f>IF(OR(G53&gt;=0.3,G53&lt;=-0.3),"超过30%","")</f>
        <v>超过30%</v>
      </c>
      <c r="I53" s="456">
        <f>IF(I46&lt;E46,E46/I46-1,I46/E46-1)</f>
        <v>9.6529284164859064E-2</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299" t="s">
        <v>2585</v>
      </c>
      <c r="H55" s="3355"/>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f>C48</f>
        <v>2057</v>
      </c>
      <c r="C56" s="646">
        <v>1</v>
      </c>
      <c r="D56" s="1074">
        <v>1</v>
      </c>
      <c r="E56" s="646">
        <f>'数据-汇总表'!E8+'数据-汇总表'!E9</f>
        <v>43436.4</v>
      </c>
      <c r="F56" s="1016">
        <f t="shared" ref="F56:F65" si="15">ROUND(B56*E56/10000,0)</f>
        <v>8935</v>
      </c>
      <c r="G56" s="3281"/>
      <c r="H56" s="3282"/>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f>ROUND($C$48*C57*D57,0)</f>
        <v>0</v>
      </c>
      <c r="C57" s="176">
        <f t="shared" ref="C57:C65" si="16">IF($C$55="北京市系数",I57,J57)</f>
        <v>0</v>
      </c>
      <c r="D57" s="1075">
        <v>0.25</v>
      </c>
      <c r="E57" s="650"/>
      <c r="F57" s="1016">
        <f t="shared" si="15"/>
        <v>0</v>
      </c>
      <c r="G57" s="3356"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f t="shared" ref="B58:B65" si="17">ROUND($C$48*C58*D58,0)</f>
        <v>0</v>
      </c>
      <c r="C58" s="176">
        <f t="shared" si="16"/>
        <v>0</v>
      </c>
      <c r="D58" s="1075">
        <v>0.25</v>
      </c>
      <c r="E58" s="650"/>
      <c r="F58" s="1016">
        <f t="shared" si="15"/>
        <v>0</v>
      </c>
      <c r="G58" s="3356"/>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f t="shared" si="17"/>
        <v>0</v>
      </c>
      <c r="C59" s="176">
        <f t="shared" si="16"/>
        <v>0</v>
      </c>
      <c r="D59" s="1075">
        <v>0.25</v>
      </c>
      <c r="E59" s="650"/>
      <c r="F59" s="1016">
        <f t="shared" si="15"/>
        <v>0</v>
      </c>
      <c r="G59" s="3356"/>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f t="shared" si="17"/>
        <v>0</v>
      </c>
      <c r="C60" s="176">
        <f t="shared" si="16"/>
        <v>0</v>
      </c>
      <c r="D60" s="1075">
        <v>0.25</v>
      </c>
      <c r="E60" s="650"/>
      <c r="F60" s="1016">
        <f t="shared" si="15"/>
        <v>0</v>
      </c>
      <c r="G60" s="3356"/>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f t="shared" si="17"/>
        <v>0</v>
      </c>
      <c r="C61" s="176">
        <f t="shared" si="16"/>
        <v>0</v>
      </c>
      <c r="D61" s="1075">
        <v>0.25</v>
      </c>
      <c r="E61" s="223">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f t="shared" si="17"/>
        <v>0</v>
      </c>
      <c r="C62" s="176">
        <f t="shared" si="16"/>
        <v>0</v>
      </c>
      <c r="D62" s="1075">
        <v>0.25</v>
      </c>
      <c r="E62" s="223">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f t="shared" si="17"/>
        <v>0</v>
      </c>
      <c r="C63" s="176">
        <f t="shared" si="16"/>
        <v>0</v>
      </c>
      <c r="D63" s="1075">
        <v>0.25</v>
      </c>
      <c r="E63" s="223">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f t="shared" si="17"/>
        <v>0</v>
      </c>
      <c r="C64" s="176">
        <f t="shared" si="16"/>
        <v>0</v>
      </c>
      <c r="D64" s="1075">
        <v>0.25</v>
      </c>
      <c r="E64" s="223">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f t="shared" si="17"/>
        <v>0</v>
      </c>
      <c r="C65" s="176">
        <f t="shared" si="16"/>
        <v>0</v>
      </c>
      <c r="D65" s="1075">
        <v>0.25</v>
      </c>
      <c r="E65" s="223">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43436.4</v>
      </c>
      <c r="F66" s="653">
        <f>IF(B46="楼面地价",SUM(F56:F65),ROUND(C48*E66/10000,0))</f>
        <v>8935</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8"/>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北京市平均增长率1.83%</v>
      </c>
      <c r="C71" s="560">
        <v>100</v>
      </c>
      <c r="D71" s="552">
        <f>C71-$C$72</f>
        <v>99.8</v>
      </c>
      <c r="E71" s="552">
        <f t="shared" ref="E71:O71" si="20">D71-$C$72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f t="shared" si="20"/>
        <v>97.799999999999969</v>
      </c>
      <c r="O71" s="552">
        <f t="shared" si="20"/>
        <v>97.599999999999966</v>
      </c>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v>0.2</v>
      </c>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3062" t="s">
        <v>3243</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0（含）-2</v>
      </c>
      <c r="D79" s="504" t="str">
        <f t="shared" ref="D79:L79" si="21">D80&amp;"（含）"&amp;"-"&amp;E80</f>
        <v>2（含）-4</v>
      </c>
      <c r="E79" s="504" t="str">
        <f t="shared" si="21"/>
        <v>4（含）-6</v>
      </c>
      <c r="F79" s="504" t="str">
        <f t="shared" si="21"/>
        <v>6（含）-8</v>
      </c>
      <c r="G79" s="504" t="str">
        <f t="shared" si="21"/>
        <v>8（含）-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2</v>
      </c>
      <c r="E80" s="506">
        <v>4</v>
      </c>
      <c r="F80" s="506">
        <v>6</v>
      </c>
      <c r="G80" s="506">
        <v>8</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95</v>
      </c>
      <c r="E91" s="501">
        <f>D91-$K17</f>
        <v>90</v>
      </c>
      <c r="F91" s="501">
        <f>E91-$K17</f>
        <v>85</v>
      </c>
      <c r="G91" s="501">
        <f>F91-$K17</f>
        <v>80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97</v>
      </c>
      <c r="E95" s="501">
        <f>D95-$K21</f>
        <v>94</v>
      </c>
      <c r="F95" s="501">
        <f>E95-$K21</f>
        <v>91</v>
      </c>
      <c r="G95" s="501">
        <f>F95-$K21</f>
        <v>88</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2384</v>
      </c>
      <c r="B116" s="485" t="s">
        <v>2612</v>
      </c>
      <c r="C116" s="486" t="str">
        <f>C117&amp;"(含)"&amp;"-"&amp;D117</f>
        <v>0(含)-5000</v>
      </c>
      <c r="D116" s="486" t="str">
        <f t="shared" ref="D116:M116" si="26">D117&amp;"(含)"&amp;"-"&amp;E117</f>
        <v>5000(含)-10000</v>
      </c>
      <c r="E116" s="486" t="str">
        <f t="shared" si="26"/>
        <v>10000(含)-15000</v>
      </c>
      <c r="F116" s="486" t="str">
        <f t="shared" si="26"/>
        <v>15000(含)-20000</v>
      </c>
      <c r="G116" s="486" t="str">
        <f t="shared" si="26"/>
        <v>20000(含)-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5000</v>
      </c>
      <c r="E117" s="552">
        <v>10000</v>
      </c>
      <c r="F117" s="552">
        <v>15000</v>
      </c>
      <c r="G117" s="552">
        <v>20000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3064" t="s">
        <v>3253</v>
      </c>
      <c r="D119" s="3064" t="s">
        <v>3255</v>
      </c>
      <c r="E119" s="3064" t="s">
        <v>3257</v>
      </c>
      <c r="F119" s="3064" t="s">
        <v>3258</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3063" t="s">
        <v>3246</v>
      </c>
      <c r="D123" s="3063" t="s">
        <v>3247</v>
      </c>
      <c r="E123" s="3063" t="s">
        <v>3249</v>
      </c>
      <c r="F123" s="3063" t="s">
        <v>3250</v>
      </c>
      <c r="G123" s="3063" t="s">
        <v>3252</v>
      </c>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3063" t="s">
        <v>3248</v>
      </c>
      <c r="D125" s="3063"/>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5" priority="18" stopIfTrue="1" operator="containsText" text="超过">
      <formula>NOT(ISERROR(SEARCH("超过",F51)))</formula>
    </cfRule>
  </conditionalFormatting>
  <conditionalFormatting sqref="J53">
    <cfRule type="containsText" dxfId="124" priority="17" stopIfTrue="1" operator="containsText" text="超过">
      <formula>NOT(ISERROR(SEARCH("超过",J53)))</formula>
    </cfRule>
  </conditionalFormatting>
  <conditionalFormatting sqref="H53">
    <cfRule type="containsText" dxfId="123" priority="16" stopIfTrue="1" operator="containsText" text="超过">
      <formula>NOT(ISERROR(SEARCH("超过",H53)))</formula>
    </cfRule>
  </conditionalFormatting>
  <conditionalFormatting sqref="F53">
    <cfRule type="containsText" dxfId="122" priority="15" stopIfTrue="1" operator="containsText" text="超过">
      <formula>NOT(ISERROR(SEARCH("超过",F53)))</formula>
    </cfRule>
  </conditionalFormatting>
  <conditionalFormatting sqref="F52 H52 J52">
    <cfRule type="containsText" dxfId="121" priority="14" stopIfTrue="1" operator="containsText" text="超过">
      <formula>NOT(ISERROR(SEARCH("超过",F52)))</formula>
    </cfRule>
  </conditionalFormatting>
  <conditionalFormatting sqref="E51">
    <cfRule type="expression" dxfId="120" priority="13" stopIfTrue="1">
      <formula>$F$51="超过30%"</formula>
    </cfRule>
  </conditionalFormatting>
  <conditionalFormatting sqref="G53">
    <cfRule type="expression" dxfId="119" priority="12" stopIfTrue="1">
      <formula>$H$53="超过30%"</formula>
    </cfRule>
  </conditionalFormatting>
  <conditionalFormatting sqref="E52">
    <cfRule type="expression" dxfId="118" priority="11" stopIfTrue="1">
      <formula>$F$52="超过20%"</formula>
    </cfRule>
  </conditionalFormatting>
  <conditionalFormatting sqref="E53">
    <cfRule type="expression" dxfId="117" priority="10" stopIfTrue="1">
      <formula>$F$53="超过30%"</formula>
    </cfRule>
  </conditionalFormatting>
  <conditionalFormatting sqref="G51">
    <cfRule type="expression" dxfId="116" priority="9" stopIfTrue="1">
      <formula>$H$53+$H$51="超过30%"</formula>
    </cfRule>
  </conditionalFormatting>
  <conditionalFormatting sqref="G52">
    <cfRule type="expression" dxfId="115" priority="8" stopIfTrue="1">
      <formula>$H$52="超过20%"</formula>
    </cfRule>
  </conditionalFormatting>
  <conditionalFormatting sqref="I51">
    <cfRule type="expression" dxfId="114" priority="7" stopIfTrue="1">
      <formula>$J$51="超过30%"</formula>
    </cfRule>
  </conditionalFormatting>
  <conditionalFormatting sqref="I52">
    <cfRule type="expression" dxfId="113" priority="6" stopIfTrue="1">
      <formula>$J$52="超过20%"</formula>
    </cfRule>
  </conditionalFormatting>
  <conditionalFormatting sqref="I53">
    <cfRule type="expression" dxfId="112" priority="5" stopIfTrue="1">
      <formula>$J$53="超过30%"</formula>
    </cfRule>
  </conditionalFormatting>
  <conditionalFormatting sqref="F47">
    <cfRule type="expression" dxfId="111" priority="4">
      <formula>$D$47="简单平均"</formula>
    </cfRule>
  </conditionalFormatting>
  <conditionalFormatting sqref="H47">
    <cfRule type="expression" dxfId="110" priority="3">
      <formula>$D$47="简单平均"</formula>
    </cfRule>
  </conditionalFormatting>
  <conditionalFormatting sqref="J47">
    <cfRule type="expression" dxfId="109" priority="2">
      <formula>$D$47="简单平均"</formula>
    </cfRule>
  </conditionalFormatting>
  <conditionalFormatting sqref="F7:F45 H7:H45 J7:J45">
    <cfRule type="cellIs" dxfId="10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D16" workbookViewId="0">
      <selection activeCell="K43" sqref="K43"/>
    </sheetView>
  </sheetViews>
  <sheetFormatPr defaultColWidth="10" defaultRowHeight="14.25"/>
  <cols>
    <col min="1" max="1" width="22.25" style="3075" customWidth="1"/>
    <col min="2" max="2" width="7.625" style="3075" customWidth="1"/>
    <col min="3" max="3" width="10.75" style="3075" customWidth="1"/>
    <col min="4" max="4" width="14.5" style="3075" customWidth="1"/>
    <col min="5" max="5" width="11.25" style="3075" customWidth="1"/>
    <col min="6" max="6" width="11.125" style="3075" customWidth="1"/>
    <col min="7" max="7" width="16.75" style="3075" customWidth="1"/>
    <col min="8" max="8" width="6.875" style="3075" customWidth="1"/>
    <col min="9" max="9" width="13.75" style="3075" customWidth="1"/>
    <col min="10" max="10" width="7.75" style="3075" customWidth="1"/>
    <col min="11" max="11" width="11.25" style="3075" customWidth="1"/>
    <col min="12" max="12" width="12.25" style="3075" customWidth="1"/>
    <col min="13" max="13" width="6.375" style="3075" customWidth="1"/>
    <col min="14" max="14" width="22.25" style="3075" customWidth="1"/>
    <col min="15" max="15" width="9.375" style="3075" customWidth="1"/>
    <col min="16" max="16" width="8.375" style="3075" customWidth="1"/>
    <col min="17" max="17" width="7.875" style="3075" customWidth="1"/>
    <col min="18" max="18" width="8.5" style="3075" customWidth="1"/>
    <col min="19" max="21" width="22.25" style="3075" customWidth="1"/>
    <col min="22" max="16384" width="10" style="3075"/>
  </cols>
  <sheetData>
    <row r="1" spans="1:20">
      <c r="A1" s="3075" t="s">
        <v>3151</v>
      </c>
      <c r="B1" s="3075" t="s">
        <v>3152</v>
      </c>
      <c r="C1" s="3075" t="s">
        <v>3153</v>
      </c>
      <c r="D1" s="3075" t="s">
        <v>3154</v>
      </c>
      <c r="E1" s="3075" t="s">
        <v>3155</v>
      </c>
      <c r="F1" s="3075" t="s">
        <v>3156</v>
      </c>
      <c r="G1" s="3075" t="s">
        <v>3157</v>
      </c>
      <c r="H1" s="3075" t="s">
        <v>3158</v>
      </c>
      <c r="I1" s="3075" t="s">
        <v>3159</v>
      </c>
      <c r="J1" s="3075" t="s">
        <v>3160</v>
      </c>
      <c r="K1" s="3075" t="s">
        <v>3161</v>
      </c>
      <c r="L1" s="3075" t="s">
        <v>3162</v>
      </c>
      <c r="M1" s="3075" t="s">
        <v>3163</v>
      </c>
      <c r="N1" s="3075" t="s">
        <v>3164</v>
      </c>
      <c r="O1" s="3075" t="s">
        <v>3165</v>
      </c>
      <c r="P1" s="3075" t="s">
        <v>3166</v>
      </c>
      <c r="Q1" s="3075" t="s">
        <v>3167</v>
      </c>
      <c r="R1" s="3075" t="s">
        <v>3168</v>
      </c>
      <c r="S1" s="3075" t="s">
        <v>3169</v>
      </c>
      <c r="T1" s="3075" t="s">
        <v>3170</v>
      </c>
    </row>
    <row r="2" spans="1:20">
      <c r="A2" s="3075" t="s">
        <v>3171</v>
      </c>
      <c r="B2" s="3075" t="s">
        <v>3172</v>
      </c>
      <c r="C2" s="3075" t="s">
        <v>3173</v>
      </c>
      <c r="D2" s="3075" t="s">
        <v>3174</v>
      </c>
      <c r="E2" s="3075">
        <v>4872</v>
      </c>
      <c r="F2" s="3075">
        <v>8769.6</v>
      </c>
      <c r="G2" s="3075" t="s">
        <v>3175</v>
      </c>
      <c r="H2" s="3075" t="s">
        <v>3176</v>
      </c>
      <c r="I2" s="3075" t="s">
        <v>3177</v>
      </c>
      <c r="J2" s="3075" t="s">
        <v>3178</v>
      </c>
      <c r="K2" s="3076">
        <v>44285</v>
      </c>
      <c r="L2" s="3076">
        <v>44285</v>
      </c>
      <c r="M2" s="3075" t="s">
        <v>3179</v>
      </c>
      <c r="N2" s="3075" t="s">
        <v>3180</v>
      </c>
      <c r="O2" s="3075">
        <v>1325</v>
      </c>
      <c r="P2" s="3075">
        <v>50</v>
      </c>
      <c r="Q2" s="3075" t="s">
        <v>3181</v>
      </c>
      <c r="R2" s="3075">
        <v>2764</v>
      </c>
      <c r="S2" s="3075">
        <v>3152</v>
      </c>
      <c r="T2" s="3075">
        <v>108.6</v>
      </c>
    </row>
    <row r="3" spans="1:20" s="3077" customFormat="1">
      <c r="A3" s="3077" t="s">
        <v>3182</v>
      </c>
      <c r="B3" s="3077" t="s">
        <v>3172</v>
      </c>
      <c r="C3" s="3077" t="s">
        <v>3183</v>
      </c>
      <c r="D3" s="3077" t="s">
        <v>3174</v>
      </c>
      <c r="E3" s="3077">
        <v>856</v>
      </c>
      <c r="F3" s="3077">
        <v>513.6</v>
      </c>
      <c r="G3" s="3077" t="s">
        <v>3184</v>
      </c>
      <c r="H3" s="3077" t="s">
        <v>3176</v>
      </c>
      <c r="I3" s="3077" t="s">
        <v>3185</v>
      </c>
      <c r="J3" s="3077" t="s">
        <v>3178</v>
      </c>
      <c r="K3" s="3078">
        <v>44235</v>
      </c>
      <c r="L3" s="3078">
        <v>44235</v>
      </c>
      <c r="M3" s="3077" t="s">
        <v>3179</v>
      </c>
      <c r="N3" s="3077" t="s">
        <v>3186</v>
      </c>
      <c r="O3" s="3077">
        <v>383</v>
      </c>
      <c r="P3" s="3077">
        <v>30</v>
      </c>
      <c r="Q3" s="3077" t="s">
        <v>3187</v>
      </c>
      <c r="R3" s="3077">
        <v>383</v>
      </c>
      <c r="S3" s="3077">
        <v>7457</v>
      </c>
      <c r="T3" s="3077">
        <v>0</v>
      </c>
    </row>
    <row r="4" spans="1:20" s="3079" customFormat="1">
      <c r="A4" s="3079" t="s">
        <v>3188</v>
      </c>
      <c r="B4" s="3079" t="s">
        <v>3172</v>
      </c>
      <c r="C4" s="3079" t="s">
        <v>3189</v>
      </c>
      <c r="D4" s="3079" t="s">
        <v>3174</v>
      </c>
      <c r="E4" s="3079">
        <v>7524.48</v>
      </c>
      <c r="F4" s="3079">
        <v>45146.879999999997</v>
      </c>
      <c r="G4" s="3079" t="s">
        <v>3190</v>
      </c>
      <c r="H4" s="3079" t="s">
        <v>3176</v>
      </c>
      <c r="I4" s="3079" t="s">
        <v>3177</v>
      </c>
      <c r="J4" s="3079" t="s">
        <v>3178</v>
      </c>
      <c r="K4" s="3080">
        <v>44195</v>
      </c>
      <c r="L4" s="3080">
        <v>44195</v>
      </c>
      <c r="M4" s="3079" t="s">
        <v>3179</v>
      </c>
      <c r="N4" s="3079" t="s">
        <v>3244</v>
      </c>
      <c r="O4" s="3079" t="s">
        <v>3191</v>
      </c>
      <c r="P4" s="3079">
        <v>4600</v>
      </c>
      <c r="Q4" s="3079" t="s">
        <v>3192</v>
      </c>
      <c r="R4" s="3079">
        <v>22821.75</v>
      </c>
      <c r="S4" s="3079">
        <v>5055</v>
      </c>
      <c r="T4" s="3079">
        <v>0</v>
      </c>
    </row>
    <row r="5" spans="1:20">
      <c r="A5" s="3075" t="s">
        <v>3193</v>
      </c>
      <c r="B5" s="3075" t="s">
        <v>3172</v>
      </c>
      <c r="C5" s="3075" t="s">
        <v>3194</v>
      </c>
      <c r="D5" s="3075" t="s">
        <v>3174</v>
      </c>
      <c r="E5" s="3075">
        <v>5005</v>
      </c>
      <c r="F5" s="3075">
        <v>2502.5</v>
      </c>
      <c r="G5" s="3075" t="s">
        <v>3195</v>
      </c>
      <c r="H5" s="3075" t="s">
        <v>3176</v>
      </c>
      <c r="I5" s="3075" t="s">
        <v>3185</v>
      </c>
      <c r="J5" s="3075" t="s">
        <v>3178</v>
      </c>
      <c r="K5" s="3076">
        <v>44155</v>
      </c>
      <c r="L5" s="3076">
        <v>44155</v>
      </c>
      <c r="M5" s="3075" t="s">
        <v>3179</v>
      </c>
      <c r="N5" s="3075" t="s">
        <v>3196</v>
      </c>
      <c r="O5" s="3075">
        <v>310</v>
      </c>
      <c r="P5" s="3075">
        <v>62</v>
      </c>
      <c r="Q5" s="3075" t="s">
        <v>3197</v>
      </c>
      <c r="R5" s="3075">
        <v>1000</v>
      </c>
      <c r="S5" s="3075">
        <v>3996</v>
      </c>
      <c r="T5" s="3075">
        <v>222.58</v>
      </c>
    </row>
    <row r="6" spans="1:20">
      <c r="A6" s="3075" t="s">
        <v>3198</v>
      </c>
      <c r="B6" s="3075" t="s">
        <v>3172</v>
      </c>
      <c r="C6" s="3075" t="s">
        <v>3199</v>
      </c>
      <c r="D6" s="3075" t="s">
        <v>3174</v>
      </c>
      <c r="E6" s="3075">
        <v>5200</v>
      </c>
      <c r="F6" s="3075">
        <v>5200</v>
      </c>
      <c r="G6" s="3075" t="s">
        <v>3200</v>
      </c>
      <c r="H6" s="3075" t="s">
        <v>3201</v>
      </c>
      <c r="I6" s="3075" t="s">
        <v>3185</v>
      </c>
      <c r="J6" s="3075" t="s">
        <v>3178</v>
      </c>
      <c r="K6" s="3076">
        <v>44152</v>
      </c>
      <c r="L6" s="3076">
        <v>44152</v>
      </c>
      <c r="M6" s="3075" t="s">
        <v>3179</v>
      </c>
      <c r="N6" s="3075" t="s">
        <v>3202</v>
      </c>
      <c r="O6" s="3075" t="s">
        <v>3191</v>
      </c>
      <c r="P6" s="3075">
        <v>300</v>
      </c>
      <c r="Q6" s="3075" t="s">
        <v>3203</v>
      </c>
      <c r="R6" s="3075">
        <v>1118</v>
      </c>
      <c r="S6" s="3075">
        <v>2150</v>
      </c>
      <c r="T6" s="3075">
        <v>0</v>
      </c>
    </row>
    <row r="7" spans="1:20" s="3079" customFormat="1">
      <c r="A7" s="3079" t="s">
        <v>3204</v>
      </c>
      <c r="B7" s="3079" t="s">
        <v>3172</v>
      </c>
      <c r="C7" s="3079" t="s">
        <v>3205</v>
      </c>
      <c r="D7" s="3079" t="s">
        <v>3174</v>
      </c>
      <c r="E7" s="3079">
        <v>20637.11</v>
      </c>
      <c r="F7" s="3079">
        <v>72229.89</v>
      </c>
      <c r="G7" s="3079" t="s">
        <v>3206</v>
      </c>
      <c r="H7" s="3079" t="s">
        <v>3176</v>
      </c>
      <c r="I7" s="3079" t="s">
        <v>3177</v>
      </c>
      <c r="J7" s="3079" t="s">
        <v>3178</v>
      </c>
      <c r="K7" s="3080">
        <v>44118</v>
      </c>
      <c r="L7" s="3080">
        <v>44118</v>
      </c>
      <c r="M7" s="3079" t="s">
        <v>3179</v>
      </c>
      <c r="N7" s="3079" t="s">
        <v>3207</v>
      </c>
      <c r="O7" s="3079">
        <v>15507.76</v>
      </c>
      <c r="P7" s="3079">
        <v>3200</v>
      </c>
      <c r="Q7" s="3079" t="s">
        <v>3208</v>
      </c>
      <c r="R7" s="3079">
        <v>15507.76</v>
      </c>
      <c r="S7" s="3079">
        <v>2147</v>
      </c>
      <c r="T7" s="3079">
        <v>0</v>
      </c>
    </row>
    <row r="8" spans="1:20" s="3079" customFormat="1">
      <c r="A8" s="3079" t="s">
        <v>3209</v>
      </c>
      <c r="B8" s="3079" t="s">
        <v>3172</v>
      </c>
      <c r="C8" s="3079" t="s">
        <v>3210</v>
      </c>
      <c r="D8" s="3079" t="s">
        <v>3174</v>
      </c>
      <c r="E8" s="3079">
        <v>6591.19</v>
      </c>
      <c r="F8" s="3079">
        <v>7909.43</v>
      </c>
      <c r="G8" s="3079" t="s">
        <v>3211</v>
      </c>
      <c r="H8" s="3079" t="s">
        <v>3201</v>
      </c>
      <c r="I8" s="3079" t="s">
        <v>3212</v>
      </c>
      <c r="J8" s="3079" t="s">
        <v>3178</v>
      </c>
      <c r="K8" s="3080">
        <v>44034</v>
      </c>
      <c r="L8" s="3080">
        <v>44034</v>
      </c>
      <c r="M8" s="3079" t="s">
        <v>3179</v>
      </c>
      <c r="N8" s="3079" t="s">
        <v>3213</v>
      </c>
      <c r="O8" s="3079">
        <v>3646.25</v>
      </c>
      <c r="P8" s="3079">
        <v>750</v>
      </c>
      <c r="Q8" s="3079" t="s">
        <v>1298</v>
      </c>
      <c r="R8" s="3079">
        <v>3646.25</v>
      </c>
      <c r="S8" s="3079">
        <v>4610</v>
      </c>
      <c r="T8" s="3079">
        <v>0</v>
      </c>
    </row>
    <row r="9" spans="1:20" s="3077" customFormat="1">
      <c r="A9" s="3077" t="s">
        <v>3214</v>
      </c>
      <c r="B9" s="3077" t="s">
        <v>3172</v>
      </c>
      <c r="C9" s="3077" t="s">
        <v>3215</v>
      </c>
      <c r="D9" s="3077" t="s">
        <v>3174</v>
      </c>
      <c r="E9" s="3077">
        <v>6573</v>
      </c>
      <c r="F9" s="3077">
        <v>6573</v>
      </c>
      <c r="G9" s="3077" t="s">
        <v>3200</v>
      </c>
      <c r="H9" s="3077" t="s">
        <v>3176</v>
      </c>
      <c r="I9" s="3077" t="s">
        <v>3185</v>
      </c>
      <c r="J9" s="3077" t="s">
        <v>3178</v>
      </c>
      <c r="K9" s="3078">
        <v>44018</v>
      </c>
      <c r="L9" s="3078">
        <v>44018</v>
      </c>
      <c r="M9" s="3077" t="s">
        <v>3179</v>
      </c>
      <c r="N9" s="3077" t="s">
        <v>3216</v>
      </c>
      <c r="O9" s="3077" t="s">
        <v>3191</v>
      </c>
      <c r="P9" s="3077">
        <v>2000</v>
      </c>
      <c r="Q9" s="3077" t="s">
        <v>3217</v>
      </c>
      <c r="R9" s="3077">
        <v>4002.96</v>
      </c>
      <c r="S9" s="3077">
        <v>6090</v>
      </c>
      <c r="T9" s="3077">
        <v>0</v>
      </c>
    </row>
    <row r="10" spans="1:20" s="3077" customFormat="1">
      <c r="A10" s="3077" t="s">
        <v>3218</v>
      </c>
      <c r="B10" s="3077" t="s">
        <v>3172</v>
      </c>
      <c r="C10" s="3077" t="s">
        <v>3219</v>
      </c>
      <c r="D10" s="3077" t="s">
        <v>3174</v>
      </c>
      <c r="E10" s="3077">
        <v>11129</v>
      </c>
      <c r="F10" s="3077">
        <v>5564.5</v>
      </c>
      <c r="G10" s="3077" t="s">
        <v>3220</v>
      </c>
      <c r="H10" s="3077" t="s">
        <v>3176</v>
      </c>
      <c r="I10" s="3077" t="s">
        <v>3185</v>
      </c>
      <c r="J10" s="3077" t="s">
        <v>3178</v>
      </c>
      <c r="K10" s="3078">
        <v>44006</v>
      </c>
      <c r="L10" s="3078">
        <v>44006</v>
      </c>
      <c r="M10" s="3077" t="s">
        <v>3179</v>
      </c>
      <c r="N10" s="3077" t="s">
        <v>3221</v>
      </c>
      <c r="O10" s="3077" t="s">
        <v>3191</v>
      </c>
      <c r="P10" s="3077">
        <v>600</v>
      </c>
      <c r="Q10" s="3077" t="s">
        <v>3222</v>
      </c>
      <c r="R10" s="3077">
        <v>1888.59</v>
      </c>
      <c r="S10" s="3077">
        <v>3394</v>
      </c>
      <c r="T10" s="3077">
        <v>0</v>
      </c>
    </row>
    <row r="11" spans="1:20" s="3077" customFormat="1">
      <c r="A11" s="3077" t="s">
        <v>3223</v>
      </c>
      <c r="B11" s="3077" t="s">
        <v>3172</v>
      </c>
      <c r="C11" s="3077" t="s">
        <v>3194</v>
      </c>
      <c r="D11" s="3077" t="s">
        <v>3174</v>
      </c>
      <c r="E11" s="3077">
        <v>3925</v>
      </c>
      <c r="F11" s="3077">
        <v>1962.5</v>
      </c>
      <c r="G11" s="3077" t="s">
        <v>3220</v>
      </c>
      <c r="H11" s="3077" t="s">
        <v>3176</v>
      </c>
      <c r="I11" s="3077" t="s">
        <v>3185</v>
      </c>
      <c r="J11" s="3077" t="s">
        <v>3178</v>
      </c>
      <c r="K11" s="3078">
        <v>44006</v>
      </c>
      <c r="L11" s="3078">
        <v>44006</v>
      </c>
      <c r="M11" s="3077" t="s">
        <v>3179</v>
      </c>
      <c r="N11" s="3077" t="s">
        <v>3224</v>
      </c>
      <c r="O11" s="3077" t="s">
        <v>3191</v>
      </c>
      <c r="P11" s="3077">
        <v>130</v>
      </c>
      <c r="Q11" s="3077" t="s">
        <v>3222</v>
      </c>
      <c r="R11" s="3077">
        <v>411.34</v>
      </c>
      <c r="S11" s="3077">
        <v>2096</v>
      </c>
      <c r="T11" s="3077">
        <v>0</v>
      </c>
    </row>
    <row r="12" spans="1:20" s="3081" customFormat="1">
      <c r="A12" s="3081" t="s">
        <v>3225</v>
      </c>
      <c r="B12" s="3081" t="s">
        <v>3172</v>
      </c>
      <c r="C12" s="3081" t="s">
        <v>3226</v>
      </c>
      <c r="D12" s="3081" t="s">
        <v>3174</v>
      </c>
      <c r="E12" s="3081">
        <v>1168</v>
      </c>
      <c r="F12" s="3081">
        <v>1985.6</v>
      </c>
      <c r="G12" s="3081" t="s">
        <v>3227</v>
      </c>
      <c r="H12" s="3081" t="s">
        <v>3176</v>
      </c>
      <c r="I12" s="3081" t="s">
        <v>3185</v>
      </c>
      <c r="J12" s="3081" t="s">
        <v>3178</v>
      </c>
      <c r="K12" s="3082">
        <v>43966</v>
      </c>
      <c r="L12" s="3082">
        <v>43966</v>
      </c>
      <c r="M12" s="3081" t="s">
        <v>3179</v>
      </c>
      <c r="N12" s="3081" t="s">
        <v>3228</v>
      </c>
      <c r="O12" s="3081">
        <v>666</v>
      </c>
      <c r="P12" s="3081">
        <v>30</v>
      </c>
      <c r="Q12" s="3081" t="s">
        <v>3229</v>
      </c>
      <c r="R12" s="3081">
        <v>666</v>
      </c>
      <c r="S12" s="3081">
        <v>3354</v>
      </c>
      <c r="T12" s="3081">
        <v>0</v>
      </c>
    </row>
    <row r="13" spans="1:20" s="3077" customFormat="1">
      <c r="A13" s="3077" t="s">
        <v>3230</v>
      </c>
      <c r="B13" s="3077" t="s">
        <v>3172</v>
      </c>
      <c r="C13" s="3077" t="s">
        <v>3231</v>
      </c>
      <c r="D13" s="3077" t="s">
        <v>3174</v>
      </c>
      <c r="E13" s="3077">
        <v>2000</v>
      </c>
      <c r="F13" s="3077">
        <v>2000</v>
      </c>
      <c r="G13" s="3077" t="s">
        <v>3200</v>
      </c>
      <c r="H13" s="3077" t="s">
        <v>3176</v>
      </c>
      <c r="I13" s="3077" t="s">
        <v>3185</v>
      </c>
      <c r="J13" s="3077" t="s">
        <v>3178</v>
      </c>
      <c r="K13" s="3078">
        <v>43966</v>
      </c>
      <c r="L13" s="3078">
        <v>43966</v>
      </c>
      <c r="M13" s="3077" t="s">
        <v>3179</v>
      </c>
      <c r="N13" s="3077" t="s">
        <v>3232</v>
      </c>
      <c r="O13" s="3077">
        <v>471</v>
      </c>
      <c r="P13" s="3077">
        <v>30</v>
      </c>
      <c r="Q13" s="3077" t="s">
        <v>3229</v>
      </c>
      <c r="R13" s="3077">
        <v>471</v>
      </c>
      <c r="S13" s="3077">
        <v>2355</v>
      </c>
      <c r="T13" s="3077">
        <v>0</v>
      </c>
    </row>
    <row r="14" spans="1:20">
      <c r="A14" s="3075" t="s">
        <v>3233</v>
      </c>
      <c r="B14" s="3075" t="s">
        <v>3172</v>
      </c>
      <c r="C14" s="3075" t="s">
        <v>3234</v>
      </c>
      <c r="D14" s="3075" t="s">
        <v>3174</v>
      </c>
      <c r="E14" s="3075">
        <v>1095</v>
      </c>
      <c r="F14" s="3075">
        <v>1423.5</v>
      </c>
      <c r="G14" s="3075" t="s">
        <v>3235</v>
      </c>
      <c r="H14" s="3075" t="s">
        <v>3176</v>
      </c>
      <c r="I14" s="3075" t="s">
        <v>3185</v>
      </c>
      <c r="J14" s="3075" t="s">
        <v>3178</v>
      </c>
      <c r="K14" s="3076">
        <v>43966</v>
      </c>
      <c r="L14" s="3076">
        <v>43966</v>
      </c>
      <c r="M14" s="3075" t="s">
        <v>3179</v>
      </c>
      <c r="N14" s="3075" t="s">
        <v>3236</v>
      </c>
      <c r="O14" s="3075">
        <v>389</v>
      </c>
      <c r="P14" s="3075">
        <v>30</v>
      </c>
      <c r="Q14" s="3075" t="s">
        <v>3229</v>
      </c>
      <c r="R14" s="3075">
        <v>389</v>
      </c>
      <c r="S14" s="3075">
        <v>2733</v>
      </c>
      <c r="T14" s="3075">
        <v>0</v>
      </c>
    </row>
    <row r="15" spans="1:20" s="3077" customFormat="1">
      <c r="A15" s="3077" t="s">
        <v>3237</v>
      </c>
      <c r="B15" s="3077" t="s">
        <v>3172</v>
      </c>
      <c r="C15" s="3077" t="s">
        <v>3238</v>
      </c>
      <c r="D15" s="3077" t="s">
        <v>3174</v>
      </c>
      <c r="E15" s="3077">
        <v>3357.64</v>
      </c>
      <c r="F15" s="3077">
        <v>3357.64</v>
      </c>
      <c r="G15" s="3077" t="s">
        <v>3200</v>
      </c>
      <c r="H15" s="3077" t="s">
        <v>3176</v>
      </c>
      <c r="I15" s="3077" t="s">
        <v>3185</v>
      </c>
      <c r="J15" s="3077" t="s">
        <v>3178</v>
      </c>
      <c r="K15" s="3078">
        <v>43705</v>
      </c>
      <c r="L15" s="3078">
        <v>43705</v>
      </c>
      <c r="M15" s="3077" t="s">
        <v>3179</v>
      </c>
      <c r="N15" s="3077" t="s">
        <v>3239</v>
      </c>
      <c r="O15" s="3077">
        <v>2014.58</v>
      </c>
      <c r="P15" s="3077">
        <v>2000</v>
      </c>
      <c r="Q15" s="3077" t="s">
        <v>1298</v>
      </c>
      <c r="R15" s="3077">
        <v>2039.72</v>
      </c>
      <c r="S15" s="3077">
        <v>6075</v>
      </c>
      <c r="T15" s="3077">
        <v>1.25</v>
      </c>
    </row>
    <row r="16" spans="1:20" s="3077" customFormat="1">
      <c r="A16" s="3077" t="s">
        <v>3218</v>
      </c>
      <c r="B16" s="3077" t="s">
        <v>3172</v>
      </c>
      <c r="C16" s="3077" t="s">
        <v>3240</v>
      </c>
      <c r="D16" s="3077" t="s">
        <v>3174</v>
      </c>
      <c r="E16" s="3077">
        <v>1856</v>
      </c>
      <c r="F16" s="3077">
        <v>928</v>
      </c>
      <c r="G16" s="3077" t="s">
        <v>3241</v>
      </c>
      <c r="H16" s="3077" t="s">
        <v>3176</v>
      </c>
      <c r="I16" s="3077" t="s">
        <v>3185</v>
      </c>
      <c r="J16" s="3077" t="s">
        <v>3178</v>
      </c>
      <c r="K16" s="3078">
        <v>43622</v>
      </c>
      <c r="L16" s="3078">
        <v>43622</v>
      </c>
      <c r="M16" s="3077" t="s">
        <v>3179</v>
      </c>
      <c r="N16" s="3077" t="s">
        <v>3242</v>
      </c>
      <c r="O16" s="3077" t="s">
        <v>3191</v>
      </c>
      <c r="P16" s="3077">
        <v>75</v>
      </c>
      <c r="Q16" s="3077" t="s">
        <v>1298</v>
      </c>
      <c r="R16" s="3077">
        <v>501.12</v>
      </c>
      <c r="S16" s="3077">
        <v>5400</v>
      </c>
      <c r="T16" s="3077">
        <v>0</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R26"/>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344" t="s">
        <v>2826</v>
      </c>
      <c r="D1" s="3345"/>
      <c r="E1" s="3345"/>
      <c r="F1" s="3345"/>
      <c r="G1" s="3345"/>
      <c r="H1" s="3345"/>
      <c r="I1" s="3345"/>
      <c r="J1" s="3345"/>
      <c r="K1" s="3345"/>
      <c r="L1" s="3345"/>
      <c r="M1" s="3345"/>
      <c r="N1" s="3345"/>
      <c r="O1" s="3345"/>
      <c r="P1" s="3345"/>
      <c r="Q1" s="3345"/>
      <c r="R1" s="3345"/>
      <c r="S1" s="3346"/>
      <c r="T1" s="1113" t="s">
        <v>2827</v>
      </c>
    </row>
    <row r="2" spans="1:45" s="663" customFormat="1" ht="38.25">
      <c r="A2" s="1114"/>
      <c r="B2" s="659" t="s">
        <v>2828</v>
      </c>
      <c r="C2" s="660" t="str">
        <f t="shared" ref="C2:L2" si="0">C3&amp;"(含)"&amp;"-"&amp;D3</f>
        <v>0(含)-8000</v>
      </c>
      <c r="D2" s="661" t="str">
        <f t="shared" si="0"/>
        <v>8000(含)-16000</v>
      </c>
      <c r="E2" s="661" t="str">
        <f t="shared" si="0"/>
        <v>16000(含)-24000</v>
      </c>
      <c r="F2" s="661" t="str">
        <f t="shared" si="0"/>
        <v>24000(含)-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v>0</v>
      </c>
      <c r="D3" s="665">
        <v>8000</v>
      </c>
      <c r="E3" s="665">
        <v>16000</v>
      </c>
      <c r="F3" s="665">
        <v>24000</v>
      </c>
      <c r="G3" s="665"/>
      <c r="H3" s="665"/>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19">
        <v>101</v>
      </c>
      <c r="E4" s="1119">
        <v>102</v>
      </c>
      <c r="F4" s="1119">
        <v>103</v>
      </c>
      <c r="G4" s="1119"/>
      <c r="H4" s="1119"/>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69" t="s">
        <v>3260</v>
      </c>
      <c r="C5" s="1125"/>
      <c r="D5" s="1125"/>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c r="D17" s="1140"/>
      <c r="E17" s="1140"/>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2"/>
      <c r="E18" s="1152"/>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IF(D20="——",S22,S22-F20)</f>
        <v>8917</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ROUND(B20*10000/B22,0)</f>
        <v>2053</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43436.400000000009</v>
      </c>
      <c r="C22" s="3347" t="s">
        <v>33</v>
      </c>
      <c r="D22" s="3348"/>
      <c r="E22" s="3348"/>
      <c r="F22" s="3348"/>
      <c r="G22" s="3348"/>
      <c r="H22" s="3348"/>
      <c r="I22" s="3348"/>
      <c r="J22" s="3348"/>
      <c r="K22" s="3348"/>
      <c r="L22" s="3348"/>
      <c r="M22" s="3348"/>
      <c r="N22" s="3348"/>
      <c r="O22" s="3348"/>
      <c r="P22" s="3348"/>
      <c r="Q22" s="3349"/>
      <c r="R22" s="671">
        <f>ROUND(S22*10000/B22,0)</f>
        <v>2053</v>
      </c>
      <c r="S22" s="24">
        <f>SUM(S24:S10000)</f>
        <v>8917</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Sheet1!G6</f>
        <v>13473.9</v>
      </c>
      <c r="B24" s="673">
        <f>Sheet1!I6</f>
        <v>21692.98</v>
      </c>
      <c r="C24" s="3039">
        <v>1</v>
      </c>
      <c r="D24" s="3040"/>
      <c r="E24" s="3039">
        <v>1</v>
      </c>
      <c r="F24" s="3040"/>
      <c r="G24" s="3039">
        <v>1</v>
      </c>
      <c r="H24" s="3040"/>
      <c r="I24" s="3039">
        <v>1</v>
      </c>
      <c r="J24" s="3040"/>
      <c r="K24" s="3039">
        <v>1</v>
      </c>
      <c r="L24" s="3040"/>
      <c r="M24" s="3039">
        <v>1</v>
      </c>
      <c r="N24" s="3040"/>
      <c r="O24" s="3039">
        <v>1</v>
      </c>
      <c r="P24" s="3040"/>
      <c r="Q24" s="3039">
        <v>1</v>
      </c>
      <c r="R24" s="676">
        <f>'土地比较法-住宅、综合'!C48</f>
        <v>2057</v>
      </c>
      <c r="S24" s="674">
        <f t="shared" ref="S24:S54" si="11">ROUND(R24*B24/10000,0)</f>
        <v>4462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Sheet1!G5</f>
        <v>10767.3</v>
      </c>
      <c r="B25" s="673">
        <f>Sheet1!I5</f>
        <v>17335.349999999999</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2057</v>
      </c>
      <c r="S25" s="322">
        <f t="shared" si="11"/>
        <v>3566</v>
      </c>
    </row>
    <row r="26" spans="1:45">
      <c r="A26" s="155">
        <f>Sheet1!G4</f>
        <v>2773.6</v>
      </c>
      <c r="B26" s="673">
        <f>Sheet1!I4</f>
        <v>4408.0700000000033</v>
      </c>
      <c r="C26" s="24">
        <f t="shared" ref="C26:C89" si="12">IF(B26="",1,(LOOKUP(B26,$3:$3,$4:$4)-LOOKUP($B$24,$3:$3,$4:$4)+100)/100)</f>
        <v>0.98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2016</v>
      </c>
      <c r="S26" s="322">
        <f t="shared" si="11"/>
        <v>889</v>
      </c>
    </row>
    <row r="27" spans="1:45">
      <c r="A27" s="155"/>
      <c r="B27" s="673"/>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673"/>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673"/>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673"/>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673"/>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673"/>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673"/>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673"/>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673"/>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9.32</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13108</v>
      </c>
      <c r="C2" s="1569" t="s">
        <v>1481</v>
      </c>
      <c r="D2" s="1569"/>
      <c r="E2" s="1570"/>
      <c r="F2" s="1571"/>
      <c r="G2" s="2933"/>
      <c r="H2" s="2922"/>
      <c r="I2" s="2922"/>
      <c r="J2" s="2922"/>
      <c r="K2" s="2923"/>
      <c r="L2" s="2922"/>
      <c r="M2" s="2922"/>
    </row>
    <row r="3" spans="1:37" ht="18" customHeight="1" thickBot="1">
      <c r="A3" s="1572" t="s">
        <v>1482</v>
      </c>
      <c r="B3" s="1573">
        <f ca="1">IF(ISERROR(B2*10000/F43),0,ROUND(B2*10000/F43,0))</f>
        <v>3018</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1429</v>
      </c>
      <c r="D5" s="1546" t="s">
        <v>1367</v>
      </c>
      <c r="E5" s="1202"/>
      <c r="F5" s="1203"/>
      <c r="G5" s="1566"/>
      <c r="H5" s="305">
        <v>1</v>
      </c>
      <c r="I5" s="306" t="s">
        <v>1366</v>
      </c>
      <c r="J5" s="1201">
        <f ca="1">J6+J10+J12</f>
        <v>0</v>
      </c>
      <c r="K5" s="1546" t="s">
        <v>1367</v>
      </c>
      <c r="L5" s="1202"/>
      <c r="M5" s="1203"/>
    </row>
    <row r="6" spans="1:37" ht="18" customHeight="1">
      <c r="A6" s="1200" t="s">
        <v>1003</v>
      </c>
      <c r="B6" s="3360" t="s">
        <v>1368</v>
      </c>
      <c r="C6" s="1205">
        <f ca="1">ROUND(F6*F8*F7*(1-F9)/10000,0)</f>
        <v>1427</v>
      </c>
      <c r="D6" s="160" t="s">
        <v>2849</v>
      </c>
      <c r="E6" s="308" t="s">
        <v>1370</v>
      </c>
      <c r="F6" s="309">
        <f ca="1">INDIRECT("'数据-取费表'!u"&amp;$G$1)</f>
        <v>1</v>
      </c>
      <c r="G6" s="1566"/>
      <c r="H6" s="1200" t="s">
        <v>1003</v>
      </c>
      <c r="I6" s="3360" t="s">
        <v>1368</v>
      </c>
      <c r="J6" s="307">
        <f ca="1">ROUND(M6*M8*M7*(1-M9)/10000,0)</f>
        <v>0</v>
      </c>
      <c r="K6" s="160" t="s">
        <v>2848</v>
      </c>
      <c r="L6" s="308" t="s">
        <v>1370</v>
      </c>
      <c r="M6" s="309">
        <f ca="1">INDIRECT("'数据-取费表'!z"&amp;$G$1)</f>
        <v>0</v>
      </c>
    </row>
    <row r="7" spans="1:37" ht="18" customHeight="1">
      <c r="A7" s="1204"/>
      <c r="B7" s="3361"/>
      <c r="C7" s="1206"/>
      <c r="D7" s="313"/>
      <c r="E7" s="1207" t="s">
        <v>1371</v>
      </c>
      <c r="F7" s="309">
        <f ca="1">IF(INDIRECT("'数据-取费表'!ah"&amp;$G$1)="",INDIRECT("'数据-取费表'!k"&amp;$G$1),INDIRECT("'数据-取费表'!ah"&amp;$G$1))</f>
        <v>43436.4</v>
      </c>
      <c r="G7" s="1566"/>
      <c r="H7" s="310"/>
      <c r="I7" s="3361"/>
      <c r="J7" s="312"/>
      <c r="K7" s="313"/>
      <c r="L7" s="308" t="s">
        <v>1371</v>
      </c>
      <c r="M7" s="309">
        <f ca="1">F7</f>
        <v>43436.4</v>
      </c>
    </row>
    <row r="8" spans="1:37" ht="18" customHeight="1">
      <c r="A8" s="310"/>
      <c r="B8" s="3361"/>
      <c r="C8" s="312"/>
      <c r="D8" s="313"/>
      <c r="E8" s="308" t="s">
        <v>1372</v>
      </c>
      <c r="F8" s="309">
        <f ca="1">INDIRECT("'数据-取费表'!ai"&amp;$G$1)</f>
        <v>365</v>
      </c>
      <c r="G8" s="1566"/>
      <c r="H8" s="310"/>
      <c r="I8" s="3361"/>
      <c r="J8" s="312"/>
      <c r="K8" s="313"/>
      <c r="L8" s="308" t="s">
        <v>1372</v>
      </c>
      <c r="M8" s="309">
        <f ca="1">INDIRECT("'数据-取费表'!ai"&amp;$G$1)</f>
        <v>365</v>
      </c>
    </row>
    <row r="9" spans="1:37" ht="18" customHeight="1">
      <c r="A9" s="310"/>
      <c r="B9" s="3362"/>
      <c r="C9" s="312"/>
      <c r="D9" s="313"/>
      <c r="E9" s="308" t="s">
        <v>1373</v>
      </c>
      <c r="F9" s="318">
        <f ca="1">INDIRECT("'数据-取费表'!w"&amp;$G$1)</f>
        <v>0.1</v>
      </c>
      <c r="G9" s="1566"/>
      <c r="H9" s="310"/>
      <c r="I9" s="3362"/>
      <c r="J9" s="312"/>
      <c r="K9" s="313"/>
      <c r="L9" s="319" t="s">
        <v>1373</v>
      </c>
      <c r="M9" s="320">
        <f ca="1">INDIRECT("'数据-取费表'!ab"&amp;$G$1)</f>
        <v>0</v>
      </c>
    </row>
    <row r="10" spans="1:37" ht="18" customHeight="1">
      <c r="A10" s="1200" t="s">
        <v>1007</v>
      </c>
      <c r="B10" s="1547" t="s">
        <v>1374</v>
      </c>
      <c r="C10" s="322">
        <f ca="1">ROUND(IF(F10="押一",C6/12*F11,IF(F10="押二",C6/12*2*F11,IF(F10="押三",C6/12*3*F11,C11*F11))),0)</f>
        <v>2</v>
      </c>
      <c r="D10" s="1548" t="s">
        <v>2857</v>
      </c>
      <c r="E10" s="319" t="s">
        <v>1375</v>
      </c>
      <c r="F10" s="1275" t="s">
        <v>3079</v>
      </c>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18675</v>
      </c>
      <c r="D13" s="1240" t="s">
        <v>1380</v>
      </c>
      <c r="E13" s="1240" t="s">
        <v>1381</v>
      </c>
      <c r="F13" s="1241">
        <f ca="1">INDIRECT("'数据-取费表'!y"&amp;$G$1)</f>
        <v>0.81</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15203</v>
      </c>
      <c r="D14" s="1527" t="s">
        <v>1383</v>
      </c>
      <c r="E14" s="1524"/>
      <c r="F14" s="325"/>
      <c r="G14" s="1566"/>
      <c r="H14" s="1112" t="s">
        <v>1003</v>
      </c>
      <c r="I14" s="308" t="s">
        <v>1384</v>
      </c>
      <c r="J14" s="24">
        <f ca="1">C29</f>
        <v>23056</v>
      </c>
      <c r="K14" s="15"/>
      <c r="L14" s="915"/>
      <c r="M14" s="916"/>
    </row>
    <row r="15" spans="1:37" s="1579" customFormat="1" ht="18" customHeight="1" thickBot="1">
      <c r="A15" s="1112" t="s">
        <v>1004</v>
      </c>
      <c r="B15" s="308" t="s">
        <v>1385</v>
      </c>
      <c r="C15" s="24">
        <f ca="1">ROUND(C14*F15,0)</f>
        <v>456</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580</v>
      </c>
      <c r="K16" s="1246" t="s">
        <v>1390</v>
      </c>
      <c r="L16" s="1247"/>
      <c r="M16" s="1203"/>
    </row>
    <row r="17" spans="1:37" s="1579" customFormat="1" ht="18" customHeight="1">
      <c r="A17" s="1112" t="s">
        <v>1355</v>
      </c>
      <c r="B17" s="308" t="s">
        <v>1391</v>
      </c>
      <c r="C17" s="24">
        <f ca="1">ROUND(F17*(F43+INDIRECT("'数据-取费表'!S"&amp;$G$1))/10000,0)</f>
        <v>869</v>
      </c>
      <c r="D17" s="308" t="s">
        <v>1392</v>
      </c>
      <c r="E17" s="308" t="s">
        <v>1393</v>
      </c>
      <c r="F17" s="26">
        <f>'数据-取费表'!B35</f>
        <v>200</v>
      </c>
      <c r="G17" s="1578"/>
      <c r="H17" s="1112" t="s">
        <v>1003</v>
      </c>
      <c r="I17" s="308" t="s">
        <v>1394</v>
      </c>
      <c r="J17" s="2532">
        <f ca="1">ROUND(IF(AND(项目基本情况!B11="自然人",项目基本情况!B10="北京市"),J6*M17/(1+'数据-取费表'!C42),J18+J19+J20),0)</f>
        <v>234</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228</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16756</v>
      </c>
      <c r="D19" s="136" t="s">
        <v>1401</v>
      </c>
      <c r="E19" s="1542"/>
      <c r="F19" s="26"/>
      <c r="G19" s="1566"/>
      <c r="H19" s="1112" t="s">
        <v>1004</v>
      </c>
      <c r="I19" s="308" t="s">
        <v>1402</v>
      </c>
      <c r="J19" s="24">
        <f ca="1">IF(K19="按租金收入计税",ROUND(J6*M19/(1+'数据-取费表'!C42),2),ROUND(C29*M19*0.7,2))</f>
        <v>193.67</v>
      </c>
      <c r="K19" s="1552" t="s">
        <v>1403</v>
      </c>
      <c r="L19" s="308" t="s">
        <v>1387</v>
      </c>
      <c r="M19" s="328">
        <f>IF(K19="按租金收入计税",'数据-取费表'!B51,'数据-取费表'!B50)</f>
        <v>1.2E-2</v>
      </c>
    </row>
    <row r="20" spans="1:37" s="1579" customFormat="1" ht="18" customHeight="1">
      <c r="A20" s="1112" t="s">
        <v>1007</v>
      </c>
      <c r="B20" s="308" t="s">
        <v>1404</v>
      </c>
      <c r="C20" s="24">
        <f ca="1">ROUND(C19*F20,0)</f>
        <v>335</v>
      </c>
      <c r="D20" s="329" t="s">
        <v>1405</v>
      </c>
      <c r="E20" s="308" t="s">
        <v>1387</v>
      </c>
      <c r="F20" s="328">
        <f>'数据-取费表'!B37</f>
        <v>0.02</v>
      </c>
      <c r="G20" s="1578"/>
      <c r="H20" s="1112" t="s">
        <v>1354</v>
      </c>
      <c r="I20" s="160" t="s">
        <v>1406</v>
      </c>
      <c r="J20" s="25">
        <f ca="1">ROUND(M20*M21/10000,2)</f>
        <v>40.520000000000003</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27014.799999999999</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345.8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744</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-580</v>
      </c>
      <c r="K25" s="1254" t="s">
        <v>1429</v>
      </c>
      <c r="L25" s="1255"/>
      <c r="M25" s="1256"/>
    </row>
    <row r="26" spans="1:37">
      <c r="A26" s="1112" t="s">
        <v>1002</v>
      </c>
      <c r="B26" s="308" t="s">
        <v>1430</v>
      </c>
      <c r="C26" s="24">
        <f ca="1">ROUND((C19+C20)*F26,0)</f>
        <v>3418</v>
      </c>
      <c r="D26" s="329" t="s">
        <v>1431</v>
      </c>
      <c r="E26" s="319" t="s">
        <v>1432</v>
      </c>
      <c r="F26" s="318">
        <f ca="1">INDIRECT("'数据-取费表'!q"&amp;$G$1)</f>
        <v>0.2</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4.0000000000000001E-3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23056</v>
      </c>
      <c r="D29" s="1251"/>
      <c r="E29" s="1249"/>
      <c r="F29" s="1252"/>
      <c r="G29" s="1578"/>
      <c r="H29" s="340" t="s">
        <v>1001</v>
      </c>
      <c r="I29" s="341" t="s">
        <v>1444</v>
      </c>
      <c r="J29" s="342">
        <f ca="1">ROUND(J26/(1+F40)^F41,0)</f>
        <v>0</v>
      </c>
      <c r="K29" s="343" t="s">
        <v>1445</v>
      </c>
      <c r="L29" s="344"/>
      <c r="M29" s="345">
        <f ca="1">INDIRECT("'数据-取费表'!k"&amp;$G$1)</f>
        <v>43436.4</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675</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280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76.11</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163.09</v>
      </c>
      <c r="D33" s="1552" t="s">
        <v>3075</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IF(项目基本情况!B11="自然人","——",ROUND(F34*F35/10000,2))</f>
        <v>40.520000000000003</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27014.799999999999</v>
      </c>
      <c r="G35" s="1566"/>
      <c r="H35" s="2924"/>
      <c r="I35" s="1580"/>
      <c r="J35" s="1581"/>
      <c r="K35" s="2928"/>
      <c r="L35" s="2927"/>
      <c r="M35" s="2927"/>
    </row>
    <row r="36" spans="1:18" ht="18" customHeight="1">
      <c r="A36" s="1261" t="s">
        <v>1007</v>
      </c>
      <c r="B36" s="308" t="s">
        <v>1414</v>
      </c>
      <c r="C36" s="24">
        <f ca="1">ROUND(C29*F36,1)</f>
        <v>345.8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ROUND(C13*F37,1)</f>
        <v>28</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21.4</v>
      </c>
      <c r="D38" s="1251" t="s">
        <v>1424</v>
      </c>
      <c r="E38" s="1249" t="s">
        <v>1420</v>
      </c>
      <c r="F38" s="1245">
        <f ca="1">INDIRECT("'数据-取费表'!Am"&amp;$G$1)</f>
        <v>1.4999999999999999E-2</v>
      </c>
      <c r="G38" s="1566"/>
      <c r="H38" s="2927"/>
      <c r="I38" s="1580"/>
      <c r="J38" s="1581"/>
      <c r="K38" s="2931"/>
      <c r="L38" s="2927"/>
      <c r="M38" s="2927"/>
    </row>
    <row r="39" spans="1:18" ht="24.6" customHeight="1" thickTop="1">
      <c r="A39" s="1238" t="s">
        <v>999</v>
      </c>
      <c r="B39" s="1253" t="s">
        <v>1448</v>
      </c>
      <c r="C39" s="316">
        <f ca="1">C5-C30</f>
        <v>754</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6041</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9.32</v>
      </c>
      <c r="G41" s="1566"/>
      <c r="H41" s="1351"/>
      <c r="I41" s="1580"/>
      <c r="J41" s="1581"/>
      <c r="K41" s="2768"/>
      <c r="L41" s="1351"/>
      <c r="M41" s="1351"/>
    </row>
    <row r="42" spans="1:18" ht="18" customHeight="1">
      <c r="A42" s="314"/>
      <c r="B42" s="315"/>
      <c r="C42" s="316"/>
      <c r="D42" s="333"/>
      <c r="E42" s="308" t="s">
        <v>1442</v>
      </c>
      <c r="F42" s="318">
        <f ca="1">INDIRECT("'数据-取费表'!v"&amp;$G$1)</f>
        <v>0.03</v>
      </c>
      <c r="G42" s="1566"/>
      <c r="H42" s="1351"/>
      <c r="I42" s="1580"/>
      <c r="J42" s="1581"/>
      <c r="K42" s="2768"/>
      <c r="L42" s="1351"/>
      <c r="M42" s="1351"/>
    </row>
    <row r="43" spans="1:18" ht="18" customHeight="1" thickBot="1">
      <c r="A43" s="340" t="s">
        <v>1001</v>
      </c>
      <c r="B43" s="341" t="s">
        <v>1452</v>
      </c>
      <c r="C43" s="342">
        <f ca="1">ROUND(C40*10000/F43,0)</f>
        <v>1391</v>
      </c>
      <c r="D43" s="343" t="s">
        <v>1453</v>
      </c>
      <c r="E43" s="344" t="s">
        <v>1454</v>
      </c>
      <c r="F43" s="345">
        <f ca="1">INDIRECT("'数据-取费表'!k"&amp;$G$1)</f>
        <v>43436.4</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-22834</v>
      </c>
      <c r="D46" s="1588" t="str">
        <f>C2</f>
        <v>万元</v>
      </c>
      <c r="E46" s="1582"/>
      <c r="F46" s="1582"/>
      <c r="I46" s="1589" t="s">
        <v>1486</v>
      </c>
      <c r="J46" s="1590"/>
      <c r="K46" s="1591"/>
      <c r="L46" s="1592">
        <f ca="1">IF(M47="住宅",0,IF(L48&gt;J51,L60,J60))</f>
        <v>7067</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t="s">
        <v>3076</v>
      </c>
      <c r="K47" s="1598" t="s">
        <v>1492</v>
      </c>
      <c r="L47" s="1599">
        <f ca="1">INDIRECT("'数据-取费表'!d"&amp;$G$1)</f>
        <v>40</v>
      </c>
      <c r="M47" s="1562" t="str">
        <f>IF(ISNUMBER(FIND("住宅",C1)),"住宅","非住宅")</f>
        <v>非住宅</v>
      </c>
      <c r="O47" s="1600" t="s">
        <v>1008</v>
      </c>
      <c r="P47" s="1601" t="s">
        <v>1493</v>
      </c>
      <c r="Q47" s="1602">
        <f ca="1">C40+J29</f>
        <v>6041</v>
      </c>
      <c r="R47" s="1602" t="s">
        <v>1494</v>
      </c>
    </row>
    <row r="48" spans="1:18" s="1566" customFormat="1" ht="28.5" thickBot="1">
      <c r="A48" s="1269" t="s">
        <v>1103</v>
      </c>
      <c r="B48" s="306" t="s">
        <v>1366</v>
      </c>
      <c r="C48" s="1541">
        <f ca="1">C49+C53+C55</f>
        <v>0</v>
      </c>
      <c r="D48" s="1271"/>
      <c r="E48" s="1272"/>
      <c r="F48" s="1092"/>
      <c r="G48" s="730"/>
      <c r="H48" s="731"/>
      <c r="I48" s="1603" t="s">
        <v>1495</v>
      </c>
      <c r="J48" s="1604" t="s">
        <v>3077</v>
      </c>
      <c r="K48" s="1605" t="s">
        <v>1496</v>
      </c>
      <c r="L48" s="1606">
        <f ca="1">INDIRECT("'数据-取费表'!f"&amp;$G$1)</f>
        <v>9.32</v>
      </c>
      <c r="O48" s="1600" t="s">
        <v>1009</v>
      </c>
      <c r="P48" s="1601" t="s">
        <v>1497</v>
      </c>
      <c r="Q48" s="1602">
        <f ca="1">J60</f>
        <v>7067</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f>'数据-取费表'!N18</f>
        <v>2008</v>
      </c>
      <c r="K49" s="1605" t="s">
        <v>1500</v>
      </c>
      <c r="L49" s="1609"/>
      <c r="O49" s="1610" t="s">
        <v>1010</v>
      </c>
      <c r="P49" s="1601" t="s">
        <v>1501</v>
      </c>
      <c r="Q49" s="1602">
        <f ca="1">C29</f>
        <v>23056</v>
      </c>
      <c r="R49" s="1602" t="s">
        <v>1494</v>
      </c>
    </row>
    <row r="50" spans="1:18" s="1566" customFormat="1" ht="13.5" thickBot="1">
      <c r="A50" s="1106"/>
      <c r="B50" s="1109"/>
      <c r="C50" s="1277"/>
      <c r="D50" s="1083"/>
      <c r="E50" s="1186" t="s">
        <v>1371</v>
      </c>
      <c r="F50" s="1187">
        <f ca="1">F7</f>
        <v>43436.4</v>
      </c>
      <c r="H50" s="731"/>
      <c r="I50" s="1603" t="s">
        <v>1502</v>
      </c>
      <c r="J50" s="1611">
        <f>SUMPRODUCT((I63:I65=J47)*(J62:L62=J48)*(J63:L65))</f>
        <v>60</v>
      </c>
      <c r="K50" s="1605" t="s">
        <v>1503</v>
      </c>
      <c r="L50" s="1609"/>
      <c r="M50" s="1612"/>
      <c r="O50" s="1610" t="s">
        <v>1011</v>
      </c>
      <c r="P50" s="1601" t="s">
        <v>1504</v>
      </c>
      <c r="Q50" s="1613">
        <f ca="1">J58</f>
        <v>0.628</v>
      </c>
      <c r="R50" s="1602"/>
    </row>
    <row r="51" spans="1:18" s="1566" customFormat="1" ht="13.5" thickBot="1">
      <c r="A51" s="1107"/>
      <c r="B51" s="1109"/>
      <c r="C51" s="1110"/>
      <c r="D51" s="1083"/>
      <c r="E51" s="1111" t="s">
        <v>1372</v>
      </c>
      <c r="F51" s="309">
        <f ca="1">F8</f>
        <v>365</v>
      </c>
      <c r="I51" s="1614" t="s">
        <v>1505</v>
      </c>
      <c r="J51" s="1615">
        <f>IF(J49="",J50,J49+J50-YEAR('数据-取费表'!B2))</f>
        <v>47</v>
      </c>
      <c r="K51" s="1616" t="s">
        <v>1506</v>
      </c>
      <c r="L51" s="1617">
        <f ca="1">ROUND(-PV(INDIRECT("'数据-取费表'!h"&amp;$G$1),J51,(C39-C13*C76),0),0)</f>
        <v>-11627</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3089">
        <f>'数据-取费表'!J6+0.5%</f>
        <v>0.08</v>
      </c>
      <c r="K52" s="1619" t="s">
        <v>1509</v>
      </c>
      <c r="L52" s="1620"/>
      <c r="O52" s="1610" t="s">
        <v>1013</v>
      </c>
      <c r="P52" s="1601" t="s">
        <v>1510</v>
      </c>
      <c r="Q52" s="1602">
        <f ca="1">J53</f>
        <v>9.32</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9.32</v>
      </c>
      <c r="K53" s="3358" t="s">
        <v>1513</v>
      </c>
      <c r="L53" s="3359"/>
      <c r="O53" s="1600" t="s">
        <v>1014</v>
      </c>
      <c r="P53" s="1601" t="s">
        <v>1514</v>
      </c>
      <c r="Q53" s="1602">
        <f ca="1">Q47+Q48</f>
        <v>13108</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f ca="1">ROUND(IF(J47="钢混",J57/J50,1-(1-2%)*(J50-J57)/J50),3)</f>
        <v>0.628</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18675</v>
      </c>
      <c r="D56" s="1629"/>
      <c r="E56" s="1630"/>
      <c r="F56" s="1622"/>
      <c r="I56" s="1631" t="s">
        <v>1519</v>
      </c>
      <c r="J56" s="3088" t="s">
        <v>3078</v>
      </c>
      <c r="K56" s="1603" t="s">
        <v>1520</v>
      </c>
      <c r="L56" s="1606" t="str">
        <f ca="1">IF(L48&lt;J51,"——",L48-J53)</f>
        <v>——</v>
      </c>
      <c r="O56" s="1600" t="s">
        <v>1008</v>
      </c>
      <c r="P56" s="1601" t="s">
        <v>1493</v>
      </c>
      <c r="Q56" s="1602">
        <f ca="1">C40+J29</f>
        <v>6041</v>
      </c>
      <c r="R56" s="1602" t="s">
        <v>1494</v>
      </c>
    </row>
    <row r="57" spans="1:18" s="1566" customFormat="1" ht="24.75" thickBot="1">
      <c r="A57" s="1633"/>
      <c r="B57" s="1080" t="s">
        <v>1443</v>
      </c>
      <c r="C57" s="244">
        <f ca="1">C29</f>
        <v>23056</v>
      </c>
      <c r="D57" s="1634"/>
      <c r="E57" s="1635"/>
      <c r="F57" s="1636"/>
      <c r="I57" s="1637" t="s">
        <v>1521</v>
      </c>
      <c r="J57" s="1638">
        <f ca="1">IF(OR(M47="住宅",J51&lt;L48,J56="是"),"——",J51-L48)</f>
        <v>37.68</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8" t="s">
        <v>1389</v>
      </c>
      <c r="C58" s="322">
        <f ca="1">ROUND(C59+C64+C65+C66,0)</f>
        <v>2351</v>
      </c>
      <c r="D58" s="1090" t="s">
        <v>1390</v>
      </c>
      <c r="E58" s="1091"/>
      <c r="F58" s="1092"/>
      <c r="I58" s="1637" t="s">
        <v>1525</v>
      </c>
      <c r="J58" s="1639">
        <f ca="1">IF(J55&lt;0.4,0.4,J55)</f>
        <v>0.628</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1977</v>
      </c>
      <c r="D59" s="1093" t="s">
        <v>1395</v>
      </c>
      <c r="E59" s="1094" t="s">
        <v>1396</v>
      </c>
      <c r="F59" s="2531" t="str">
        <f>IF(项目基本情况!B11="企业","——",IF('数据-取费表'!B10="住宅",IF(F49*F50*F51/12/(1+'数据-取费表'!F30)&gt;100000,4%,2.5%),IF(F49*F50*F51/12/(1+'数据-取费表'!F30)&gt;100000,12%,7%)))</f>
        <v>——</v>
      </c>
      <c r="I59" s="1637" t="s">
        <v>1528</v>
      </c>
      <c r="J59" s="1638">
        <f ca="1">IF(OR(M47="住宅",J51&lt;L48,J56="是"),"——",ROUND(C29*J58,0))</f>
        <v>14479</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f ca="1">IF(OR(M47="住宅",J51&lt;L48,J56="是"),"0",ROUND(J59/(1+J52)^J53,0))</f>
        <v>7067</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1936.7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40.520000000000003</v>
      </c>
      <c r="D62" s="1095" t="s">
        <v>1462</v>
      </c>
      <c r="E62" s="1080" t="s">
        <v>1463</v>
      </c>
      <c r="F62" s="331">
        <f t="shared" si="0"/>
        <v>15</v>
      </c>
      <c r="I62" s="1644" t="s">
        <v>1535</v>
      </c>
      <c r="J62" s="1645" t="s">
        <v>1536</v>
      </c>
      <c r="K62" s="1645" t="s">
        <v>1537</v>
      </c>
      <c r="L62" s="1645" t="s">
        <v>1538</v>
      </c>
      <c r="M62" s="1646" t="s">
        <v>1539</v>
      </c>
      <c r="O62" s="1600" t="s">
        <v>1014</v>
      </c>
      <c r="P62" s="1601" t="s">
        <v>1540</v>
      </c>
      <c r="Q62" s="1602">
        <f ca="1">Q56+Q57</f>
        <v>6041</v>
      </c>
      <c r="R62" s="1602" t="s">
        <v>1015</v>
      </c>
    </row>
    <row r="63" spans="1:18" s="1566" customFormat="1" ht="13.5" thickBot="1">
      <c r="A63" s="332"/>
      <c r="B63" s="1086"/>
      <c r="C63" s="29"/>
      <c r="D63" s="1096"/>
      <c r="E63" s="1080" t="s">
        <v>1464</v>
      </c>
      <c r="F63" s="309">
        <f t="shared" ca="1" si="0"/>
        <v>27014.799999999999</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345.8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28</v>
      </c>
      <c r="D65" s="1094" t="s">
        <v>1419</v>
      </c>
      <c r="E65" s="1080" t="s">
        <v>1420</v>
      </c>
      <c r="F65" s="336">
        <f t="shared" ca="1" si="0"/>
        <v>1.5E-3</v>
      </c>
      <c r="I65" s="1644" t="s">
        <v>1544</v>
      </c>
      <c r="J65" s="1645">
        <v>40</v>
      </c>
      <c r="K65" s="1645">
        <v>30</v>
      </c>
      <c r="L65" s="1645">
        <v>50</v>
      </c>
      <c r="M65" s="1647">
        <v>0.02</v>
      </c>
      <c r="O65" s="1600" t="s">
        <v>1008</v>
      </c>
      <c r="P65" s="1601" t="s">
        <v>1545</v>
      </c>
      <c r="Q65" s="1602">
        <f ca="1">C40+J29</f>
        <v>6041</v>
      </c>
      <c r="R65" s="1602" t="s">
        <v>1494</v>
      </c>
    </row>
    <row r="66" spans="1:18" s="1566" customFormat="1" ht="16.5" thickBot="1">
      <c r="A66" s="1112" t="s">
        <v>1469</v>
      </c>
      <c r="B66" s="1080" t="s">
        <v>1404</v>
      </c>
      <c r="C66" s="24">
        <f ca="1">ROUND(C48*F66,1)</f>
        <v>0</v>
      </c>
      <c r="D66" s="1094" t="s">
        <v>1470</v>
      </c>
      <c r="E66" s="1080" t="s">
        <v>1387</v>
      </c>
      <c r="F66" s="318">
        <f t="shared" ca="1" si="0"/>
        <v>1.4999999999999999E-2</v>
      </c>
      <c r="O66" s="1600" t="s">
        <v>1009</v>
      </c>
      <c r="P66" s="1601" t="s">
        <v>1523</v>
      </c>
      <c r="Q66" s="1602">
        <f ca="1">L60</f>
        <v>0</v>
      </c>
      <c r="R66" s="1602" t="s">
        <v>1546</v>
      </c>
    </row>
    <row r="67" spans="1:18" s="1566" customFormat="1" ht="16.5" thickBot="1">
      <c r="A67" s="1087" t="s">
        <v>999</v>
      </c>
      <c r="B67" s="1097" t="s">
        <v>1428</v>
      </c>
      <c r="C67" s="322">
        <f ca="1">C48-C58</f>
        <v>-2351</v>
      </c>
      <c r="D67" s="1093" t="s">
        <v>1429</v>
      </c>
      <c r="E67" s="1098"/>
      <c r="F67" s="1099"/>
      <c r="O67" s="1610" t="s">
        <v>1010</v>
      </c>
      <c r="P67" s="1601" t="s">
        <v>1527</v>
      </c>
      <c r="Q67" s="1648">
        <f ca="1">L51</f>
        <v>-11627</v>
      </c>
      <c r="R67" s="1602" t="s">
        <v>1547</v>
      </c>
    </row>
    <row r="68" spans="1:18" s="1566" customFormat="1" ht="16.5" thickBot="1">
      <c r="A68" s="1077" t="s">
        <v>1000</v>
      </c>
      <c r="B68" s="1078" t="s">
        <v>1450</v>
      </c>
      <c r="C68" s="307">
        <f ca="1">ROUND(C67*(1-((1+F70)/(1+F68))^F69)/(F68-F70),0)</f>
        <v>-16793</v>
      </c>
      <c r="D68" s="1095" t="s">
        <v>1434</v>
      </c>
      <c r="E68" s="1080" t="s">
        <v>1435</v>
      </c>
      <c r="F68" s="318">
        <f ca="1">F40</f>
        <v>5.5E-2</v>
      </c>
      <c r="O68" s="1610" t="s">
        <v>1011</v>
      </c>
      <c r="P68" s="1649" t="s">
        <v>1548</v>
      </c>
      <c r="Q68" s="1602">
        <f ca="1">ROUND(Q69-Q70*Q71,0)</f>
        <v>-647</v>
      </c>
      <c r="R68" s="1602" t="s">
        <v>1019</v>
      </c>
    </row>
    <row r="69" spans="1:18" s="1566" customFormat="1" ht="13.5" thickBot="1">
      <c r="A69" s="1081"/>
      <c r="B69" s="1082"/>
      <c r="C69" s="312"/>
      <c r="D69" s="1100" t="s">
        <v>1438</v>
      </c>
      <c r="E69" s="1080" t="s">
        <v>1439</v>
      </c>
      <c r="F69" s="339">
        <f ca="1">F41</f>
        <v>9.32</v>
      </c>
      <c r="O69" s="1610" t="s">
        <v>1016</v>
      </c>
      <c r="P69" s="1649" t="s">
        <v>1549</v>
      </c>
      <c r="Q69" s="1602">
        <f ca="1">C39</f>
        <v>754</v>
      </c>
      <c r="R69" s="1602" t="s">
        <v>1494</v>
      </c>
    </row>
    <row r="70" spans="1:18" s="1566" customFormat="1" ht="13.5" thickBot="1">
      <c r="A70" s="1084"/>
      <c r="B70" s="1085"/>
      <c r="C70" s="316"/>
      <c r="D70" s="1096"/>
      <c r="E70" s="1080" t="s">
        <v>1442</v>
      </c>
      <c r="F70" s="1184"/>
      <c r="O70" s="1610" t="s">
        <v>1017</v>
      </c>
      <c r="P70" s="1649" t="s">
        <v>1550</v>
      </c>
      <c r="Q70" s="1602">
        <f ca="1">C13</f>
        <v>18675</v>
      </c>
      <c r="R70" s="1602" t="s">
        <v>1494</v>
      </c>
    </row>
    <row r="71" spans="1:18" s="1566" customFormat="1" ht="13.5" thickBot="1">
      <c r="A71" s="1101" t="s">
        <v>1001</v>
      </c>
      <c r="B71" s="1102" t="s">
        <v>1452</v>
      </c>
      <c r="C71" s="342">
        <f ca="1">ROUND(C68*10000/F71,0)</f>
        <v>-3866</v>
      </c>
      <c r="D71" s="1103" t="s">
        <v>1453</v>
      </c>
      <c r="E71" s="1104" t="s">
        <v>1454</v>
      </c>
      <c r="F71" s="345">
        <f ca="1">F43</f>
        <v>43436.4</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1401</v>
      </c>
      <c r="D75" s="1566"/>
      <c r="E75" s="1566"/>
      <c r="F75" s="1566"/>
      <c r="K75" s="1584"/>
      <c r="L75" s="1566"/>
      <c r="O75" s="1600" t="s">
        <v>1014</v>
      </c>
      <c r="P75" s="1601" t="s">
        <v>1514</v>
      </c>
      <c r="Q75" s="1602">
        <f ca="1">Q65+Q66</f>
        <v>6041</v>
      </c>
      <c r="R75" s="1602" t="s">
        <v>1015</v>
      </c>
    </row>
    <row r="76" spans="1:18">
      <c r="B76" s="348" t="s">
        <v>1472</v>
      </c>
      <c r="C76" s="349">
        <f ca="1">INDIRECT("'数据-取费表'!j"&amp;$G$1)</f>
        <v>7.4999999999999997E-2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-0.8580000000000001</v>
      </c>
    </row>
    <row r="80" spans="1:18">
      <c r="B80" s="346" t="s">
        <v>1476</v>
      </c>
      <c r="C80" s="280">
        <f ca="1">ROUND(C75/C39,3)</f>
        <v>1.8580000000000001</v>
      </c>
    </row>
    <row r="81" spans="2:3">
      <c r="B81" s="276" t="s">
        <v>1477</v>
      </c>
      <c r="C81" s="244"/>
    </row>
    <row r="82" spans="2:3">
      <c r="B82" s="279" t="s">
        <v>1478</v>
      </c>
      <c r="C82" s="281">
        <f ca="1">1-C83</f>
        <v>-2.0910000000000002</v>
      </c>
    </row>
    <row r="83" spans="2:3">
      <c r="B83" s="279" t="s">
        <v>1479</v>
      </c>
      <c r="C83" s="280">
        <f ca="1">ROUND(C13/C40,3)</f>
        <v>3.0910000000000002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6" priority="56">
      <formula>$L$48&gt;$J$51</formula>
    </cfRule>
  </conditionalFormatting>
  <conditionalFormatting sqref="I55 I60">
    <cfRule type="expression" dxfId="105" priority="57">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0</v>
      </c>
      <c r="D5" s="1546" t="s">
        <v>1566</v>
      </c>
      <c r="E5" s="1202"/>
      <c r="F5" s="1203"/>
      <c r="G5" s="1566"/>
      <c r="H5" s="305">
        <v>1</v>
      </c>
      <c r="I5" s="306" t="s">
        <v>1565</v>
      </c>
      <c r="J5" s="1201">
        <f ca="1">J6+J10+J12</f>
        <v>0</v>
      </c>
      <c r="K5" s="1546" t="s">
        <v>1566</v>
      </c>
      <c r="L5" s="1202"/>
      <c r="M5" s="1203"/>
    </row>
    <row r="6" spans="1:37" ht="18" customHeight="1">
      <c r="A6" s="1200" t="s">
        <v>1003</v>
      </c>
      <c r="B6" s="3360" t="s">
        <v>1368</v>
      </c>
      <c r="C6" s="1205">
        <f ca="1">ROUND(F6*F8*F7*(1-F9),0)</f>
        <v>0</v>
      </c>
      <c r="D6" s="160" t="s">
        <v>2846</v>
      </c>
      <c r="E6" s="308" t="s">
        <v>1370</v>
      </c>
      <c r="F6" s="309">
        <f ca="1">INDIRECT("'数据-取费表'!u"&amp;$G$1)</f>
        <v>0</v>
      </c>
      <c r="G6" s="1566"/>
      <c r="H6" s="1200" t="s">
        <v>1003</v>
      </c>
      <c r="I6" s="3360" t="s">
        <v>1368</v>
      </c>
      <c r="J6" s="307">
        <f ca="1">ROUND(M6*M8*M7*(1-M9),0)</f>
        <v>0</v>
      </c>
      <c r="K6" s="1558" t="s">
        <v>2847</v>
      </c>
      <c r="L6" s="308" t="s">
        <v>1370</v>
      </c>
      <c r="M6" s="309">
        <f ca="1">INDIRECT("'数据-取费表'!z"&amp;$G$1)</f>
        <v>0</v>
      </c>
    </row>
    <row r="7" spans="1:37" ht="18" customHeight="1">
      <c r="A7" s="1204"/>
      <c r="B7" s="3361"/>
      <c r="C7" s="1206"/>
      <c r="D7" s="313"/>
      <c r="E7" s="1207" t="s">
        <v>1371</v>
      </c>
      <c r="F7" s="309">
        <f ca="1">IF(INDIRECT("'数据-取费表'!ah"&amp;$G$1)="",INDIRECT("'数据-取费表'!k"&amp;$G$1),INDIRECT("'数据-取费表'!ah"&amp;$G$1))</f>
        <v>0</v>
      </c>
      <c r="G7" s="1566"/>
      <c r="H7" s="310"/>
      <c r="I7" s="3361"/>
      <c r="J7" s="312"/>
      <c r="K7" s="313"/>
      <c r="L7" s="308" t="s">
        <v>1371</v>
      </c>
      <c r="M7" s="309">
        <f ca="1">F7</f>
        <v>0</v>
      </c>
    </row>
    <row r="8" spans="1:37" ht="18" customHeight="1">
      <c r="A8" s="310"/>
      <c r="B8" s="3361"/>
      <c r="C8" s="312"/>
      <c r="D8" s="313"/>
      <c r="E8" s="308" t="s">
        <v>1372</v>
      </c>
      <c r="F8" s="309">
        <f ca="1">INDIRECT("'数据-取费表'!ai"&amp;$G$1)</f>
        <v>0</v>
      </c>
      <c r="G8" s="1566"/>
      <c r="H8" s="310"/>
      <c r="I8" s="3361"/>
      <c r="J8" s="312"/>
      <c r="K8" s="313"/>
      <c r="L8" s="308" t="s">
        <v>1372</v>
      </c>
      <c r="M8" s="309">
        <f ca="1">INDIRECT("'数据-取费表'!ai"&amp;$G$1)</f>
        <v>0</v>
      </c>
    </row>
    <row r="9" spans="1:37" ht="18" customHeight="1">
      <c r="A9" s="310"/>
      <c r="B9" s="3362"/>
      <c r="C9" s="312"/>
      <c r="D9" s="313"/>
      <c r="E9" s="308" t="s">
        <v>1373</v>
      </c>
      <c r="F9" s="318">
        <f ca="1">INDIRECT("'数据-取费表'!w"&amp;$G$1)</f>
        <v>0</v>
      </c>
      <c r="G9" s="1566"/>
      <c r="H9" s="310"/>
      <c r="I9" s="3362"/>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2856</v>
      </c>
      <c r="E10" s="319" t="s">
        <v>1375</v>
      </c>
      <c r="F10" s="1275"/>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15</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ROUND(C13*F37,0)</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8"/>
      <c r="L41" s="1351"/>
      <c r="M41" s="1351"/>
    </row>
    <row r="42" spans="1:18" ht="18" customHeight="1">
      <c r="A42" s="314"/>
      <c r="B42" s="315"/>
      <c r="C42" s="316"/>
      <c r="D42" s="333"/>
      <c r="E42" s="308" t="s">
        <v>1442</v>
      </c>
      <c r="F42" s="318">
        <f ca="1">INDIRECT("'数据-取费表'!v"&amp;$G$1)</f>
        <v>0</v>
      </c>
      <c r="G42" s="1566"/>
      <c r="H42" s="1351"/>
      <c r="I42" s="1580"/>
      <c r="J42" s="1581"/>
      <c r="K42" s="2768"/>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0</v>
      </c>
      <c r="K53" s="3358" t="s">
        <v>1513</v>
      </c>
      <c r="L53" s="3359"/>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ROUND(C48*F66,0)</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2" t="e">
        <f ca="1">ROUND(C68/F71,0)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估价对象为房地产，为所有。根据《国有土地使用证》[]，估价对象（分摊）出让国有建设用地使用权面积为27014.8平方米，建筑面积为43436.4平方米。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估价对象为房地产,属开发建设的，该项目尚在开发建设中。根据《国有土地使用证》[]，估价对象（分摊）出让国有建设用地使用权面积为27014.8平方米，规划建筑面积为43436.4平方米。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2021年12月31日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本次评估采用的主估价方法为基准地价系数修正法和收益法。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20656</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4755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5212368</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4.0500000000000001E-2</v>
      </c>
      <c r="G7" s="225"/>
    </row>
    <row r="8" spans="1:8" s="229" customFormat="1">
      <c r="A8" s="885" t="s">
        <v>2162</v>
      </c>
      <c r="B8" s="221" t="s">
        <v>2163</v>
      </c>
      <c r="C8" s="226">
        <f ca="1">IF(G8="已包含在土地购买价格中",0,C9+C10)</f>
        <v>5212368</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5212368</v>
      </c>
      <c r="D10" s="953">
        <f ca="1">IF(B1="",'数据-汇总表'!E6,IF(INDIRECT("'数据-取费表'!c"&amp;$G$1)="住宅",INDIRECT("'数据-取费表'!s"&amp;$G$1),INDIRECT("'数据-取费表'!k"&amp;$G$1)+INDIRECT("'数据-取费表'!s"&amp;$G$1)))</f>
        <v>43436.4</v>
      </c>
      <c r="E10" s="231">
        <f>'数据-取费表'!B28</f>
        <v>120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8687280</v>
      </c>
      <c r="D19" s="957">
        <f ca="1">D9+D10</f>
        <v>43436.4</v>
      </c>
      <c r="E19" s="217">
        <f>'数据-取费表'!B31</f>
        <v>200</v>
      </c>
      <c r="F19" s="237"/>
      <c r="G19" s="2040"/>
    </row>
    <row r="20" spans="1:7" s="220" customFormat="1" ht="13.5" customHeight="1">
      <c r="A20" s="261" t="s">
        <v>2260</v>
      </c>
      <c r="B20" s="216" t="s">
        <v>2261</v>
      </c>
      <c r="C20" s="238">
        <f ca="1">ROUND((C5+C19)*F20,0)</f>
        <v>277993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1247664</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463339</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772232</v>
      </c>
      <c r="D24" s="244"/>
      <c r="E24" s="244"/>
      <c r="F24" s="245"/>
      <c r="G24" s="246" t="s">
        <v>2272</v>
      </c>
    </row>
    <row r="25" spans="1:7" s="220" customFormat="1" ht="24">
      <c r="A25" s="887" t="s">
        <v>2162</v>
      </c>
      <c r="B25" s="221" t="s">
        <v>2273</v>
      </c>
      <c r="C25" s="1289">
        <f ca="1">ROUND(IF('数据-取费表'!B22&lt;=1,C20*F22*'数据-取费表'!B22/2,C20*(POWER((1+F22),'数据-取费表'!B22/2)-1)),0)</f>
        <v>12093</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2835528</v>
      </c>
      <c r="D27" s="241">
        <f ca="1">C29</f>
        <v>4.0000000000000001E-3</v>
      </c>
      <c r="E27" s="242" t="s">
        <v>2200</v>
      </c>
      <c r="F27" s="252">
        <f ca="1">IF(B1="",'数据-取费表'!Q16,INDIRECT("'数据-取费表'!q"&amp;$G$1))</f>
        <v>0.2</v>
      </c>
      <c r="G27" s="253" t="s">
        <v>2201</v>
      </c>
    </row>
    <row r="28" spans="1:7" s="220" customFormat="1" ht="13.5" customHeight="1">
      <c r="A28" s="887" t="s">
        <v>791</v>
      </c>
      <c r="B28" s="254" t="s">
        <v>2202</v>
      </c>
      <c r="C28" s="255">
        <f ca="1">ROUND((C5+C19+C20)*F27,0)</f>
        <v>2835528</v>
      </c>
      <c r="D28" s="241"/>
      <c r="E28" s="242"/>
      <c r="F28" s="252"/>
      <c r="G28" s="253"/>
    </row>
    <row r="29" spans="1:7" s="220" customFormat="1" ht="13.5" customHeight="1">
      <c r="A29" s="887"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19809973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167555913</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152027400</v>
      </c>
      <c r="D34" s="223"/>
      <c r="E34" s="226"/>
      <c r="F34" s="263"/>
      <c r="G34" s="225"/>
    </row>
    <row r="35" spans="1:7" ht="13.5" customHeight="1">
      <c r="A35" s="887" t="s">
        <v>796</v>
      </c>
      <c r="B35" s="221" t="s">
        <v>2213</v>
      </c>
      <c r="C35" s="226">
        <f ca="1">ROUND(C34*F35,0)</f>
        <v>4560822</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8687280</v>
      </c>
      <c r="D37" s="223">
        <f ca="1">D19</f>
        <v>43436.4</v>
      </c>
      <c r="E37" s="255">
        <f>'数据-取费表'!B35</f>
        <v>200</v>
      </c>
      <c r="F37" s="265"/>
      <c r="G37" s="267"/>
    </row>
    <row r="38" spans="1:7" ht="13.5" customHeight="1">
      <c r="A38" s="887" t="s">
        <v>799</v>
      </c>
      <c r="B38" s="221" t="s">
        <v>2219</v>
      </c>
      <c r="C38" s="226">
        <f ca="1">ROUND(C34*F38,0)</f>
        <v>2280411</v>
      </c>
      <c r="D38" s="226"/>
      <c r="E38" s="226"/>
      <c r="F38" s="265">
        <f>'数据-取费表'!B36</f>
        <v>1.4999999999999999E-2</v>
      </c>
      <c r="G38" s="225" t="s">
        <v>2214</v>
      </c>
    </row>
    <row r="39" spans="1:7" s="220" customFormat="1" ht="13.5" customHeight="1">
      <c r="A39" s="261" t="s">
        <v>2220</v>
      </c>
      <c r="B39" s="216" t="s">
        <v>2221</v>
      </c>
      <c r="C39" s="238">
        <f ca="1">ROUND(C33*F20,0)</f>
        <v>3351118</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7434456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7288682</v>
      </c>
      <c r="D42" s="244"/>
      <c r="E42" s="244"/>
      <c r="F42" s="245"/>
      <c r="G42" s="3350" t="s">
        <v>2277</v>
      </c>
    </row>
    <row r="43" spans="1:7" ht="13.5" customHeight="1">
      <c r="A43" s="887" t="s">
        <v>792</v>
      </c>
      <c r="B43" s="221" t="s">
        <v>2231</v>
      </c>
      <c r="C43" s="244">
        <f ca="1">ROUND(IF('数据-取费表'!B22&lt;=1,C39*F22*'数据-取费表'!B20/2,C39*(POWER((1+F22),'数据-取费表'!B20/2)-1)),0)</f>
        <v>145774</v>
      </c>
      <c r="D43" s="244"/>
      <c r="E43" s="244"/>
      <c r="F43" s="245"/>
      <c r="G43" s="3351"/>
    </row>
    <row r="44" spans="1:7" ht="13.5" customHeight="1">
      <c r="A44" s="887" t="s">
        <v>793</v>
      </c>
      <c r="B44" s="221" t="s">
        <v>2232</v>
      </c>
      <c r="C44" s="244">
        <f ca="1">ROUND(IF('数据-取费表'!B22&lt;=1,C40*F22*'数据-取费表'!B20/2,C40*(POWER((1+F22),'数据-取费表'!B20/2)-1)),4)</f>
        <v>8.9999999999999998E-4</v>
      </c>
      <c r="D44" s="244"/>
      <c r="E44" s="244"/>
      <c r="F44" s="245"/>
      <c r="G44" s="3352"/>
    </row>
    <row r="45" spans="1:7" s="220" customFormat="1" ht="13.5" customHeight="1">
      <c r="A45" s="261" t="s">
        <v>2233</v>
      </c>
      <c r="B45" s="250" t="s">
        <v>2199</v>
      </c>
      <c r="C45" s="251">
        <f ca="1">C46</f>
        <v>34181406</v>
      </c>
      <c r="D45" s="241">
        <f ca="1">C47</f>
        <v>4.0000000000000001E-3</v>
      </c>
      <c r="E45" s="242" t="s">
        <v>2225</v>
      </c>
      <c r="F45" s="2535">
        <f ca="1">F27</f>
        <v>0.2</v>
      </c>
      <c r="G45" s="253" t="s">
        <v>2234</v>
      </c>
    </row>
    <row r="46" spans="1:7" s="220" customFormat="1" ht="13.5" customHeight="1">
      <c r="A46" s="887" t="s">
        <v>791</v>
      </c>
      <c r="B46" s="254" t="s">
        <v>2235</v>
      </c>
      <c r="C46" s="255">
        <f ca="1">ROUND((C33+C39)*F27,0)</f>
        <v>34181406</v>
      </c>
      <c r="D46" s="269"/>
      <c r="E46" s="242"/>
      <c r="F46" s="252"/>
      <c r="G46" s="253"/>
    </row>
    <row r="47" spans="1:7" s="220" customFormat="1" ht="13.5" customHeight="1">
      <c r="A47" s="887"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230552064</v>
      </c>
      <c r="D49" s="238"/>
      <c r="E49" s="238"/>
      <c r="F49" s="270"/>
      <c r="G49" s="240" t="s">
        <v>2240</v>
      </c>
    </row>
    <row r="50" spans="1:7" s="264" customFormat="1">
      <c r="A50" s="261" t="s">
        <v>2241</v>
      </c>
      <c r="B50" s="216" t="s">
        <v>2242</v>
      </c>
      <c r="C50" s="238"/>
      <c r="D50" s="238"/>
      <c r="E50" s="238"/>
      <c r="F50" s="270">
        <f>IF('数据-取费表'!B24=0,'数据-取费表'!N16,1)</f>
        <v>0.81</v>
      </c>
      <c r="G50" s="253"/>
    </row>
    <row r="51" spans="1:7" ht="16.5" customHeight="1">
      <c r="A51" s="261" t="s">
        <v>2244</v>
      </c>
      <c r="B51" s="216" t="s">
        <v>2279</v>
      </c>
      <c r="C51" s="238">
        <f ca="1">ROUND(C49*F50,0)</f>
        <v>186747172</v>
      </c>
      <c r="D51" s="238"/>
      <c r="E51" s="238"/>
      <c r="F51" s="270"/>
      <c r="G51" s="240" t="s">
        <v>2246</v>
      </c>
    </row>
    <row r="52" spans="1:7" s="214" customFormat="1" ht="16.5" thickBot="1">
      <c r="A52" s="271" t="s">
        <v>2247</v>
      </c>
      <c r="B52" s="272"/>
      <c r="C52" s="273">
        <f ca="1">C31+C51</f>
        <v>206557145</v>
      </c>
      <c r="D52" s="272"/>
      <c r="E52" s="272"/>
      <c r="F52" s="272"/>
      <c r="G52" s="274"/>
    </row>
    <row r="55" spans="1:7" ht="15">
      <c r="B55" s="276" t="s">
        <v>2248</v>
      </c>
      <c r="C55" s="277"/>
    </row>
    <row r="56" spans="1:7">
      <c r="B56" s="279" t="s">
        <v>1478</v>
      </c>
      <c r="C56" s="281">
        <f ca="1">1-C57</f>
        <v>9.5999999999999974E-2</v>
      </c>
    </row>
    <row r="57" spans="1:7">
      <c r="B57" s="279" t="s">
        <v>1479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1"/>
      <c r="C1" s="1352"/>
      <c r="D1" s="1350"/>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43436.4</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43436.4</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521</v>
      </c>
      <c r="D20" s="954">
        <f ca="1">IF(C1="",'数据-汇总表'!E6,IF(INDIRECT("'数据-取费表'!c"&amp;$K$1)="住宅",INDIRECT("'数据-取费表'!s"&amp;$K$1),INDIRECT("'数据-取费表'!k"&amp;$K$1)+INDIRECT("'数据-取费表'!s"&amp;$K$1)))</f>
        <v>43436.4</v>
      </c>
      <c r="E20" s="24">
        <f>'数据-取费表'!B28</f>
        <v>120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3.8600000000000002E-2</v>
      </c>
      <c r="D24" s="287" t="s">
        <v>15</v>
      </c>
      <c r="E24" s="287"/>
      <c r="F24" s="924">
        <f>IF(项目基本情况!B8="出让",0,'数据-取费表'!B48+'数据-取费表'!B49)</f>
        <v>4.0500000000000001E-2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13108</v>
      </c>
      <c r="C2" s="2056" t="s">
        <v>2340</v>
      </c>
      <c r="D2" s="2057" t="s">
        <v>2341</v>
      </c>
      <c r="E2" s="2831">
        <f>SUM(E6:E13)</f>
        <v>43436.4</v>
      </c>
      <c r="F2" s="2934"/>
      <c r="G2" s="1672"/>
      <c r="H2" s="1672"/>
      <c r="I2" s="1672"/>
      <c r="J2" s="1672"/>
      <c r="K2" s="1672"/>
      <c r="L2" s="1672"/>
      <c r="M2" s="1672"/>
      <c r="N2" s="1672"/>
      <c r="O2" s="1672"/>
      <c r="P2" s="1672"/>
      <c r="Q2" s="1672"/>
      <c r="R2" s="1672"/>
      <c r="S2" s="1672"/>
    </row>
    <row r="3" spans="1:22" ht="15.75">
      <c r="A3" s="2054" t="s">
        <v>1360</v>
      </c>
      <c r="B3" s="2825">
        <f ca="1">ROUND(B2*10000/E2,0)</f>
        <v>3018</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63" t="s">
        <v>2343</v>
      </c>
      <c r="C5" s="3364"/>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13108</v>
      </c>
      <c r="C6" s="2056" t="s">
        <v>2340</v>
      </c>
      <c r="D6" s="2936"/>
      <c r="E6" s="2830">
        <f>IF(OR(A6=0,F6="否"),0,'数据-取费表'!K6+'数据-取费表'!S6)</f>
        <v>43436.4</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1" t="s">
        <v>1044</v>
      </c>
      <c r="B1" s="3382"/>
      <c r="C1" s="3383"/>
      <c r="D1" s="3384">
        <f>SUM(I10,I15,I20,I21,I23)</f>
        <v>0</v>
      </c>
      <c r="E1" s="3384"/>
      <c r="F1" s="3384"/>
      <c r="G1" s="3384"/>
      <c r="H1" s="3384"/>
      <c r="I1" s="3385"/>
    </row>
    <row r="2" spans="1:9">
      <c r="A2" s="3371" t="s">
        <v>1045</v>
      </c>
      <c r="B2" s="3372" t="s">
        <v>1046</v>
      </c>
      <c r="C2" s="3372"/>
      <c r="D2" s="1210" t="s">
        <v>1047</v>
      </c>
      <c r="E2" s="1210" t="s">
        <v>1048</v>
      </c>
      <c r="F2" s="1210" t="s">
        <v>1049</v>
      </c>
      <c r="G2" s="1210" t="s">
        <v>1050</v>
      </c>
      <c r="H2" s="1210" t="s">
        <v>1051</v>
      </c>
      <c r="I2" s="1211" t="s">
        <v>1052</v>
      </c>
    </row>
    <row r="3" spans="1:9">
      <c r="A3" s="3371"/>
      <c r="B3" s="3372" t="s">
        <v>1053</v>
      </c>
      <c r="C3" s="3372"/>
      <c r="D3" s="1212"/>
      <c r="E3" s="1210"/>
      <c r="F3" s="1213"/>
      <c r="G3" s="1213"/>
      <c r="H3" s="1214"/>
      <c r="I3" s="1215">
        <f>ROUND(D3*E3*F3*G3*H3/10000,0)</f>
        <v>0</v>
      </c>
    </row>
    <row r="4" spans="1:9">
      <c r="A4" s="3371"/>
      <c r="B4" s="3372" t="s">
        <v>1054</v>
      </c>
      <c r="C4" s="3372"/>
      <c r="D4" s="1212"/>
      <c r="E4" s="1210"/>
      <c r="F4" s="1213"/>
      <c r="G4" s="1213"/>
      <c r="H4" s="1214"/>
      <c r="I4" s="1215">
        <f t="shared" ref="I4:I9" si="0">ROUND(D4*E4*F4*G4*H4/10000,0)</f>
        <v>0</v>
      </c>
    </row>
    <row r="5" spans="1:9">
      <c r="A5" s="3371"/>
      <c r="B5" s="3372" t="s">
        <v>1055</v>
      </c>
      <c r="C5" s="3372"/>
      <c r="D5" s="1212"/>
      <c r="E5" s="1210"/>
      <c r="F5" s="1213"/>
      <c r="G5" s="1213"/>
      <c r="H5" s="1214"/>
      <c r="I5" s="1215">
        <f t="shared" si="0"/>
        <v>0</v>
      </c>
    </row>
    <row r="6" spans="1:9">
      <c r="A6" s="3371"/>
      <c r="B6" s="3372" t="s">
        <v>1056</v>
      </c>
      <c r="C6" s="3372"/>
      <c r="D6" s="1212"/>
      <c r="E6" s="1210"/>
      <c r="F6" s="1213"/>
      <c r="G6" s="1213"/>
      <c r="H6" s="1214"/>
      <c r="I6" s="1215">
        <f t="shared" si="0"/>
        <v>0</v>
      </c>
    </row>
    <row r="7" spans="1:9">
      <c r="A7" s="3371"/>
      <c r="B7" s="3372" t="s">
        <v>1057</v>
      </c>
      <c r="C7" s="3372"/>
      <c r="D7" s="1212"/>
      <c r="E7" s="1210"/>
      <c r="F7" s="1213"/>
      <c r="G7" s="1213"/>
      <c r="H7" s="1214"/>
      <c r="I7" s="1215">
        <f t="shared" si="0"/>
        <v>0</v>
      </c>
    </row>
    <row r="8" spans="1:9">
      <c r="A8" s="3371"/>
      <c r="B8" s="3372" t="s">
        <v>1058</v>
      </c>
      <c r="C8" s="3372"/>
      <c r="D8" s="1212"/>
      <c r="E8" s="1210"/>
      <c r="F8" s="1213"/>
      <c r="G8" s="1213"/>
      <c r="H8" s="1214"/>
      <c r="I8" s="1215">
        <f t="shared" si="0"/>
        <v>0</v>
      </c>
    </row>
    <row r="9" spans="1:9">
      <c r="A9" s="3371"/>
      <c r="B9" s="3372" t="s">
        <v>1059</v>
      </c>
      <c r="C9" s="3372"/>
      <c r="D9" s="1212"/>
      <c r="E9" s="1210"/>
      <c r="F9" s="1213"/>
      <c r="G9" s="1213"/>
      <c r="H9" s="1214"/>
      <c r="I9" s="1215">
        <f t="shared" si="0"/>
        <v>0</v>
      </c>
    </row>
    <row r="10" spans="1:9">
      <c r="A10" s="3371"/>
      <c r="B10" s="3373" t="s">
        <v>1060</v>
      </c>
      <c r="C10" s="3373"/>
      <c r="D10" s="1216"/>
      <c r="E10" s="1216" t="e">
        <f>ROUND(D1*10000/D10/H9,0)</f>
        <v>#DIV/0!</v>
      </c>
      <c r="F10" s="1217"/>
      <c r="G10" s="1217"/>
      <c r="H10" s="1218"/>
      <c r="I10" s="1219">
        <f>SUM(I3:I9)</f>
        <v>0</v>
      </c>
    </row>
    <row r="11" spans="1:9" ht="14.25">
      <c r="A11" s="3371" t="s">
        <v>1061</v>
      </c>
      <c r="B11" s="3372" t="s">
        <v>1062</v>
      </c>
      <c r="C11" s="3372"/>
      <c r="D11" s="1212" t="s">
        <v>1063</v>
      </c>
      <c r="E11" s="1212" t="s">
        <v>1064</v>
      </c>
      <c r="F11" s="1213" t="s">
        <v>1065</v>
      </c>
      <c r="G11" s="1213" t="s">
        <v>1051</v>
      </c>
      <c r="H11" s="1220" t="s">
        <v>1066</v>
      </c>
      <c r="I11" s="1211" t="s">
        <v>1052</v>
      </c>
    </row>
    <row r="12" spans="1:9">
      <c r="A12" s="3371"/>
      <c r="B12" s="3372" t="s">
        <v>1067</v>
      </c>
      <c r="C12" s="3372"/>
      <c r="D12" s="1212"/>
      <c r="E12" s="1212"/>
      <c r="F12" s="1213"/>
      <c r="G12" s="1214"/>
      <c r="H12" s="1221"/>
      <c r="I12" s="1211">
        <f>ROUND(D12*E12*F12*G12/10000,0)</f>
        <v>0</v>
      </c>
    </row>
    <row r="13" spans="1:9">
      <c r="A13" s="3371"/>
      <c r="B13" s="3372" t="s">
        <v>1068</v>
      </c>
      <c r="C13" s="3372"/>
      <c r="D13" s="1212"/>
      <c r="E13" s="1212"/>
      <c r="F13" s="1213"/>
      <c r="G13" s="1214"/>
      <c r="H13" s="1221"/>
      <c r="I13" s="1211">
        <f>ROUND(D13*E13*F13*G13/10000,0)</f>
        <v>0</v>
      </c>
    </row>
    <row r="14" spans="1:9">
      <c r="A14" s="3371"/>
      <c r="B14" s="3372" t="s">
        <v>1069</v>
      </c>
      <c r="C14" s="3372"/>
      <c r="D14" s="1212"/>
      <c r="E14" s="1212"/>
      <c r="F14" s="1213"/>
      <c r="G14" s="1214"/>
      <c r="H14" s="1221"/>
      <c r="I14" s="1211">
        <f>ROUND(D14*E14*F14*G14/10000,0)</f>
        <v>0</v>
      </c>
    </row>
    <row r="15" spans="1:9">
      <c r="A15" s="3371"/>
      <c r="B15" s="3373" t="s">
        <v>1060</v>
      </c>
      <c r="C15" s="3373"/>
      <c r="D15" s="1216"/>
      <c r="E15" s="1216">
        <f>SUM(E12:E14)</f>
        <v>0</v>
      </c>
      <c r="F15" s="1217"/>
      <c r="G15" s="1214"/>
      <c r="H15" s="1221"/>
      <c r="I15" s="1222">
        <f>SUM(I12:I14)</f>
        <v>0</v>
      </c>
    </row>
    <row r="16" spans="1:9" ht="24">
      <c r="A16" s="3371" t="s">
        <v>1070</v>
      </c>
      <c r="B16" s="3372" t="s">
        <v>1071</v>
      </c>
      <c r="C16" s="3372"/>
      <c r="D16" s="1212" t="s">
        <v>1047</v>
      </c>
      <c r="E16" s="1223" t="s">
        <v>1072</v>
      </c>
      <c r="F16" s="1213" t="s">
        <v>1073</v>
      </c>
      <c r="G16" s="1214" t="s">
        <v>1051</v>
      </c>
      <c r="H16" s="1220" t="s">
        <v>1066</v>
      </c>
      <c r="I16" s="1211" t="s">
        <v>1052</v>
      </c>
    </row>
    <row r="17" spans="1:9" ht="14.25">
      <c r="A17" s="3371"/>
      <c r="B17" s="3372" t="s">
        <v>1074</v>
      </c>
      <c r="C17" s="3372"/>
      <c r="D17" s="1212"/>
      <c r="E17" s="1212"/>
      <c r="F17" s="1213"/>
      <c r="G17" s="1214"/>
      <c r="H17" s="1224"/>
      <c r="I17" s="1225">
        <f>ROUND(D17*E17*F17*G17/10000,0)</f>
        <v>0</v>
      </c>
    </row>
    <row r="18" spans="1:9" ht="14.25">
      <c r="A18" s="3371"/>
      <c r="B18" s="3372" t="s">
        <v>1075</v>
      </c>
      <c r="C18" s="3372"/>
      <c r="D18" s="1212"/>
      <c r="E18" s="1212"/>
      <c r="F18" s="1213"/>
      <c r="G18" s="1214"/>
      <c r="H18" s="1224"/>
      <c r="I18" s="1225">
        <f>ROUND(D18*E18*F18*G18/10000,0)</f>
        <v>0</v>
      </c>
    </row>
    <row r="19" spans="1:9" ht="14.25">
      <c r="A19" s="3371"/>
      <c r="B19" s="3372" t="s">
        <v>1076</v>
      </c>
      <c r="C19" s="3372"/>
      <c r="D19" s="1212"/>
      <c r="E19" s="1212"/>
      <c r="F19" s="1213"/>
      <c r="G19" s="1214"/>
      <c r="H19" s="1224"/>
      <c r="I19" s="1225">
        <f>ROUND(D19*E19*F19*G19/10000,0)</f>
        <v>0</v>
      </c>
    </row>
    <row r="20" spans="1:9">
      <c r="A20" s="3371"/>
      <c r="B20" s="3373" t="s">
        <v>1060</v>
      </c>
      <c r="C20" s="3373"/>
      <c r="D20" s="1216">
        <f>SUM(D17:D19)</f>
        <v>0</v>
      </c>
      <c r="E20" s="1216"/>
      <c r="F20" s="1217"/>
      <c r="G20" s="1214"/>
      <c r="H20" s="1221"/>
      <c r="I20" s="1222">
        <f>SUM(I17:I19)</f>
        <v>0</v>
      </c>
    </row>
    <row r="21" spans="1:9">
      <c r="A21" s="3371" t="s">
        <v>1077</v>
      </c>
      <c r="B21" s="3374"/>
      <c r="C21" s="3374"/>
      <c r="D21" s="3374"/>
      <c r="E21" s="3374"/>
      <c r="F21" s="3374"/>
      <c r="G21" s="3374"/>
      <c r="H21" s="1500">
        <v>0.1</v>
      </c>
      <c r="I21" s="1219">
        <f>ROUND(I10*H21,0)</f>
        <v>0</v>
      </c>
    </row>
    <row r="22" spans="1:9" ht="14.25">
      <c r="A22" s="3375" t="s">
        <v>1078</v>
      </c>
      <c r="B22" s="3376"/>
      <c r="C22" s="3377"/>
      <c r="D22" s="1226" t="s">
        <v>1079</v>
      </c>
      <c r="E22" s="1226" t="s">
        <v>1080</v>
      </c>
      <c r="F22" s="1227" t="s">
        <v>1081</v>
      </c>
      <c r="G22" s="1227" t="s">
        <v>1082</v>
      </c>
      <c r="H22" s="1220" t="s">
        <v>1083</v>
      </c>
      <c r="I22" s="1211" t="s">
        <v>1084</v>
      </c>
    </row>
    <row r="23" spans="1:9" ht="14.25" thickBot="1">
      <c r="A23" s="3378"/>
      <c r="B23" s="3379"/>
      <c r="C23" s="3380"/>
      <c r="D23" s="1228"/>
      <c r="E23" s="1228"/>
      <c r="F23" s="1228"/>
      <c r="G23" s="1229"/>
      <c r="H23" s="1230"/>
      <c r="I23" s="1231">
        <f>ROUND(E23*D23*F23*(1-G23)/10000,0)</f>
        <v>0</v>
      </c>
    </row>
    <row r="26" spans="1:9">
      <c r="A26" s="1232" t="s">
        <v>1085</v>
      </c>
      <c r="B26" s="1232"/>
      <c r="C26" s="1232"/>
      <c r="D26" s="1232"/>
      <c r="E26" s="3368">
        <f>C27-C30-C31-C32</f>
        <v>0</v>
      </c>
      <c r="F26" s="3368"/>
      <c r="G26" s="3368"/>
      <c r="H26" s="1497" t="s">
        <v>1306</v>
      </c>
    </row>
    <row r="27" spans="1:9">
      <c r="A27" s="1233">
        <v>1</v>
      </c>
      <c r="B27" s="1234" t="s">
        <v>1086</v>
      </c>
      <c r="C27" s="1234">
        <f>C28+C29</f>
        <v>0</v>
      </c>
      <c r="D27" s="1234"/>
      <c r="E27" s="3369"/>
      <c r="F27" s="3369"/>
      <c r="G27" s="3369"/>
    </row>
    <row r="28" spans="1:9">
      <c r="A28" s="1235" t="s">
        <v>1087</v>
      </c>
      <c r="B28" s="1234" t="s">
        <v>1088</v>
      </c>
      <c r="C28" s="1234"/>
      <c r="D28" s="1234"/>
      <c r="E28" s="3369"/>
      <c r="F28" s="3369"/>
      <c r="G28" s="336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70"/>
      <c r="F32" s="3370"/>
      <c r="G32" s="3370"/>
    </row>
    <row r="33" spans="1:7" hidden="1">
      <c r="A33" s="3365" t="s">
        <v>1097</v>
      </c>
      <c r="B33" s="3366"/>
      <c r="C33" s="3366"/>
      <c r="D33" s="3367"/>
      <c r="E33" s="3368"/>
      <c r="F33" s="3368"/>
      <c r="G33" s="3368"/>
    </row>
    <row r="34" spans="1:7" hidden="1">
      <c r="A34" s="1237">
        <v>1</v>
      </c>
      <c r="B34" s="1234" t="s">
        <v>1098</v>
      </c>
      <c r="C34" s="1234"/>
      <c r="D34" s="1234"/>
      <c r="E34" s="3369"/>
      <c r="F34" s="3369"/>
      <c r="G34" s="3369"/>
    </row>
    <row r="35" spans="1:7" hidden="1">
      <c r="A35" s="1237">
        <v>2</v>
      </c>
      <c r="B35" s="1234" t="s">
        <v>1099</v>
      </c>
      <c r="C35" s="1234"/>
      <c r="D35" s="1234"/>
      <c r="E35" s="3369"/>
      <c r="F35" s="3369"/>
      <c r="G35" s="3369"/>
    </row>
    <row r="36" spans="1:7" hidden="1">
      <c r="A36" s="1237">
        <v>3</v>
      </c>
      <c r="B36" s="1234" t="s">
        <v>1100</v>
      </c>
      <c r="C36" s="1234"/>
      <c r="D36" s="1234"/>
      <c r="E36" s="3369"/>
      <c r="F36" s="3369"/>
      <c r="G36" s="3369"/>
    </row>
    <row r="37" spans="1:7" hidden="1">
      <c r="A37" s="1237">
        <v>4</v>
      </c>
      <c r="B37" s="1234" t="s">
        <v>1101</v>
      </c>
      <c r="C37" s="1234"/>
      <c r="D37" s="1234"/>
      <c r="E37" s="3369"/>
      <c r="F37" s="3369"/>
      <c r="G37" s="3369"/>
    </row>
    <row r="38" spans="1:7" hidden="1">
      <c r="A38" s="3365" t="s">
        <v>1102</v>
      </c>
      <c r="B38" s="3366"/>
      <c r="C38" s="3366"/>
      <c r="D38" s="3367"/>
      <c r="E38" s="3368"/>
      <c r="F38" s="3368"/>
      <c r="G38" s="33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43436.4</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299" t="s">
        <v>2357</v>
      </c>
      <c r="D4" s="3300"/>
      <c r="E4" s="3301" t="s">
        <v>2358</v>
      </c>
      <c r="F4" s="3302"/>
      <c r="G4" s="3299" t="s">
        <v>2359</v>
      </c>
      <c r="H4" s="3300"/>
      <c r="I4" s="3299" t="s">
        <v>2360</v>
      </c>
      <c r="J4" s="3300"/>
      <c r="K4" s="2073" t="s">
        <v>2361</v>
      </c>
      <c r="L4" s="2942"/>
      <c r="M4" s="2943"/>
      <c r="N4" s="2943"/>
      <c r="O4" s="2943"/>
      <c r="P4" s="3337" t="s">
        <v>2362</v>
      </c>
      <c r="Q4" s="3338"/>
      <c r="R4" s="3341" t="s">
        <v>2358</v>
      </c>
      <c r="S4" s="3342"/>
      <c r="T4" s="3341" t="s">
        <v>2359</v>
      </c>
      <c r="U4" s="3342"/>
      <c r="V4" s="3316" t="s">
        <v>2360</v>
      </c>
      <c r="W4" s="3316"/>
      <c r="X4" s="1537"/>
      <c r="Y4" s="3341" t="s">
        <v>2362</v>
      </c>
      <c r="Z4" s="3342"/>
      <c r="AA4" s="3336" t="s">
        <v>2358</v>
      </c>
      <c r="AB4" s="3336" t="s">
        <v>2359</v>
      </c>
      <c r="AC4" s="3336" t="s">
        <v>2360</v>
      </c>
    </row>
    <row r="5" spans="1:29" ht="15">
      <c r="A5" s="364"/>
      <c r="B5" s="365"/>
      <c r="C5" s="3325" t="s">
        <v>2363</v>
      </c>
      <c r="D5" s="3320"/>
      <c r="E5" s="3343" t="s">
        <v>2364</v>
      </c>
      <c r="F5" s="3332"/>
      <c r="G5" s="3325" t="s">
        <v>2365</v>
      </c>
      <c r="H5" s="3320"/>
      <c r="I5" s="3325" t="s">
        <v>2366</v>
      </c>
      <c r="J5" s="3320"/>
      <c r="K5" s="2074"/>
      <c r="L5" s="2942"/>
      <c r="M5" s="2943"/>
      <c r="N5" s="2943"/>
      <c r="O5" s="2943"/>
      <c r="P5" s="3339"/>
      <c r="Q5" s="3306"/>
      <c r="R5" s="3311"/>
      <c r="S5" s="3312"/>
      <c r="T5" s="3311"/>
      <c r="U5" s="3312"/>
      <c r="V5" s="3316"/>
      <c r="W5" s="3316"/>
      <c r="X5" s="1537"/>
      <c r="Y5" s="3311"/>
      <c r="Z5" s="3312"/>
      <c r="AA5" s="3329"/>
      <c r="AB5" s="3329"/>
      <c r="AC5" s="3329"/>
    </row>
    <row r="6" spans="1:29" ht="15.75" thickBot="1">
      <c r="A6" s="366"/>
      <c r="B6" s="367"/>
      <c r="C6" s="3317" t="s">
        <v>2367</v>
      </c>
      <c r="D6" s="3318"/>
      <c r="E6" s="3326" t="s">
        <v>2367</v>
      </c>
      <c r="F6" s="3327"/>
      <c r="G6" s="3317" t="s">
        <v>2367</v>
      </c>
      <c r="H6" s="3318"/>
      <c r="I6" s="3317" t="s">
        <v>2367</v>
      </c>
      <c r="J6" s="3318"/>
      <c r="K6" s="2074" t="s">
        <v>2368</v>
      </c>
      <c r="L6" s="2942"/>
      <c r="M6" s="2943"/>
      <c r="N6" s="2943"/>
      <c r="O6" s="2943"/>
      <c r="P6" s="3340"/>
      <c r="Q6" s="3308"/>
      <c r="R6" s="3311"/>
      <c r="S6" s="3312"/>
      <c r="T6" s="3313"/>
      <c r="U6" s="3314"/>
      <c r="V6" s="3316"/>
      <c r="W6" s="3316"/>
      <c r="X6" s="1537"/>
      <c r="Y6" s="3313"/>
      <c r="Z6" s="3314"/>
      <c r="AA6" s="3330"/>
      <c r="AB6" s="3330"/>
      <c r="AC6" s="3330"/>
    </row>
    <row r="7" spans="1:29" s="113" customFormat="1" ht="15.75" thickBot="1">
      <c r="A7" s="368" t="s">
        <v>2369</v>
      </c>
      <c r="B7" s="369"/>
      <c r="C7" s="370">
        <f>'数据-取费表'!B2</f>
        <v>44561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23" t="s">
        <v>2370</v>
      </c>
      <c r="Q7" s="3324"/>
      <c r="R7" s="709" t="s">
        <v>23</v>
      </c>
      <c r="S7" s="710">
        <f t="shared" ref="S7:S15" si="0">F7</f>
        <v>0</v>
      </c>
      <c r="T7" s="709" t="s">
        <v>23</v>
      </c>
      <c r="U7" s="710">
        <f t="shared" ref="U7:U15" si="1">H7</f>
        <v>0</v>
      </c>
      <c r="V7" s="709" t="s">
        <v>23</v>
      </c>
      <c r="W7" s="710">
        <f t="shared" ref="W7:W15" si="2">J7</f>
        <v>0</v>
      </c>
      <c r="X7" s="711"/>
      <c r="Y7" s="3323" t="s">
        <v>2370</v>
      </c>
      <c r="Z7" s="3322"/>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23" t="s">
        <v>2373</v>
      </c>
      <c r="Q8" s="3322"/>
      <c r="R8" s="709" t="s">
        <v>23</v>
      </c>
      <c r="S8" s="710">
        <f t="shared" si="0"/>
        <v>0</v>
      </c>
      <c r="T8" s="709" t="s">
        <v>23</v>
      </c>
      <c r="U8" s="710">
        <f t="shared" si="1"/>
        <v>0</v>
      </c>
      <c r="V8" s="709" t="s">
        <v>23</v>
      </c>
      <c r="W8" s="710">
        <f t="shared" si="2"/>
        <v>0</v>
      </c>
      <c r="X8" s="711"/>
      <c r="Y8" s="3323" t="s">
        <v>2373</v>
      </c>
      <c r="Z8" s="3322"/>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81" t="s">
        <v>2376</v>
      </c>
      <c r="Q9" s="1525" t="str">
        <f t="shared" ref="Q9:Q15" si="6">B9</f>
        <v>用途</v>
      </c>
      <c r="R9" s="709" t="s">
        <v>17</v>
      </c>
      <c r="S9" s="710">
        <f t="shared" si="0"/>
        <v>100</v>
      </c>
      <c r="T9" s="709" t="s">
        <v>17</v>
      </c>
      <c r="U9" s="710">
        <f t="shared" si="1"/>
        <v>100</v>
      </c>
      <c r="V9" s="709" t="s">
        <v>17</v>
      </c>
      <c r="W9" s="710">
        <f t="shared" si="2"/>
        <v>100</v>
      </c>
      <c r="X9" s="711"/>
      <c r="Y9" s="3185"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81"/>
      <c r="Q10" s="1525" t="str">
        <f t="shared" si="6"/>
        <v>土地使用年限（年）</v>
      </c>
      <c r="R10" s="709" t="s">
        <v>17</v>
      </c>
      <c r="S10" s="710">
        <f t="shared" si="0"/>
        <v>100</v>
      </c>
      <c r="T10" s="709" t="s">
        <v>17</v>
      </c>
      <c r="U10" s="710">
        <f t="shared" si="1"/>
        <v>100</v>
      </c>
      <c r="V10" s="709" t="s">
        <v>17</v>
      </c>
      <c r="W10" s="710">
        <f t="shared" si="2"/>
        <v>100</v>
      </c>
      <c r="X10" s="711"/>
      <c r="Y10" s="3185"/>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81"/>
      <c r="Q11" s="1525" t="str">
        <f t="shared" si="6"/>
        <v>容积率</v>
      </c>
      <c r="R11" s="709" t="s">
        <v>21</v>
      </c>
      <c r="S11" s="710" t="e">
        <f t="shared" si="0"/>
        <v>#N/A</v>
      </c>
      <c r="T11" s="709" t="s">
        <v>21</v>
      </c>
      <c r="U11" s="710" t="e">
        <f t="shared" si="1"/>
        <v>#N/A</v>
      </c>
      <c r="V11" s="709" t="s">
        <v>21</v>
      </c>
      <c r="W11" s="710" t="e">
        <f t="shared" si="2"/>
        <v>#N/A</v>
      </c>
      <c r="X11" s="711"/>
      <c r="Y11" s="3185"/>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81"/>
      <c r="Q12" s="1525">
        <f t="shared" si="6"/>
        <v>111</v>
      </c>
      <c r="R12" s="709" t="s">
        <v>21</v>
      </c>
      <c r="S12" s="710">
        <f t="shared" si="0"/>
        <v>100</v>
      </c>
      <c r="T12" s="709" t="s">
        <v>21</v>
      </c>
      <c r="U12" s="710">
        <f t="shared" si="1"/>
        <v>100</v>
      </c>
      <c r="V12" s="709" t="s">
        <v>21</v>
      </c>
      <c r="W12" s="710">
        <f t="shared" si="2"/>
        <v>100</v>
      </c>
      <c r="X12" s="711"/>
      <c r="Y12" s="3185"/>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81"/>
      <c r="Q13" s="1525">
        <f t="shared" si="6"/>
        <v>111</v>
      </c>
      <c r="R13" s="709" t="s">
        <v>21</v>
      </c>
      <c r="S13" s="710">
        <f t="shared" si="0"/>
        <v>100</v>
      </c>
      <c r="T13" s="709" t="s">
        <v>21</v>
      </c>
      <c r="U13" s="710">
        <f t="shared" si="1"/>
        <v>100</v>
      </c>
      <c r="V13" s="709" t="s">
        <v>21</v>
      </c>
      <c r="W13" s="710">
        <f t="shared" si="2"/>
        <v>100</v>
      </c>
      <c r="X13" s="711"/>
      <c r="Y13" s="3185"/>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81"/>
      <c r="Q14" s="1525">
        <f t="shared" si="6"/>
        <v>111</v>
      </c>
      <c r="R14" s="709" t="s">
        <v>21</v>
      </c>
      <c r="S14" s="710">
        <f t="shared" si="0"/>
        <v>100</v>
      </c>
      <c r="T14" s="709" t="s">
        <v>21</v>
      </c>
      <c r="U14" s="710">
        <f t="shared" si="1"/>
        <v>100</v>
      </c>
      <c r="V14" s="709" t="s">
        <v>21</v>
      </c>
      <c r="W14" s="710">
        <f t="shared" si="2"/>
        <v>100</v>
      </c>
      <c r="X14" s="711"/>
      <c r="Y14" s="3185"/>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87" t="s">
        <v>2381</v>
      </c>
      <c r="Q15" s="1534" t="str">
        <f t="shared" si="6"/>
        <v>居住社区成熟度</v>
      </c>
      <c r="R15" s="713" t="s">
        <v>21</v>
      </c>
      <c r="S15" s="714">
        <f t="shared" si="0"/>
        <v>100</v>
      </c>
      <c r="T15" s="713" t="s">
        <v>21</v>
      </c>
      <c r="U15" s="714">
        <f t="shared" si="1"/>
        <v>100</v>
      </c>
      <c r="V15" s="713" t="s">
        <v>21</v>
      </c>
      <c r="W15" s="714">
        <f t="shared" si="2"/>
        <v>100</v>
      </c>
      <c r="X15" s="1537"/>
      <c r="Y15" s="3289"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288"/>
      <c r="Q16" s="1534"/>
      <c r="R16" s="713"/>
      <c r="S16" s="714"/>
      <c r="T16" s="713"/>
      <c r="U16" s="714"/>
      <c r="V16" s="713"/>
      <c r="W16" s="714"/>
      <c r="X16" s="1537"/>
      <c r="Y16" s="3290"/>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88"/>
      <c r="Q17" s="1534" t="str">
        <f>B17</f>
        <v>交通便捷度</v>
      </c>
      <c r="R17" s="713" t="s">
        <v>21</v>
      </c>
      <c r="S17" s="714">
        <f>F17</f>
        <v>100</v>
      </c>
      <c r="T17" s="713" t="s">
        <v>21</v>
      </c>
      <c r="U17" s="714">
        <f>H17</f>
        <v>100</v>
      </c>
      <c r="V17" s="713" t="s">
        <v>21</v>
      </c>
      <c r="W17" s="714">
        <f>J17</f>
        <v>100</v>
      </c>
      <c r="X17" s="1537"/>
      <c r="Y17" s="3290"/>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288"/>
      <c r="Q18" s="1534"/>
      <c r="R18" s="713"/>
      <c r="S18" s="714"/>
      <c r="T18" s="713"/>
      <c r="U18" s="714"/>
      <c r="V18" s="713"/>
      <c r="W18" s="714"/>
      <c r="X18" s="1537"/>
      <c r="Y18" s="3290"/>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88"/>
      <c r="Q19" s="1534" t="str">
        <f>B19</f>
        <v>公共配套设施</v>
      </c>
      <c r="R19" s="713" t="s">
        <v>21</v>
      </c>
      <c r="S19" s="714">
        <f>F19</f>
        <v>100</v>
      </c>
      <c r="T19" s="713" t="s">
        <v>21</v>
      </c>
      <c r="U19" s="714">
        <f>H19</f>
        <v>100</v>
      </c>
      <c r="V19" s="713" t="s">
        <v>21</v>
      </c>
      <c r="W19" s="714">
        <f>J19</f>
        <v>100</v>
      </c>
      <c r="X19" s="1537"/>
      <c r="Y19" s="3290"/>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288"/>
      <c r="Q20" s="1534"/>
      <c r="R20" s="713"/>
      <c r="S20" s="714"/>
      <c r="T20" s="713"/>
      <c r="U20" s="714"/>
      <c r="V20" s="713"/>
      <c r="W20" s="714"/>
      <c r="X20" s="1537"/>
      <c r="Y20" s="3290"/>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88"/>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288"/>
      <c r="Q22" s="1534"/>
      <c r="R22" s="713"/>
      <c r="S22" s="714"/>
      <c r="T22" s="713"/>
      <c r="U22" s="714"/>
      <c r="V22" s="713"/>
      <c r="W22" s="714"/>
      <c r="X22" s="1537"/>
      <c r="Y22" s="3290"/>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88"/>
      <c r="Q23" s="1534" t="str">
        <f>B23</f>
        <v>自然及人文环境</v>
      </c>
      <c r="R23" s="713" t="s">
        <v>21</v>
      </c>
      <c r="S23" s="714">
        <f>F23</f>
        <v>100</v>
      </c>
      <c r="T23" s="713" t="s">
        <v>21</v>
      </c>
      <c r="U23" s="714">
        <f>H23</f>
        <v>100</v>
      </c>
      <c r="V23" s="713" t="s">
        <v>21</v>
      </c>
      <c r="W23" s="714">
        <f>J23</f>
        <v>100</v>
      </c>
      <c r="X23" s="1537"/>
      <c r="Y23" s="3290"/>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288"/>
      <c r="Q24" s="1534"/>
      <c r="R24" s="713"/>
      <c r="S24" s="714"/>
      <c r="T24" s="713"/>
      <c r="U24" s="714"/>
      <c r="V24" s="713"/>
      <c r="W24" s="714"/>
      <c r="X24" s="1537"/>
      <c r="Y24" s="3290"/>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288"/>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90"/>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288"/>
      <c r="Q26" s="1534" t="str">
        <f t="shared" si="11"/>
        <v>朝向</v>
      </c>
      <c r="R26" s="713" t="s">
        <v>21</v>
      </c>
      <c r="S26" s="714">
        <f t="shared" si="12"/>
        <v>100</v>
      </c>
      <c r="T26" s="713" t="s">
        <v>21</v>
      </c>
      <c r="U26" s="714">
        <f t="shared" si="13"/>
        <v>100</v>
      </c>
      <c r="V26" s="713" t="s">
        <v>21</v>
      </c>
      <c r="W26" s="714">
        <f t="shared" si="14"/>
        <v>100</v>
      </c>
      <c r="X26" s="1537"/>
      <c r="Y26" s="3290"/>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288"/>
      <c r="Q27" s="1525">
        <f t="shared" si="11"/>
        <v>111</v>
      </c>
      <c r="R27" s="709" t="s">
        <v>21</v>
      </c>
      <c r="S27" s="710">
        <f t="shared" si="12"/>
        <v>100</v>
      </c>
      <c r="T27" s="709" t="s">
        <v>21</v>
      </c>
      <c r="U27" s="710">
        <f t="shared" si="13"/>
        <v>100</v>
      </c>
      <c r="V27" s="709" t="s">
        <v>21</v>
      </c>
      <c r="W27" s="710">
        <f t="shared" si="14"/>
        <v>100</v>
      </c>
      <c r="X27" s="711"/>
      <c r="Y27" s="3290"/>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288"/>
      <c r="Q28" s="1534">
        <f t="shared" si="11"/>
        <v>111</v>
      </c>
      <c r="R28" s="713" t="s">
        <v>21</v>
      </c>
      <c r="S28" s="714">
        <f t="shared" si="12"/>
        <v>100</v>
      </c>
      <c r="T28" s="713" t="s">
        <v>21</v>
      </c>
      <c r="U28" s="714">
        <f t="shared" si="13"/>
        <v>100</v>
      </c>
      <c r="V28" s="713" t="s">
        <v>21</v>
      </c>
      <c r="W28" s="714">
        <f t="shared" si="14"/>
        <v>100</v>
      </c>
      <c r="X28" s="1537"/>
      <c r="Y28" s="3290"/>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288"/>
      <c r="Q29" s="1534">
        <f t="shared" si="11"/>
        <v>111</v>
      </c>
      <c r="R29" s="713" t="s">
        <v>21</v>
      </c>
      <c r="S29" s="714">
        <f t="shared" si="12"/>
        <v>100</v>
      </c>
      <c r="T29" s="713" t="s">
        <v>21</v>
      </c>
      <c r="U29" s="714">
        <f t="shared" si="13"/>
        <v>100</v>
      </c>
      <c r="V29" s="713" t="s">
        <v>21</v>
      </c>
      <c r="W29" s="714">
        <f t="shared" si="14"/>
        <v>100</v>
      </c>
      <c r="X29" s="1537"/>
      <c r="Y29" s="3290"/>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288"/>
      <c r="Q30" s="1534">
        <f t="shared" si="11"/>
        <v>111</v>
      </c>
      <c r="R30" s="713" t="s">
        <v>21</v>
      </c>
      <c r="S30" s="714">
        <f t="shared" si="12"/>
        <v>100</v>
      </c>
      <c r="T30" s="713" t="s">
        <v>21</v>
      </c>
      <c r="U30" s="714">
        <f t="shared" si="13"/>
        <v>100</v>
      </c>
      <c r="V30" s="713" t="s">
        <v>21</v>
      </c>
      <c r="W30" s="714">
        <f t="shared" si="14"/>
        <v>100</v>
      </c>
      <c r="X30" s="1537"/>
      <c r="Y30" s="3290"/>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288"/>
      <c r="Q31" s="1534">
        <f t="shared" si="11"/>
        <v>111</v>
      </c>
      <c r="R31" s="713" t="s">
        <v>21</v>
      </c>
      <c r="S31" s="714">
        <f t="shared" si="12"/>
        <v>100</v>
      </c>
      <c r="T31" s="713" t="s">
        <v>21</v>
      </c>
      <c r="U31" s="714">
        <f t="shared" si="13"/>
        <v>100</v>
      </c>
      <c r="V31" s="713" t="s">
        <v>21</v>
      </c>
      <c r="W31" s="714">
        <f t="shared" si="14"/>
        <v>100</v>
      </c>
      <c r="X31" s="1537"/>
      <c r="Y31" s="3290"/>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291" t="s">
        <v>2386</v>
      </c>
      <c r="Q32" s="1534" t="str">
        <f t="shared" si="11"/>
        <v>建筑类型</v>
      </c>
      <c r="R32" s="713" t="s">
        <v>21</v>
      </c>
      <c r="S32" s="714">
        <f t="shared" si="12"/>
        <v>100</v>
      </c>
      <c r="T32" s="713" t="s">
        <v>21</v>
      </c>
      <c r="U32" s="714">
        <f t="shared" si="13"/>
        <v>100</v>
      </c>
      <c r="V32" s="713" t="s">
        <v>21</v>
      </c>
      <c r="W32" s="714">
        <f t="shared" si="14"/>
        <v>100</v>
      </c>
      <c r="X32" s="1537"/>
      <c r="Y32" s="3294"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292"/>
      <c r="Q33" s="715" t="str">
        <f t="shared" si="11"/>
        <v>项目建筑规模</v>
      </c>
      <c r="R33" s="716" t="s">
        <v>21</v>
      </c>
      <c r="S33" s="717" t="e">
        <f t="shared" si="12"/>
        <v>#N/A</v>
      </c>
      <c r="T33" s="716" t="s">
        <v>21</v>
      </c>
      <c r="U33" s="717" t="e">
        <f t="shared" si="13"/>
        <v>#N/A</v>
      </c>
      <c r="V33" s="716" t="s">
        <v>21</v>
      </c>
      <c r="W33" s="717" t="e">
        <f t="shared" si="14"/>
        <v>#N/A</v>
      </c>
      <c r="X33" s="718"/>
      <c r="Y33" s="3294"/>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292"/>
      <c r="Q34" s="1534" t="str">
        <f t="shared" si="11"/>
        <v>建筑结构</v>
      </c>
      <c r="R34" s="713" t="s">
        <v>21</v>
      </c>
      <c r="S34" s="714">
        <f t="shared" si="12"/>
        <v>100</v>
      </c>
      <c r="T34" s="713" t="s">
        <v>21</v>
      </c>
      <c r="U34" s="714">
        <f t="shared" si="13"/>
        <v>100</v>
      </c>
      <c r="V34" s="713" t="s">
        <v>21</v>
      </c>
      <c r="W34" s="714">
        <f t="shared" si="14"/>
        <v>100</v>
      </c>
      <c r="X34" s="1537"/>
      <c r="Y34" s="3294"/>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292"/>
      <c r="Q35" s="1534" t="str">
        <f t="shared" si="11"/>
        <v>建筑品质</v>
      </c>
      <c r="R35" s="713" t="s">
        <v>21</v>
      </c>
      <c r="S35" s="714">
        <f t="shared" si="12"/>
        <v>100</v>
      </c>
      <c r="T35" s="713" t="s">
        <v>21</v>
      </c>
      <c r="U35" s="714">
        <f t="shared" si="13"/>
        <v>100</v>
      </c>
      <c r="V35" s="713" t="s">
        <v>21</v>
      </c>
      <c r="W35" s="714">
        <f t="shared" si="14"/>
        <v>100</v>
      </c>
      <c r="X35" s="1537"/>
      <c r="Y35" s="3294"/>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292"/>
      <c r="Q36" s="1534" t="str">
        <f t="shared" si="11"/>
        <v>公共部分装修</v>
      </c>
      <c r="R36" s="713" t="s">
        <v>21</v>
      </c>
      <c r="S36" s="714">
        <f t="shared" si="12"/>
        <v>100</v>
      </c>
      <c r="T36" s="713" t="s">
        <v>21</v>
      </c>
      <c r="U36" s="714">
        <f t="shared" si="13"/>
        <v>100</v>
      </c>
      <c r="V36" s="713" t="s">
        <v>21</v>
      </c>
      <c r="W36" s="714">
        <f t="shared" si="14"/>
        <v>100</v>
      </c>
      <c r="X36" s="1537"/>
      <c r="Y36" s="3294"/>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92"/>
      <c r="Q37" s="1525" t="str">
        <f t="shared" si="11"/>
        <v>成新度</v>
      </c>
      <c r="R37" s="709" t="s">
        <v>21</v>
      </c>
      <c r="S37" s="710" t="e">
        <f t="shared" si="12"/>
        <v>#N/A</v>
      </c>
      <c r="T37" s="709" t="s">
        <v>21</v>
      </c>
      <c r="U37" s="710" t="e">
        <f t="shared" si="13"/>
        <v>#N/A</v>
      </c>
      <c r="V37" s="709" t="s">
        <v>21</v>
      </c>
      <c r="W37" s="710" t="e">
        <f t="shared" si="14"/>
        <v>#N/A</v>
      </c>
      <c r="X37" s="711"/>
      <c r="Y37" s="3294"/>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292" t="s">
        <v>2386</v>
      </c>
      <c r="Q38" s="1534" t="str">
        <f t="shared" si="11"/>
        <v>物业管理</v>
      </c>
      <c r="R38" s="713" t="s">
        <v>21</v>
      </c>
      <c r="S38" s="714">
        <f t="shared" si="12"/>
        <v>100</v>
      </c>
      <c r="T38" s="713" t="s">
        <v>21</v>
      </c>
      <c r="U38" s="714">
        <f t="shared" si="13"/>
        <v>100</v>
      </c>
      <c r="V38" s="713" t="s">
        <v>21</v>
      </c>
      <c r="W38" s="714">
        <f t="shared" si="14"/>
        <v>100</v>
      </c>
      <c r="X38" s="1537"/>
      <c r="Y38" s="3294"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292"/>
      <c r="Q39" s="1534" t="str">
        <f t="shared" si="11"/>
        <v>市政基础设施</v>
      </c>
      <c r="R39" s="713" t="s">
        <v>21</v>
      </c>
      <c r="S39" s="714">
        <f t="shared" si="12"/>
        <v>100</v>
      </c>
      <c r="T39" s="713" t="s">
        <v>21</v>
      </c>
      <c r="U39" s="714">
        <f t="shared" si="13"/>
        <v>100</v>
      </c>
      <c r="V39" s="713" t="s">
        <v>21</v>
      </c>
      <c r="W39" s="714">
        <f t="shared" si="14"/>
        <v>100</v>
      </c>
      <c r="X39" s="1537"/>
      <c r="Y39" s="3294"/>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292"/>
      <c r="Q40" s="1534" t="str">
        <f t="shared" si="11"/>
        <v>房型</v>
      </c>
      <c r="R40" s="713" t="s">
        <v>21</v>
      </c>
      <c r="S40" s="714">
        <f t="shared" si="12"/>
        <v>100</v>
      </c>
      <c r="T40" s="713" t="s">
        <v>21</v>
      </c>
      <c r="U40" s="714">
        <f t="shared" si="13"/>
        <v>100</v>
      </c>
      <c r="V40" s="713" t="s">
        <v>21</v>
      </c>
      <c r="W40" s="714">
        <f t="shared" si="14"/>
        <v>100</v>
      </c>
      <c r="X40" s="1537"/>
      <c r="Y40" s="3294"/>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292"/>
      <c r="Q41" s="715" t="str">
        <f t="shared" si="11"/>
        <v>单套/主力户型建筑面积</v>
      </c>
      <c r="R41" s="716" t="s">
        <v>21</v>
      </c>
      <c r="S41" s="717">
        <f t="shared" si="12"/>
        <v>100</v>
      </c>
      <c r="T41" s="716" t="s">
        <v>21</v>
      </c>
      <c r="U41" s="717">
        <f t="shared" si="13"/>
        <v>100</v>
      </c>
      <c r="V41" s="716" t="s">
        <v>21</v>
      </c>
      <c r="W41" s="717">
        <f t="shared" si="14"/>
        <v>100</v>
      </c>
      <c r="X41" s="718"/>
      <c r="Y41" s="3294"/>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292"/>
      <c r="Q42" s="1534" t="str">
        <f t="shared" si="11"/>
        <v>内部装修</v>
      </c>
      <c r="R42" s="713" t="s">
        <v>21</v>
      </c>
      <c r="S42" s="714">
        <f t="shared" si="12"/>
        <v>100</v>
      </c>
      <c r="T42" s="713" t="s">
        <v>21</v>
      </c>
      <c r="U42" s="714">
        <f t="shared" si="13"/>
        <v>100</v>
      </c>
      <c r="V42" s="713" t="s">
        <v>21</v>
      </c>
      <c r="W42" s="714">
        <f t="shared" si="14"/>
        <v>100</v>
      </c>
      <c r="X42" s="1537"/>
      <c r="Y42" s="3294"/>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292"/>
      <c r="Q43" s="1534" t="str">
        <f t="shared" si="11"/>
        <v>内部装修维护情况</v>
      </c>
      <c r="R43" s="713" t="s">
        <v>21</v>
      </c>
      <c r="S43" s="714">
        <f t="shared" si="12"/>
        <v>100</v>
      </c>
      <c r="T43" s="713" t="s">
        <v>21</v>
      </c>
      <c r="U43" s="714">
        <f t="shared" si="13"/>
        <v>100</v>
      </c>
      <c r="V43" s="713" t="s">
        <v>21</v>
      </c>
      <c r="W43" s="714">
        <f t="shared" si="14"/>
        <v>100</v>
      </c>
      <c r="X43" s="1537"/>
      <c r="Y43" s="3294"/>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292"/>
      <c r="Q44" s="1525">
        <f t="shared" si="11"/>
        <v>111</v>
      </c>
      <c r="R44" s="709" t="s">
        <v>21</v>
      </c>
      <c r="S44" s="710">
        <f t="shared" si="12"/>
        <v>100</v>
      </c>
      <c r="T44" s="709" t="s">
        <v>21</v>
      </c>
      <c r="U44" s="710">
        <f t="shared" si="13"/>
        <v>100</v>
      </c>
      <c r="V44" s="709" t="s">
        <v>21</v>
      </c>
      <c r="W44" s="710">
        <f t="shared" si="14"/>
        <v>100</v>
      </c>
      <c r="X44" s="711"/>
      <c r="Y44" s="3294"/>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292"/>
      <c r="Q45" s="1534">
        <f t="shared" si="11"/>
        <v>111</v>
      </c>
      <c r="R45" s="713" t="s">
        <v>21</v>
      </c>
      <c r="S45" s="714">
        <f t="shared" si="12"/>
        <v>100</v>
      </c>
      <c r="T45" s="713" t="s">
        <v>21</v>
      </c>
      <c r="U45" s="714">
        <f t="shared" si="13"/>
        <v>100</v>
      </c>
      <c r="V45" s="713" t="s">
        <v>21</v>
      </c>
      <c r="W45" s="714">
        <f t="shared" si="14"/>
        <v>100</v>
      </c>
      <c r="X45" s="1537"/>
      <c r="Y45" s="3294"/>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293"/>
      <c r="Q46" s="1534">
        <f t="shared" si="11"/>
        <v>111</v>
      </c>
      <c r="R46" s="713" t="s">
        <v>20</v>
      </c>
      <c r="S46" s="714">
        <f t="shared" si="12"/>
        <v>100</v>
      </c>
      <c r="T46" s="713" t="s">
        <v>20</v>
      </c>
      <c r="U46" s="714">
        <f t="shared" si="13"/>
        <v>100</v>
      </c>
      <c r="V46" s="713" t="s">
        <v>20</v>
      </c>
      <c r="W46" s="714">
        <f t="shared" si="14"/>
        <v>100</v>
      </c>
      <c r="X46" s="1537"/>
      <c r="Y46" s="3295"/>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282" t="str">
        <f>A47</f>
        <v>成交单价（元/平方米）</v>
      </c>
      <c r="Q47" s="3282"/>
      <c r="R47" s="3283">
        <f>E47</f>
        <v>0</v>
      </c>
      <c r="S47" s="3283"/>
      <c r="T47" s="3283">
        <f>G47</f>
        <v>0</v>
      </c>
      <c r="U47" s="3283"/>
      <c r="V47" s="3283">
        <f>I47</f>
        <v>0</v>
      </c>
      <c r="W47" s="3283"/>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6" t="str">
        <f>YEAR(C7)&amp;"-"&amp;MONTH(C7)</f>
        <v>2021-12</v>
      </c>
      <c r="D58" s="1345">
        <f>EDATE(C58,-1)</f>
        <v>44501</v>
      </c>
      <c r="E58" s="1345">
        <f>EDATE(D58,-1)</f>
        <v>44470</v>
      </c>
      <c r="F58" s="1345">
        <f t="shared" ref="F58:O58" si="19">EDATE(E58,-1)</f>
        <v>44440</v>
      </c>
      <c r="G58" s="1345">
        <f t="shared" si="19"/>
        <v>44409</v>
      </c>
      <c r="H58" s="1345">
        <f t="shared" si="19"/>
        <v>44378</v>
      </c>
      <c r="I58" s="1345">
        <f t="shared" si="19"/>
        <v>44348</v>
      </c>
      <c r="J58" s="1345">
        <f t="shared" si="19"/>
        <v>44317</v>
      </c>
      <c r="K58" s="1345">
        <f t="shared" si="19"/>
        <v>44287</v>
      </c>
      <c r="L58" s="1345">
        <f t="shared" si="19"/>
        <v>44256</v>
      </c>
      <c r="M58" s="1345">
        <f t="shared" si="19"/>
        <v>44228</v>
      </c>
      <c r="N58" s="1345">
        <f t="shared" si="19"/>
        <v>44197</v>
      </c>
      <c r="O58" s="1345">
        <f t="shared" si="19"/>
        <v>44166</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43436.4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99" t="s">
        <v>2467</v>
      </c>
      <c r="D4" s="3300"/>
      <c r="E4" s="3301" t="s">
        <v>2468</v>
      </c>
      <c r="F4" s="3302"/>
      <c r="G4" s="3299" t="s">
        <v>2469</v>
      </c>
      <c r="H4" s="3300"/>
      <c r="I4" s="3299" t="s">
        <v>2470</v>
      </c>
      <c r="J4" s="3300"/>
      <c r="K4" s="567" t="s">
        <v>2471</v>
      </c>
      <c r="L4" s="1043"/>
      <c r="M4" s="1044"/>
      <c r="N4" s="1044"/>
      <c r="O4" s="1044"/>
      <c r="P4" s="3337" t="s">
        <v>2472</v>
      </c>
      <c r="Q4" s="3338"/>
      <c r="R4" s="3341" t="s">
        <v>2468</v>
      </c>
      <c r="S4" s="3342"/>
      <c r="T4" s="3341" t="s">
        <v>2469</v>
      </c>
      <c r="U4" s="3342"/>
      <c r="V4" s="3316" t="s">
        <v>2470</v>
      </c>
      <c r="W4" s="3316"/>
      <c r="X4" s="1537"/>
      <c r="Y4" s="3341" t="s">
        <v>2472</v>
      </c>
      <c r="Z4" s="3342"/>
      <c r="AA4" s="3336" t="s">
        <v>2468</v>
      </c>
      <c r="AB4" s="3329" t="s">
        <v>2469</v>
      </c>
      <c r="AC4" s="3336" t="s">
        <v>2470</v>
      </c>
    </row>
    <row r="5" spans="1:29" ht="15">
      <c r="A5" s="364"/>
      <c r="B5" s="365"/>
      <c r="C5" s="3325" t="s">
        <v>2363</v>
      </c>
      <c r="D5" s="3320"/>
      <c r="E5" s="3343" t="s">
        <v>2364</v>
      </c>
      <c r="F5" s="3332"/>
      <c r="G5" s="3325" t="s">
        <v>2365</v>
      </c>
      <c r="H5" s="3320"/>
      <c r="I5" s="3325" t="s">
        <v>2366</v>
      </c>
      <c r="J5" s="3320"/>
      <c r="K5" s="567"/>
      <c r="L5" s="1043"/>
      <c r="M5" s="1044"/>
      <c r="N5" s="1044"/>
      <c r="O5" s="1044"/>
      <c r="P5" s="3339"/>
      <c r="Q5" s="3306"/>
      <c r="R5" s="3311"/>
      <c r="S5" s="3312"/>
      <c r="T5" s="3311"/>
      <c r="U5" s="3312"/>
      <c r="V5" s="3316"/>
      <c r="W5" s="3316"/>
      <c r="X5" s="1537"/>
      <c r="Y5" s="3311"/>
      <c r="Z5" s="3312"/>
      <c r="AA5" s="3329"/>
      <c r="AB5" s="3329"/>
      <c r="AC5" s="3329"/>
    </row>
    <row r="6" spans="1:29" ht="15.75" thickBot="1">
      <c r="A6" s="366"/>
      <c r="B6" s="367"/>
      <c r="C6" s="3317" t="s">
        <v>2367</v>
      </c>
      <c r="D6" s="3318"/>
      <c r="E6" s="3326" t="s">
        <v>2367</v>
      </c>
      <c r="F6" s="3327"/>
      <c r="G6" s="3317" t="s">
        <v>2367</v>
      </c>
      <c r="H6" s="3318"/>
      <c r="I6" s="3317" t="s">
        <v>2367</v>
      </c>
      <c r="J6" s="3318"/>
      <c r="K6" s="567" t="s">
        <v>2368</v>
      </c>
      <c r="L6" s="1043"/>
      <c r="M6" s="1044"/>
      <c r="N6" s="1044"/>
      <c r="O6" s="1044"/>
      <c r="P6" s="3340"/>
      <c r="Q6" s="3308"/>
      <c r="R6" s="3311"/>
      <c r="S6" s="3312"/>
      <c r="T6" s="3313"/>
      <c r="U6" s="3314"/>
      <c r="V6" s="3316"/>
      <c r="W6" s="3316"/>
      <c r="X6" s="1537"/>
      <c r="Y6" s="3313"/>
      <c r="Z6" s="3314"/>
      <c r="AA6" s="3330"/>
      <c r="AB6" s="3330"/>
      <c r="AC6" s="3330"/>
    </row>
    <row r="7" spans="1:29" s="113" customFormat="1" ht="15.75" thickBot="1">
      <c r="A7" s="368" t="s">
        <v>2369</v>
      </c>
      <c r="B7" s="369"/>
      <c r="C7" s="370">
        <f>'数据-取费表'!B2</f>
        <v>44561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23" t="s">
        <v>2370</v>
      </c>
      <c r="Q7" s="3324"/>
      <c r="R7" s="709" t="s">
        <v>17</v>
      </c>
      <c r="S7" s="710">
        <f t="shared" ref="S7:S15" si="0">F7</f>
        <v>0</v>
      </c>
      <c r="T7" s="709" t="s">
        <v>17</v>
      </c>
      <c r="U7" s="710">
        <f t="shared" ref="U7:U15" si="1">H7</f>
        <v>0</v>
      </c>
      <c r="V7" s="709" t="s">
        <v>17</v>
      </c>
      <c r="W7" s="710">
        <f t="shared" ref="W7:W15" si="2">J7</f>
        <v>0</v>
      </c>
      <c r="X7" s="711"/>
      <c r="Y7" s="3323" t="s">
        <v>2370</v>
      </c>
      <c r="Z7" s="3322"/>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23" t="s">
        <v>2373</v>
      </c>
      <c r="Q8" s="3322"/>
      <c r="R8" s="709" t="s">
        <v>17</v>
      </c>
      <c r="S8" s="710">
        <f t="shared" si="0"/>
        <v>0</v>
      </c>
      <c r="T8" s="709" t="s">
        <v>17</v>
      </c>
      <c r="U8" s="710">
        <f t="shared" si="1"/>
        <v>0</v>
      </c>
      <c r="V8" s="709" t="s">
        <v>17</v>
      </c>
      <c r="W8" s="710">
        <f t="shared" si="2"/>
        <v>0</v>
      </c>
      <c r="X8" s="711"/>
      <c r="Y8" s="3323" t="s">
        <v>2373</v>
      </c>
      <c r="Z8" s="3322"/>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82" t="s">
        <v>2376</v>
      </c>
      <c r="Q9" s="1525" t="str">
        <f t="shared" ref="Q9:Q15" si="6">B9</f>
        <v>用途</v>
      </c>
      <c r="R9" s="709" t="s">
        <v>17</v>
      </c>
      <c r="S9" s="710">
        <f t="shared" si="0"/>
        <v>100</v>
      </c>
      <c r="T9" s="709" t="s">
        <v>17</v>
      </c>
      <c r="U9" s="710">
        <f t="shared" si="1"/>
        <v>100</v>
      </c>
      <c r="V9" s="709" t="s">
        <v>17</v>
      </c>
      <c r="W9" s="710">
        <f t="shared" si="2"/>
        <v>100</v>
      </c>
      <c r="X9" s="711"/>
      <c r="Y9" s="3185"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82"/>
      <c r="Q10" s="1525" t="str">
        <f t="shared" si="6"/>
        <v>土地使用年限（年）</v>
      </c>
      <c r="R10" s="709" t="s">
        <v>17</v>
      </c>
      <c r="S10" s="710">
        <f t="shared" si="0"/>
        <v>100</v>
      </c>
      <c r="T10" s="709" t="s">
        <v>17</v>
      </c>
      <c r="U10" s="710">
        <f t="shared" si="1"/>
        <v>100</v>
      </c>
      <c r="V10" s="709" t="s">
        <v>17</v>
      </c>
      <c r="W10" s="710">
        <f t="shared" si="2"/>
        <v>100</v>
      </c>
      <c r="X10" s="711"/>
      <c r="Y10" s="3185"/>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82"/>
      <c r="Q11" s="1525" t="str">
        <f t="shared" si="6"/>
        <v>容积率</v>
      </c>
      <c r="R11" s="709" t="s">
        <v>17</v>
      </c>
      <c r="S11" s="710" t="e">
        <f t="shared" si="0"/>
        <v>#N/A</v>
      </c>
      <c r="T11" s="709" t="s">
        <v>17</v>
      </c>
      <c r="U11" s="710" t="e">
        <f t="shared" si="1"/>
        <v>#N/A</v>
      </c>
      <c r="V11" s="709" t="s">
        <v>17</v>
      </c>
      <c r="W11" s="710" t="e">
        <f t="shared" si="2"/>
        <v>#N/A</v>
      </c>
      <c r="X11" s="711"/>
      <c r="Y11" s="3185"/>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282"/>
      <c r="Q12" s="1525">
        <f t="shared" si="6"/>
        <v>111</v>
      </c>
      <c r="R12" s="709" t="s">
        <v>17</v>
      </c>
      <c r="S12" s="710">
        <f t="shared" si="0"/>
        <v>100</v>
      </c>
      <c r="T12" s="709" t="s">
        <v>17</v>
      </c>
      <c r="U12" s="710">
        <f t="shared" si="1"/>
        <v>100</v>
      </c>
      <c r="V12" s="709" t="s">
        <v>17</v>
      </c>
      <c r="W12" s="710">
        <f t="shared" si="2"/>
        <v>100</v>
      </c>
      <c r="X12" s="711"/>
      <c r="Y12" s="3185"/>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282"/>
      <c r="Q13" s="1525">
        <f t="shared" si="6"/>
        <v>111</v>
      </c>
      <c r="R13" s="709" t="s">
        <v>17</v>
      </c>
      <c r="S13" s="710">
        <f t="shared" si="0"/>
        <v>100</v>
      </c>
      <c r="T13" s="709" t="s">
        <v>17</v>
      </c>
      <c r="U13" s="710">
        <f t="shared" si="1"/>
        <v>100</v>
      </c>
      <c r="V13" s="709" t="s">
        <v>17</v>
      </c>
      <c r="W13" s="710">
        <f t="shared" si="2"/>
        <v>100</v>
      </c>
      <c r="X13" s="711"/>
      <c r="Y13" s="3185"/>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282"/>
      <c r="Q14" s="1525">
        <f t="shared" si="6"/>
        <v>111</v>
      </c>
      <c r="R14" s="709" t="s">
        <v>17</v>
      </c>
      <c r="S14" s="710">
        <f t="shared" si="0"/>
        <v>100</v>
      </c>
      <c r="T14" s="709" t="s">
        <v>17</v>
      </c>
      <c r="U14" s="710">
        <f t="shared" si="1"/>
        <v>100</v>
      </c>
      <c r="V14" s="709" t="s">
        <v>17</v>
      </c>
      <c r="W14" s="710">
        <f t="shared" si="2"/>
        <v>100</v>
      </c>
      <c r="X14" s="711"/>
      <c r="Y14" s="3185"/>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89" t="s">
        <v>2381</v>
      </c>
      <c r="Q15" s="1534" t="str">
        <f t="shared" si="6"/>
        <v>产业集聚程度</v>
      </c>
      <c r="R15" s="713" t="s">
        <v>17</v>
      </c>
      <c r="S15" s="714">
        <f t="shared" si="0"/>
        <v>100</v>
      </c>
      <c r="T15" s="713" t="s">
        <v>17</v>
      </c>
      <c r="U15" s="714">
        <f t="shared" si="1"/>
        <v>100</v>
      </c>
      <c r="V15" s="713" t="s">
        <v>17</v>
      </c>
      <c r="W15" s="714">
        <f t="shared" si="2"/>
        <v>100</v>
      </c>
      <c r="X15" s="1537"/>
      <c r="Y15" s="3289"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290"/>
      <c r="Q16" s="1534"/>
      <c r="R16" s="713"/>
      <c r="S16" s="714"/>
      <c r="T16" s="713"/>
      <c r="U16" s="714"/>
      <c r="V16" s="713"/>
      <c r="W16" s="714"/>
      <c r="X16" s="1537"/>
      <c r="Y16" s="3290"/>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90"/>
      <c r="Q17" s="1534" t="str">
        <f>B17</f>
        <v>交通便捷度</v>
      </c>
      <c r="R17" s="713" t="s">
        <v>17</v>
      </c>
      <c r="S17" s="714">
        <f>F17</f>
        <v>100</v>
      </c>
      <c r="T17" s="713" t="s">
        <v>17</v>
      </c>
      <c r="U17" s="714">
        <f>H17</f>
        <v>100</v>
      </c>
      <c r="V17" s="713" t="s">
        <v>17</v>
      </c>
      <c r="W17" s="714">
        <f>J17</f>
        <v>100</v>
      </c>
      <c r="X17" s="1537"/>
      <c r="Y17" s="3290"/>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290"/>
      <c r="Q18" s="1534"/>
      <c r="R18" s="713"/>
      <c r="S18" s="714"/>
      <c r="T18" s="713"/>
      <c r="U18" s="714"/>
      <c r="V18" s="713"/>
      <c r="W18" s="714"/>
      <c r="X18" s="1537"/>
      <c r="Y18" s="3290"/>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90"/>
      <c r="Q19" s="1534" t="str">
        <f>B19</f>
        <v>公共配套设施</v>
      </c>
      <c r="R19" s="713" t="s">
        <v>17</v>
      </c>
      <c r="S19" s="714">
        <f>F19</f>
        <v>100</v>
      </c>
      <c r="T19" s="713" t="s">
        <v>17</v>
      </c>
      <c r="U19" s="714">
        <f>H19</f>
        <v>100</v>
      </c>
      <c r="V19" s="713" t="s">
        <v>17</v>
      </c>
      <c r="W19" s="714">
        <f>J19</f>
        <v>100</v>
      </c>
      <c r="X19" s="1537"/>
      <c r="Y19" s="3290"/>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290"/>
      <c r="Q20" s="1534"/>
      <c r="R20" s="713"/>
      <c r="S20" s="714"/>
      <c r="T20" s="713"/>
      <c r="U20" s="714"/>
      <c r="V20" s="713"/>
      <c r="W20" s="714"/>
      <c r="X20" s="1537"/>
      <c r="Y20" s="3290"/>
      <c r="Z20" s="1538"/>
      <c r="AA20" s="1535">
        <v>1</v>
      </c>
      <c r="AB20" s="1535">
        <v>1</v>
      </c>
      <c r="AC20" s="1535">
        <v>1</v>
      </c>
    </row>
    <row r="21" spans="1:29" ht="28.5">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90"/>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290"/>
      <c r="Q22" s="1534"/>
      <c r="R22" s="713"/>
      <c r="S22" s="714"/>
      <c r="T22" s="713"/>
      <c r="U22" s="714"/>
      <c r="V22" s="713"/>
      <c r="W22" s="714"/>
      <c r="X22" s="1537"/>
      <c r="Y22" s="3290"/>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90"/>
      <c r="Q23" s="1534" t="str">
        <f>B23</f>
        <v>环境质量</v>
      </c>
      <c r="R23" s="713" t="s">
        <v>17</v>
      </c>
      <c r="S23" s="714">
        <f>F23</f>
        <v>100</v>
      </c>
      <c r="T23" s="713" t="s">
        <v>17</v>
      </c>
      <c r="U23" s="714">
        <f>H23</f>
        <v>100</v>
      </c>
      <c r="V23" s="713" t="s">
        <v>17</v>
      </c>
      <c r="W23" s="714">
        <f>J23</f>
        <v>100</v>
      </c>
      <c r="X23" s="1537"/>
      <c r="Y23" s="3290"/>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290"/>
      <c r="Q24" s="1534"/>
      <c r="R24" s="713"/>
      <c r="S24" s="714"/>
      <c r="T24" s="713"/>
      <c r="U24" s="714"/>
      <c r="V24" s="713"/>
      <c r="W24" s="714"/>
      <c r="X24" s="1537"/>
      <c r="Y24" s="3290"/>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90"/>
      <c r="Q25" s="1534">
        <f>B25</f>
        <v>111</v>
      </c>
      <c r="R25" s="713" t="s">
        <v>17</v>
      </c>
      <c r="S25" s="714">
        <f>F25</f>
        <v>100</v>
      </c>
      <c r="T25" s="713" t="s">
        <v>17</v>
      </c>
      <c r="U25" s="714">
        <f>H25</f>
        <v>100</v>
      </c>
      <c r="V25" s="713" t="s">
        <v>17</v>
      </c>
      <c r="W25" s="714">
        <f>J25</f>
        <v>100</v>
      </c>
      <c r="X25" s="1537"/>
      <c r="Y25" s="3290"/>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90"/>
      <c r="Q26" s="1534">
        <f t="shared" ref="Q26:Q40" si="11">B26</f>
        <v>111</v>
      </c>
      <c r="R26" s="713" t="s">
        <v>17</v>
      </c>
      <c r="S26" s="714">
        <f>F26</f>
        <v>100</v>
      </c>
      <c r="T26" s="713" t="s">
        <v>17</v>
      </c>
      <c r="U26" s="714">
        <f>H26</f>
        <v>100</v>
      </c>
      <c r="V26" s="713" t="s">
        <v>17</v>
      </c>
      <c r="W26" s="714">
        <f>J26</f>
        <v>100</v>
      </c>
      <c r="X26" s="1537"/>
      <c r="Y26" s="3290"/>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90"/>
      <c r="Q27" s="1525">
        <f t="shared" si="11"/>
        <v>111</v>
      </c>
      <c r="R27" s="709" t="s">
        <v>17</v>
      </c>
      <c r="S27" s="710">
        <f>F27</f>
        <v>100</v>
      </c>
      <c r="T27" s="709" t="s">
        <v>17</v>
      </c>
      <c r="U27" s="710">
        <f>H27</f>
        <v>100</v>
      </c>
      <c r="V27" s="709" t="s">
        <v>17</v>
      </c>
      <c r="W27" s="710">
        <f>J27</f>
        <v>100</v>
      </c>
      <c r="X27" s="711"/>
      <c r="Y27" s="3290"/>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90"/>
      <c r="Q28" s="1534">
        <f t="shared" si="11"/>
        <v>111</v>
      </c>
      <c r="R28" s="713" t="s">
        <v>17</v>
      </c>
      <c r="S28" s="714">
        <f t="shared" ref="S28:S40" si="12">F28</f>
        <v>100</v>
      </c>
      <c r="T28" s="713" t="s">
        <v>17</v>
      </c>
      <c r="U28" s="714">
        <f t="shared" ref="U28:U40" si="13">H28</f>
        <v>100</v>
      </c>
      <c r="V28" s="713" t="s">
        <v>17</v>
      </c>
      <c r="W28" s="714">
        <f t="shared" ref="W28:W40" si="14">J28</f>
        <v>100</v>
      </c>
      <c r="X28" s="1537"/>
      <c r="Y28" s="3290"/>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57" t="s">
        <v>2386</v>
      </c>
      <c r="Q29" s="1534" t="str">
        <f t="shared" si="11"/>
        <v>建筑类型</v>
      </c>
      <c r="R29" s="713" t="s">
        <v>17</v>
      </c>
      <c r="S29" s="714">
        <f t="shared" si="12"/>
        <v>100</v>
      </c>
      <c r="T29" s="713" t="s">
        <v>17</v>
      </c>
      <c r="U29" s="714">
        <f t="shared" si="13"/>
        <v>100</v>
      </c>
      <c r="V29" s="713" t="s">
        <v>17</v>
      </c>
      <c r="W29" s="714">
        <f t="shared" si="14"/>
        <v>100</v>
      </c>
      <c r="X29" s="1537"/>
      <c r="Y29" s="3294"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4"/>
      <c r="Q30" s="715" t="str">
        <f t="shared" si="11"/>
        <v>项目建筑规模</v>
      </c>
      <c r="R30" s="716" t="s">
        <v>17</v>
      </c>
      <c r="S30" s="717" t="e">
        <f t="shared" si="12"/>
        <v>#N/A</v>
      </c>
      <c r="T30" s="716" t="s">
        <v>17</v>
      </c>
      <c r="U30" s="717" t="e">
        <f t="shared" si="13"/>
        <v>#N/A</v>
      </c>
      <c r="V30" s="716" t="s">
        <v>17</v>
      </c>
      <c r="W30" s="717" t="e">
        <f t="shared" si="14"/>
        <v>#N/A</v>
      </c>
      <c r="X30" s="718"/>
      <c r="Y30" s="3294"/>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4"/>
      <c r="Q31" s="1534" t="str">
        <f t="shared" si="11"/>
        <v>建筑结构</v>
      </c>
      <c r="R31" s="713" t="s">
        <v>17</v>
      </c>
      <c r="S31" s="714">
        <f t="shared" si="12"/>
        <v>100</v>
      </c>
      <c r="T31" s="713" t="s">
        <v>17</v>
      </c>
      <c r="U31" s="714">
        <f t="shared" si="13"/>
        <v>100</v>
      </c>
      <c r="V31" s="713" t="s">
        <v>17</v>
      </c>
      <c r="W31" s="714">
        <f t="shared" si="14"/>
        <v>100</v>
      </c>
      <c r="X31" s="1537"/>
      <c r="Y31" s="3294"/>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4"/>
      <c r="Q32" s="1534" t="str">
        <f t="shared" si="11"/>
        <v>公共部分装修</v>
      </c>
      <c r="R32" s="713" t="s">
        <v>17</v>
      </c>
      <c r="S32" s="714">
        <f t="shared" si="12"/>
        <v>100</v>
      </c>
      <c r="T32" s="713" t="s">
        <v>17</v>
      </c>
      <c r="U32" s="714">
        <f t="shared" si="13"/>
        <v>100</v>
      </c>
      <c r="V32" s="713" t="s">
        <v>17</v>
      </c>
      <c r="W32" s="714">
        <f t="shared" si="14"/>
        <v>100</v>
      </c>
      <c r="X32" s="1537"/>
      <c r="Y32" s="3294"/>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4"/>
      <c r="Q33" s="1534" t="str">
        <f t="shared" si="11"/>
        <v>成新度</v>
      </c>
      <c r="R33" s="713" t="s">
        <v>17</v>
      </c>
      <c r="S33" s="714" t="e">
        <f t="shared" si="12"/>
        <v>#N/A</v>
      </c>
      <c r="T33" s="713" t="s">
        <v>17</v>
      </c>
      <c r="U33" s="714" t="e">
        <f t="shared" si="13"/>
        <v>#N/A</v>
      </c>
      <c r="V33" s="713" t="s">
        <v>17</v>
      </c>
      <c r="W33" s="714" t="e">
        <f t="shared" si="14"/>
        <v>#N/A</v>
      </c>
      <c r="X33" s="1537"/>
      <c r="Y33" s="3294"/>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4"/>
      <c r="Q34" s="1525" t="str">
        <f t="shared" si="11"/>
        <v>物业管理</v>
      </c>
      <c r="R34" s="709" t="s">
        <v>17</v>
      </c>
      <c r="S34" s="710">
        <f t="shared" si="12"/>
        <v>100</v>
      </c>
      <c r="T34" s="709" t="s">
        <v>17</v>
      </c>
      <c r="U34" s="710">
        <f t="shared" si="13"/>
        <v>100</v>
      </c>
      <c r="V34" s="709" t="s">
        <v>17</v>
      </c>
      <c r="W34" s="710">
        <f t="shared" si="14"/>
        <v>100</v>
      </c>
      <c r="X34" s="711"/>
      <c r="Y34" s="3294"/>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4" t="s">
        <v>2386</v>
      </c>
      <c r="Q35" s="1534" t="str">
        <f t="shared" si="11"/>
        <v>市政基础设施</v>
      </c>
      <c r="R35" s="713" t="s">
        <v>17</v>
      </c>
      <c r="S35" s="714">
        <f t="shared" si="12"/>
        <v>100</v>
      </c>
      <c r="T35" s="713" t="s">
        <v>17</v>
      </c>
      <c r="U35" s="714">
        <f t="shared" si="13"/>
        <v>100</v>
      </c>
      <c r="V35" s="713" t="s">
        <v>17</v>
      </c>
      <c r="W35" s="714">
        <f t="shared" si="14"/>
        <v>100</v>
      </c>
      <c r="X35" s="1537"/>
      <c r="Y35" s="3294"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4"/>
      <c r="Q36" s="1534" t="str">
        <f t="shared" si="11"/>
        <v>内部装修</v>
      </c>
      <c r="R36" s="713" t="s">
        <v>17</v>
      </c>
      <c r="S36" s="714">
        <f t="shared" si="12"/>
        <v>100</v>
      </c>
      <c r="T36" s="713" t="s">
        <v>17</v>
      </c>
      <c r="U36" s="714">
        <f t="shared" si="13"/>
        <v>100</v>
      </c>
      <c r="V36" s="713" t="s">
        <v>17</v>
      </c>
      <c r="W36" s="714">
        <f t="shared" si="14"/>
        <v>100</v>
      </c>
      <c r="X36" s="1537"/>
      <c r="Y36" s="3294"/>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4"/>
      <c r="Q37" s="1534" t="str">
        <f t="shared" si="11"/>
        <v>内部装修状况</v>
      </c>
      <c r="R37" s="713" t="s">
        <v>17</v>
      </c>
      <c r="S37" s="714">
        <f t="shared" si="12"/>
        <v>100</v>
      </c>
      <c r="T37" s="713" t="s">
        <v>17</v>
      </c>
      <c r="U37" s="714">
        <f t="shared" si="13"/>
        <v>100</v>
      </c>
      <c r="V37" s="713" t="s">
        <v>17</v>
      </c>
      <c r="W37" s="714">
        <f t="shared" si="14"/>
        <v>100</v>
      </c>
      <c r="X37" s="1537"/>
      <c r="Y37" s="3294"/>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4"/>
      <c r="Q38" s="715">
        <f t="shared" si="11"/>
        <v>111</v>
      </c>
      <c r="R38" s="716" t="s">
        <v>17</v>
      </c>
      <c r="S38" s="717">
        <f t="shared" si="12"/>
        <v>100</v>
      </c>
      <c r="T38" s="716" t="s">
        <v>17</v>
      </c>
      <c r="U38" s="717">
        <f t="shared" si="13"/>
        <v>100</v>
      </c>
      <c r="V38" s="716" t="s">
        <v>17</v>
      </c>
      <c r="W38" s="717">
        <f t="shared" si="14"/>
        <v>100</v>
      </c>
      <c r="X38" s="718"/>
      <c r="Y38" s="3294"/>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4"/>
      <c r="Q39" s="1534">
        <f t="shared" si="11"/>
        <v>111</v>
      </c>
      <c r="R39" s="713" t="s">
        <v>17</v>
      </c>
      <c r="S39" s="714">
        <f t="shared" si="12"/>
        <v>100</v>
      </c>
      <c r="T39" s="713" t="s">
        <v>17</v>
      </c>
      <c r="U39" s="714">
        <f t="shared" si="13"/>
        <v>100</v>
      </c>
      <c r="V39" s="713" t="s">
        <v>17</v>
      </c>
      <c r="W39" s="714">
        <f t="shared" si="14"/>
        <v>100</v>
      </c>
      <c r="X39" s="1537"/>
      <c r="Y39" s="3294"/>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5"/>
      <c r="Q40" s="1534">
        <f t="shared" si="11"/>
        <v>111</v>
      </c>
      <c r="R40" s="713" t="s">
        <v>17</v>
      </c>
      <c r="S40" s="714">
        <f t="shared" si="12"/>
        <v>100</v>
      </c>
      <c r="T40" s="713" t="s">
        <v>17</v>
      </c>
      <c r="U40" s="714">
        <f t="shared" si="13"/>
        <v>100</v>
      </c>
      <c r="V40" s="713" t="s">
        <v>17</v>
      </c>
      <c r="W40" s="714">
        <f t="shared" si="14"/>
        <v>100</v>
      </c>
      <c r="X40" s="1537"/>
      <c r="Y40" s="3295"/>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282" t="str">
        <f>A41</f>
        <v>成交单价（元/平方米）</v>
      </c>
      <c r="Q41" s="3282"/>
      <c r="R41" s="3283">
        <f>E41</f>
        <v>0</v>
      </c>
      <c r="S41" s="3283"/>
      <c r="T41" s="3283">
        <f>G41</f>
        <v>0</v>
      </c>
      <c r="U41" s="3283"/>
      <c r="V41" s="3283">
        <f>I41</f>
        <v>0</v>
      </c>
      <c r="W41" s="3283"/>
      <c r="X41" s="698"/>
      <c r="Y41" s="720"/>
      <c r="Z41" s="698"/>
      <c r="AA41" s="698"/>
      <c r="AB41" s="698"/>
      <c r="AC41" s="698"/>
    </row>
    <row r="42" spans="1:29" ht="15.75" thickBot="1">
      <c r="A42" s="445" t="s">
        <v>2490</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333" t="str">
        <f>A43</f>
        <v>估价对象XX用房的比较价值（楼面单价，元/平方米）</v>
      </c>
      <c r="Q43" s="3334"/>
      <c r="R43" s="3335" t="e">
        <f>IF(F1="售价",ROUND(IF(D42="简单平均",AVERAGE(R42:V42),R42*F42+T42*H42+V42*J42),0),ROUND(IF(D42="简单平均",AVERAGE(R42:V42),R42*F42+T42*H42+V42*J42),1))</f>
        <v>#DIV/0!</v>
      </c>
      <c r="S43" s="3335"/>
      <c r="T43" s="3335"/>
      <c r="U43" s="3335"/>
      <c r="V43" s="3335"/>
      <c r="W43" s="3335"/>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4" t="str">
        <f>YEAR(C7)&amp;"-"&amp;MONTH(C7)</f>
        <v>2021-12</v>
      </c>
      <c r="D52" s="1345">
        <f>EDATE(C52,-1)</f>
        <v>44501</v>
      </c>
      <c r="E52" s="1345">
        <f t="shared" ref="E52:O52" si="16">EDATE(D52,-1)</f>
        <v>44470</v>
      </c>
      <c r="F52" s="1345">
        <f t="shared" si="16"/>
        <v>44440</v>
      </c>
      <c r="G52" s="1345">
        <f t="shared" si="16"/>
        <v>44409</v>
      </c>
      <c r="H52" s="1345">
        <f t="shared" si="16"/>
        <v>44378</v>
      </c>
      <c r="I52" s="1345">
        <f t="shared" si="16"/>
        <v>44348</v>
      </c>
      <c r="J52" s="1345">
        <f t="shared" si="16"/>
        <v>44317</v>
      </c>
      <c r="K52" s="1345">
        <f t="shared" si="16"/>
        <v>44287</v>
      </c>
      <c r="L52" s="1345">
        <f t="shared" si="16"/>
        <v>44256</v>
      </c>
      <c r="M52" s="1345">
        <f t="shared" si="16"/>
        <v>44228</v>
      </c>
      <c r="N52" s="1345">
        <f t="shared" si="16"/>
        <v>44197</v>
      </c>
      <c r="O52" s="1345">
        <f t="shared" si="16"/>
        <v>44166</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299" t="s">
        <v>2467</v>
      </c>
      <c r="D4" s="3300"/>
      <c r="E4" s="3301" t="s">
        <v>2468</v>
      </c>
      <c r="F4" s="3302"/>
      <c r="G4" s="3299" t="s">
        <v>2469</v>
      </c>
      <c r="H4" s="3300"/>
      <c r="I4" s="3299" t="s">
        <v>2470</v>
      </c>
      <c r="J4" s="3300"/>
      <c r="K4" s="567" t="s">
        <v>2471</v>
      </c>
      <c r="L4" s="2942"/>
      <c r="M4" s="2943"/>
      <c r="N4" s="2943"/>
      <c r="O4" s="2943"/>
      <c r="P4" s="3337" t="s">
        <v>2472</v>
      </c>
      <c r="Q4" s="3338"/>
      <c r="R4" s="3341" t="s">
        <v>2468</v>
      </c>
      <c r="S4" s="3342"/>
      <c r="T4" s="3341" t="s">
        <v>2469</v>
      </c>
      <c r="U4" s="3342"/>
      <c r="V4" s="3316" t="s">
        <v>2470</v>
      </c>
      <c r="W4" s="3316"/>
      <c r="X4" s="1537"/>
      <c r="Y4" s="3341" t="s">
        <v>2472</v>
      </c>
      <c r="Z4" s="3342"/>
      <c r="AA4" s="3336" t="s">
        <v>2468</v>
      </c>
      <c r="AB4" s="3329" t="s">
        <v>2469</v>
      </c>
      <c r="AC4" s="3336" t="s">
        <v>2470</v>
      </c>
    </row>
    <row r="5" spans="1:29" ht="15">
      <c r="A5" s="364"/>
      <c r="B5" s="365"/>
      <c r="C5" s="3325" t="s">
        <v>2363</v>
      </c>
      <c r="D5" s="3320"/>
      <c r="E5" s="3343" t="s">
        <v>2364</v>
      </c>
      <c r="F5" s="3332"/>
      <c r="G5" s="3325" t="s">
        <v>2365</v>
      </c>
      <c r="H5" s="3320"/>
      <c r="I5" s="3325" t="s">
        <v>2366</v>
      </c>
      <c r="J5" s="3320"/>
      <c r="K5" s="567"/>
      <c r="L5" s="2942"/>
      <c r="M5" s="2943"/>
      <c r="N5" s="2943"/>
      <c r="O5" s="2943"/>
      <c r="P5" s="3339"/>
      <c r="Q5" s="3306"/>
      <c r="R5" s="3311"/>
      <c r="S5" s="3312"/>
      <c r="T5" s="3311"/>
      <c r="U5" s="3312"/>
      <c r="V5" s="3316"/>
      <c r="W5" s="3316"/>
      <c r="X5" s="1537"/>
      <c r="Y5" s="3311"/>
      <c r="Z5" s="3312"/>
      <c r="AA5" s="3329"/>
      <c r="AB5" s="3329"/>
      <c r="AC5" s="3329"/>
    </row>
    <row r="6" spans="1:29" ht="15.75" thickBot="1">
      <c r="A6" s="366"/>
      <c r="B6" s="367"/>
      <c r="C6" s="3317" t="s">
        <v>2367</v>
      </c>
      <c r="D6" s="3318"/>
      <c r="E6" s="3326" t="s">
        <v>2367</v>
      </c>
      <c r="F6" s="3327"/>
      <c r="G6" s="3317" t="s">
        <v>2367</v>
      </c>
      <c r="H6" s="3318"/>
      <c r="I6" s="3317" t="s">
        <v>2367</v>
      </c>
      <c r="J6" s="3318"/>
      <c r="K6" s="567" t="s">
        <v>2368</v>
      </c>
      <c r="L6" s="2942"/>
      <c r="M6" s="2943"/>
      <c r="N6" s="2943"/>
      <c r="O6" s="2943"/>
      <c r="P6" s="3340"/>
      <c r="Q6" s="3308"/>
      <c r="R6" s="3311"/>
      <c r="S6" s="3312"/>
      <c r="T6" s="3313"/>
      <c r="U6" s="3314"/>
      <c r="V6" s="3316"/>
      <c r="W6" s="3316"/>
      <c r="X6" s="1537"/>
      <c r="Y6" s="3313"/>
      <c r="Z6" s="3314"/>
      <c r="AA6" s="3330"/>
      <c r="AB6" s="3330"/>
      <c r="AC6" s="3330"/>
    </row>
    <row r="7" spans="1:29" s="113" customFormat="1" ht="15.75" thickBot="1">
      <c r="A7" s="368" t="s">
        <v>2369</v>
      </c>
      <c r="B7" s="369"/>
      <c r="C7" s="370">
        <f>'数据-取费表'!B2</f>
        <v>44561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23" t="s">
        <v>2370</v>
      </c>
      <c r="Q7" s="3324"/>
      <c r="R7" s="709" t="s">
        <v>17</v>
      </c>
      <c r="S7" s="710">
        <f t="shared" ref="S7:S14" si="0">F7</f>
        <v>0</v>
      </c>
      <c r="T7" s="709" t="s">
        <v>17</v>
      </c>
      <c r="U7" s="710">
        <f t="shared" ref="U7:U14" si="1">H7</f>
        <v>0</v>
      </c>
      <c r="V7" s="709" t="s">
        <v>17</v>
      </c>
      <c r="W7" s="710">
        <f t="shared" ref="W7:W14" si="2">J7</f>
        <v>0</v>
      </c>
      <c r="X7" s="711"/>
      <c r="Y7" s="3323" t="s">
        <v>2370</v>
      </c>
      <c r="Z7" s="3322"/>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23" t="s">
        <v>2373</v>
      </c>
      <c r="Q8" s="3322"/>
      <c r="R8" s="709" t="s">
        <v>17</v>
      </c>
      <c r="S8" s="710">
        <f t="shared" si="0"/>
        <v>0</v>
      </c>
      <c r="T8" s="709" t="s">
        <v>17</v>
      </c>
      <c r="U8" s="710">
        <f t="shared" si="1"/>
        <v>0</v>
      </c>
      <c r="V8" s="709" t="s">
        <v>17</v>
      </c>
      <c r="W8" s="710">
        <f t="shared" si="2"/>
        <v>0</v>
      </c>
      <c r="X8" s="711"/>
      <c r="Y8" s="3323" t="s">
        <v>2373</v>
      </c>
      <c r="Z8" s="3322"/>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2" t="s">
        <v>2376</v>
      </c>
      <c r="Q9" s="1525" t="str">
        <f t="shared" ref="Q9:Q14" si="6">B9</f>
        <v>用途</v>
      </c>
      <c r="R9" s="709" t="s">
        <v>17</v>
      </c>
      <c r="S9" s="710">
        <f t="shared" si="0"/>
        <v>100</v>
      </c>
      <c r="T9" s="709" t="s">
        <v>17</v>
      </c>
      <c r="U9" s="710">
        <f t="shared" si="1"/>
        <v>100</v>
      </c>
      <c r="V9" s="709" t="s">
        <v>17</v>
      </c>
      <c r="W9" s="710">
        <f t="shared" si="2"/>
        <v>100</v>
      </c>
      <c r="X9" s="711"/>
      <c r="Y9" s="3185"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2"/>
      <c r="Q10" s="1525" t="str">
        <f t="shared" si="6"/>
        <v>土地使用年限（年）</v>
      </c>
      <c r="R10" s="709" t="s">
        <v>17</v>
      </c>
      <c r="S10" s="710">
        <f t="shared" si="0"/>
        <v>100</v>
      </c>
      <c r="T10" s="709" t="s">
        <v>17</v>
      </c>
      <c r="U10" s="710">
        <f t="shared" si="1"/>
        <v>100</v>
      </c>
      <c r="V10" s="709" t="s">
        <v>17</v>
      </c>
      <c r="W10" s="710">
        <f t="shared" si="2"/>
        <v>100</v>
      </c>
      <c r="X10" s="711"/>
      <c r="Y10" s="3185"/>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2"/>
      <c r="Q11" s="1525">
        <f t="shared" si="6"/>
        <v>111</v>
      </c>
      <c r="R11" s="709" t="s">
        <v>17</v>
      </c>
      <c r="S11" s="710">
        <f t="shared" si="0"/>
        <v>100</v>
      </c>
      <c r="T11" s="709" t="s">
        <v>17</v>
      </c>
      <c r="U11" s="710">
        <f t="shared" si="1"/>
        <v>100</v>
      </c>
      <c r="V11" s="709" t="s">
        <v>17</v>
      </c>
      <c r="W11" s="710">
        <f t="shared" si="2"/>
        <v>100</v>
      </c>
      <c r="X11" s="711"/>
      <c r="Y11" s="3185"/>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2"/>
      <c r="Q12" s="1525">
        <f t="shared" si="6"/>
        <v>111</v>
      </c>
      <c r="R12" s="709" t="s">
        <v>17</v>
      </c>
      <c r="S12" s="710">
        <f t="shared" si="0"/>
        <v>100</v>
      </c>
      <c r="T12" s="709" t="s">
        <v>17</v>
      </c>
      <c r="U12" s="710">
        <f t="shared" si="1"/>
        <v>100</v>
      </c>
      <c r="V12" s="709" t="s">
        <v>17</v>
      </c>
      <c r="W12" s="710">
        <f t="shared" si="2"/>
        <v>100</v>
      </c>
      <c r="X12" s="711"/>
      <c r="Y12" s="3185"/>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2"/>
      <c r="Q13" s="1525">
        <f t="shared" si="6"/>
        <v>111</v>
      </c>
      <c r="R13" s="709" t="s">
        <v>17</v>
      </c>
      <c r="S13" s="710">
        <f t="shared" si="0"/>
        <v>100</v>
      </c>
      <c r="T13" s="709" t="s">
        <v>17</v>
      </c>
      <c r="U13" s="710">
        <f t="shared" si="1"/>
        <v>100</v>
      </c>
      <c r="V13" s="709" t="s">
        <v>17</v>
      </c>
      <c r="W13" s="710">
        <f t="shared" si="2"/>
        <v>100</v>
      </c>
      <c r="X13" s="711"/>
      <c r="Y13" s="3185"/>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9" t="s">
        <v>2381</v>
      </c>
      <c r="Q14" s="1534" t="str">
        <f t="shared" si="6"/>
        <v>交通便捷度</v>
      </c>
      <c r="R14" s="713" t="s">
        <v>17</v>
      </c>
      <c r="S14" s="714">
        <f t="shared" si="0"/>
        <v>100</v>
      </c>
      <c r="T14" s="713" t="s">
        <v>17</v>
      </c>
      <c r="U14" s="714">
        <f t="shared" si="1"/>
        <v>100</v>
      </c>
      <c r="V14" s="713" t="s">
        <v>17</v>
      </c>
      <c r="W14" s="714">
        <f t="shared" si="2"/>
        <v>100</v>
      </c>
      <c r="X14" s="1537"/>
      <c r="Y14" s="3289"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290"/>
      <c r="Q15" s="1534"/>
      <c r="R15" s="713"/>
      <c r="S15" s="714"/>
      <c r="T15" s="713"/>
      <c r="U15" s="714"/>
      <c r="V15" s="713"/>
      <c r="W15" s="714"/>
      <c r="X15" s="1537"/>
      <c r="Y15" s="3290"/>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0"/>
      <c r="Q16" s="1534" t="str">
        <f>B16</f>
        <v>公共配套设施</v>
      </c>
      <c r="R16" s="713" t="s">
        <v>17</v>
      </c>
      <c r="S16" s="714">
        <f>F16</f>
        <v>100</v>
      </c>
      <c r="T16" s="713" t="s">
        <v>17</v>
      </c>
      <c r="U16" s="714">
        <f>H16</f>
        <v>100</v>
      </c>
      <c r="V16" s="713" t="s">
        <v>17</v>
      </c>
      <c r="W16" s="714">
        <f>J16</f>
        <v>100</v>
      </c>
      <c r="X16" s="1537"/>
      <c r="Y16" s="3290"/>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290"/>
      <c r="Q17" s="1534"/>
      <c r="R17" s="713"/>
      <c r="S17" s="714"/>
      <c r="T17" s="713"/>
      <c r="U17" s="714"/>
      <c r="V17" s="713"/>
      <c r="W17" s="714"/>
      <c r="X17" s="1537"/>
      <c r="Y17" s="3290"/>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0"/>
      <c r="Q18" s="1534" t="str">
        <f>B18</f>
        <v>基础设施水平</v>
      </c>
      <c r="R18" s="713" t="s">
        <v>17</v>
      </c>
      <c r="S18" s="714">
        <f>F18</f>
        <v>100</v>
      </c>
      <c r="T18" s="713" t="s">
        <v>17</v>
      </c>
      <c r="U18" s="714">
        <f>H18</f>
        <v>100</v>
      </c>
      <c r="V18" s="713" t="s">
        <v>17</v>
      </c>
      <c r="W18" s="714">
        <f>J18</f>
        <v>100</v>
      </c>
      <c r="X18" s="1537"/>
      <c r="Y18" s="3290"/>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290"/>
      <c r="Q19" s="1534"/>
      <c r="R19" s="713"/>
      <c r="S19" s="714"/>
      <c r="T19" s="713"/>
      <c r="U19" s="714"/>
      <c r="V19" s="713"/>
      <c r="W19" s="714"/>
      <c r="X19" s="1537"/>
      <c r="Y19" s="3290"/>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0"/>
      <c r="Q20" s="1534" t="str">
        <f>B20</f>
        <v>自然及人文环境</v>
      </c>
      <c r="R20" s="713" t="s">
        <v>17</v>
      </c>
      <c r="S20" s="714">
        <f>F20</f>
        <v>100</v>
      </c>
      <c r="T20" s="713" t="s">
        <v>17</v>
      </c>
      <c r="U20" s="714">
        <f>H20</f>
        <v>100</v>
      </c>
      <c r="V20" s="713" t="s">
        <v>17</v>
      </c>
      <c r="W20" s="714">
        <f>J20</f>
        <v>100</v>
      </c>
      <c r="X20" s="1537"/>
      <c r="Y20" s="3290"/>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290"/>
      <c r="Q21" s="1534"/>
      <c r="R21" s="713"/>
      <c r="S21" s="714"/>
      <c r="T21" s="713"/>
      <c r="U21" s="714"/>
      <c r="V21" s="713"/>
      <c r="W21" s="714"/>
      <c r="X21" s="1537"/>
      <c r="Y21" s="3290"/>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0"/>
      <c r="Q22" s="1534" t="str">
        <f>B22</f>
        <v>楼层</v>
      </c>
      <c r="R22" s="713" t="s">
        <v>17</v>
      </c>
      <c r="S22" s="714">
        <f>F22</f>
        <v>100</v>
      </c>
      <c r="T22" s="713" t="s">
        <v>17</v>
      </c>
      <c r="U22" s="714">
        <f>H22</f>
        <v>100</v>
      </c>
      <c r="V22" s="713" t="s">
        <v>17</v>
      </c>
      <c r="W22" s="714">
        <f>J22</f>
        <v>100</v>
      </c>
      <c r="X22" s="1537"/>
      <c r="Y22" s="3290"/>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0"/>
      <c r="Q23" s="1534">
        <f>B23</f>
        <v>111</v>
      </c>
      <c r="R23" s="713" t="s">
        <v>17</v>
      </c>
      <c r="S23" s="714">
        <f>F23</f>
        <v>100</v>
      </c>
      <c r="T23" s="713" t="s">
        <v>17</v>
      </c>
      <c r="U23" s="714">
        <f>H23</f>
        <v>100</v>
      </c>
      <c r="V23" s="713" t="s">
        <v>17</v>
      </c>
      <c r="W23" s="714">
        <f>J23</f>
        <v>100</v>
      </c>
      <c r="X23" s="1537"/>
      <c r="Y23" s="3290"/>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0"/>
      <c r="Q24" s="1534">
        <f t="shared" ref="Q24:Q36" si="11">B24</f>
        <v>111</v>
      </c>
      <c r="R24" s="713" t="s">
        <v>17</v>
      </c>
      <c r="S24" s="714">
        <f>F24</f>
        <v>100</v>
      </c>
      <c r="T24" s="713" t="s">
        <v>17</v>
      </c>
      <c r="U24" s="714">
        <f>H24</f>
        <v>100</v>
      </c>
      <c r="V24" s="713" t="s">
        <v>17</v>
      </c>
      <c r="W24" s="714">
        <f>J24</f>
        <v>100</v>
      </c>
      <c r="X24" s="1537"/>
      <c r="Y24" s="3290"/>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0"/>
      <c r="Q25" s="1525">
        <f t="shared" si="11"/>
        <v>111</v>
      </c>
      <c r="R25" s="709" t="s">
        <v>17</v>
      </c>
      <c r="S25" s="710">
        <f>F25</f>
        <v>100</v>
      </c>
      <c r="T25" s="709" t="s">
        <v>17</v>
      </c>
      <c r="U25" s="710">
        <f>H25</f>
        <v>100</v>
      </c>
      <c r="V25" s="709" t="s">
        <v>17</v>
      </c>
      <c r="W25" s="710">
        <f>J25</f>
        <v>100</v>
      </c>
      <c r="X25" s="711"/>
      <c r="Y25" s="3290"/>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57"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94"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4"/>
      <c r="Q27" s="715" t="str">
        <f t="shared" si="11"/>
        <v>项目停车位配比</v>
      </c>
      <c r="R27" s="716" t="s">
        <v>17</v>
      </c>
      <c r="S27" s="717">
        <f t="shared" si="12"/>
        <v>100</v>
      </c>
      <c r="T27" s="716" t="s">
        <v>17</v>
      </c>
      <c r="U27" s="717">
        <f t="shared" si="13"/>
        <v>100</v>
      </c>
      <c r="V27" s="716" t="s">
        <v>17</v>
      </c>
      <c r="W27" s="717">
        <f t="shared" si="14"/>
        <v>100</v>
      </c>
      <c r="X27" s="718"/>
      <c r="Y27" s="3294"/>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4"/>
      <c r="Q28" s="1534" t="str">
        <f t="shared" si="11"/>
        <v>公共部分装修</v>
      </c>
      <c r="R28" s="713" t="s">
        <v>17</v>
      </c>
      <c r="S28" s="714">
        <f t="shared" si="12"/>
        <v>100</v>
      </c>
      <c r="T28" s="713" t="s">
        <v>17</v>
      </c>
      <c r="U28" s="714">
        <f t="shared" si="13"/>
        <v>100</v>
      </c>
      <c r="V28" s="713" t="s">
        <v>17</v>
      </c>
      <c r="W28" s="714">
        <f t="shared" si="14"/>
        <v>100</v>
      </c>
      <c r="X28" s="1537"/>
      <c r="Y28" s="3294"/>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4"/>
      <c r="Q29" s="1534" t="str">
        <f t="shared" si="11"/>
        <v>成新率</v>
      </c>
      <c r="R29" s="713" t="s">
        <v>17</v>
      </c>
      <c r="S29" s="714" t="e">
        <f t="shared" si="12"/>
        <v>#N/A</v>
      </c>
      <c r="T29" s="713" t="s">
        <v>17</v>
      </c>
      <c r="U29" s="714" t="e">
        <f t="shared" si="13"/>
        <v>#N/A</v>
      </c>
      <c r="V29" s="713" t="s">
        <v>17</v>
      </c>
      <c r="W29" s="714" t="e">
        <f t="shared" si="14"/>
        <v>#N/A</v>
      </c>
      <c r="X29" s="1537"/>
      <c r="Y29" s="3294"/>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4"/>
      <c r="Q30" s="1534" t="str">
        <f t="shared" si="11"/>
        <v>物业等级</v>
      </c>
      <c r="R30" s="713" t="s">
        <v>17</v>
      </c>
      <c r="S30" s="714">
        <f t="shared" si="12"/>
        <v>100</v>
      </c>
      <c r="T30" s="713" t="s">
        <v>17</v>
      </c>
      <c r="U30" s="714">
        <f t="shared" si="13"/>
        <v>100</v>
      </c>
      <c r="V30" s="713" t="s">
        <v>17</v>
      </c>
      <c r="W30" s="714">
        <f t="shared" si="14"/>
        <v>100</v>
      </c>
      <c r="X30" s="1537"/>
      <c r="Y30" s="3294"/>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4"/>
      <c r="Q31" s="1525" t="str">
        <f t="shared" si="11"/>
        <v>停车位面积</v>
      </c>
      <c r="R31" s="709" t="s">
        <v>17</v>
      </c>
      <c r="S31" s="710" t="e">
        <f t="shared" si="12"/>
        <v>#N/A</v>
      </c>
      <c r="T31" s="709" t="s">
        <v>17</v>
      </c>
      <c r="U31" s="710" t="e">
        <f t="shared" si="13"/>
        <v>#N/A</v>
      </c>
      <c r="V31" s="709" t="s">
        <v>17</v>
      </c>
      <c r="W31" s="710" t="e">
        <f t="shared" si="14"/>
        <v>#N/A</v>
      </c>
      <c r="X31" s="711"/>
      <c r="Y31" s="3294"/>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4" t="s">
        <v>2386</v>
      </c>
      <c r="Q32" s="1534" t="str">
        <f t="shared" si="11"/>
        <v>车位类型</v>
      </c>
      <c r="R32" s="713" t="s">
        <v>17</v>
      </c>
      <c r="S32" s="714">
        <f t="shared" si="12"/>
        <v>100</v>
      </c>
      <c r="T32" s="713" t="s">
        <v>17</v>
      </c>
      <c r="U32" s="714">
        <f t="shared" si="13"/>
        <v>100</v>
      </c>
      <c r="V32" s="713" t="s">
        <v>17</v>
      </c>
      <c r="W32" s="714">
        <f t="shared" si="14"/>
        <v>100</v>
      </c>
      <c r="X32" s="1537"/>
      <c r="Y32" s="3294"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4"/>
      <c r="Q33" s="1534" t="str">
        <f t="shared" si="11"/>
        <v>是否直接入户</v>
      </c>
      <c r="R33" s="713" t="s">
        <v>17</v>
      </c>
      <c r="S33" s="714">
        <f t="shared" si="12"/>
        <v>100</v>
      </c>
      <c r="T33" s="713" t="s">
        <v>17</v>
      </c>
      <c r="U33" s="714">
        <f t="shared" si="13"/>
        <v>100</v>
      </c>
      <c r="V33" s="713" t="s">
        <v>17</v>
      </c>
      <c r="W33" s="714">
        <f t="shared" si="14"/>
        <v>100</v>
      </c>
      <c r="X33" s="1537"/>
      <c r="Y33" s="3294"/>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4"/>
      <c r="Q34" s="1534">
        <f t="shared" si="11"/>
        <v>111</v>
      </c>
      <c r="R34" s="713" t="s">
        <v>17</v>
      </c>
      <c r="S34" s="714">
        <f t="shared" si="12"/>
        <v>100</v>
      </c>
      <c r="T34" s="713" t="s">
        <v>17</v>
      </c>
      <c r="U34" s="714">
        <f t="shared" si="13"/>
        <v>100</v>
      </c>
      <c r="V34" s="713" t="s">
        <v>17</v>
      </c>
      <c r="W34" s="714">
        <f t="shared" si="14"/>
        <v>100</v>
      </c>
      <c r="X34" s="1537"/>
      <c r="Y34" s="3294"/>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4"/>
      <c r="Q35" s="715">
        <f t="shared" si="11"/>
        <v>111</v>
      </c>
      <c r="R35" s="716" t="s">
        <v>17</v>
      </c>
      <c r="S35" s="717">
        <f t="shared" si="12"/>
        <v>100</v>
      </c>
      <c r="T35" s="716" t="s">
        <v>17</v>
      </c>
      <c r="U35" s="717">
        <f t="shared" si="13"/>
        <v>100</v>
      </c>
      <c r="V35" s="716" t="s">
        <v>17</v>
      </c>
      <c r="W35" s="717">
        <f t="shared" si="14"/>
        <v>100</v>
      </c>
      <c r="X35" s="718"/>
      <c r="Y35" s="3294"/>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4"/>
      <c r="Q36" s="1534">
        <f t="shared" si="11"/>
        <v>111</v>
      </c>
      <c r="R36" s="713" t="s">
        <v>17</v>
      </c>
      <c r="S36" s="714">
        <f t="shared" si="12"/>
        <v>100</v>
      </c>
      <c r="T36" s="713" t="s">
        <v>17</v>
      </c>
      <c r="U36" s="714">
        <f t="shared" si="13"/>
        <v>100</v>
      </c>
      <c r="V36" s="713" t="s">
        <v>17</v>
      </c>
      <c r="W36" s="714">
        <f t="shared" si="14"/>
        <v>100</v>
      </c>
      <c r="X36" s="1537"/>
      <c r="Y36" s="3294"/>
      <c r="Z36" s="1538">
        <f t="shared" si="15"/>
        <v>111</v>
      </c>
      <c r="AA36" s="1535">
        <f t="shared" si="3"/>
        <v>1</v>
      </c>
      <c r="AB36" s="1535">
        <f t="shared" si="4"/>
        <v>1</v>
      </c>
      <c r="AC36" s="1535">
        <f t="shared" si="5"/>
        <v>1</v>
      </c>
    </row>
    <row r="37" spans="1:29" ht="15">
      <c r="A37" s="438" t="s">
        <v>2541</v>
      </c>
      <c r="B37" s="2157" t="s">
        <v>2542</v>
      </c>
      <c r="C37" s="1315" t="s">
        <v>1</v>
      </c>
      <c r="D37" s="1316"/>
      <c r="E37" s="1317"/>
      <c r="F37" s="1318"/>
      <c r="G37" s="1319"/>
      <c r="H37" s="1320"/>
      <c r="I37" s="1317"/>
      <c r="J37" s="1320"/>
      <c r="K37" s="576"/>
      <c r="L37" s="2951"/>
      <c r="M37" s="2952"/>
      <c r="N37" s="2943"/>
      <c r="O37" s="2952"/>
      <c r="P37" s="3282" t="str">
        <f>A37</f>
        <v>成交单价</v>
      </c>
      <c r="Q37" s="3282"/>
      <c r="R37" s="3283">
        <f>E37</f>
        <v>0</v>
      </c>
      <c r="S37" s="3283"/>
      <c r="T37" s="3283">
        <f>G37</f>
        <v>0</v>
      </c>
      <c r="U37" s="3283"/>
      <c r="V37" s="3283">
        <f>I37</f>
        <v>0</v>
      </c>
      <c r="W37" s="3283"/>
      <c r="X37" s="698"/>
      <c r="Y37" s="720"/>
      <c r="Z37" s="698"/>
      <c r="AA37" s="698"/>
      <c r="AB37" s="698"/>
      <c r="AC37" s="698"/>
    </row>
    <row r="38" spans="1:29" ht="15.75" thickBot="1">
      <c r="A38" s="445" t="s">
        <v>2543</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1"/>
      <c r="M39" s="2952"/>
      <c r="N39" s="2952"/>
      <c r="O39" s="2952"/>
      <c r="P39" s="3333" t="str">
        <f>A39</f>
        <v>估价对象XX用房的比较价值（楼面单价，元/平方米）</v>
      </c>
      <c r="Q39" s="3334"/>
      <c r="R39" s="3386" t="e">
        <f>IF(F1="售价",ROUND(IF(D38="简单平均",AVERAGE(R38:W38),R38*F38+T38*H38+V38*J38),0),ROUND(IF(D38="简单平均",AVERAGE(R38:V38),R38*F38+T38*H38+V38*J38),1))</f>
        <v>#DIV/0!</v>
      </c>
      <c r="S39" s="3386"/>
      <c r="T39" s="3386"/>
      <c r="U39" s="3386"/>
      <c r="V39" s="3386"/>
      <c r="W39" s="3386"/>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4" t="str">
        <f>YEAR(C7)&amp;"-"&amp;MONTH(C7)</f>
        <v>2021-12</v>
      </c>
      <c r="D48" s="1345">
        <f>EDATE(C48,-1)</f>
        <v>44501</v>
      </c>
      <c r="E48" s="1345">
        <f t="shared" ref="E48:O48" si="16">EDATE(D48,-1)</f>
        <v>44470</v>
      </c>
      <c r="F48" s="1345">
        <f t="shared" si="16"/>
        <v>44440</v>
      </c>
      <c r="G48" s="1345">
        <f t="shared" si="16"/>
        <v>44409</v>
      </c>
      <c r="H48" s="1345">
        <f t="shared" si="16"/>
        <v>44378</v>
      </c>
      <c r="I48" s="1345">
        <f t="shared" si="16"/>
        <v>44348</v>
      </c>
      <c r="J48" s="1345">
        <f t="shared" si="16"/>
        <v>44317</v>
      </c>
      <c r="K48" s="1345">
        <f t="shared" si="16"/>
        <v>44287</v>
      </c>
      <c r="L48" s="1345">
        <f t="shared" si="16"/>
        <v>44256</v>
      </c>
      <c r="M48" s="1345">
        <f t="shared" si="16"/>
        <v>44228</v>
      </c>
      <c r="N48" s="1345">
        <f t="shared" si="16"/>
        <v>44197</v>
      </c>
      <c r="O48" s="1345">
        <f t="shared" si="16"/>
        <v>44166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9" t="s">
        <v>2467</v>
      </c>
      <c r="D4" s="3300"/>
      <c r="E4" s="3301" t="s">
        <v>2468</v>
      </c>
      <c r="F4" s="3302"/>
      <c r="G4" s="3299" t="s">
        <v>2469</v>
      </c>
      <c r="H4" s="3300"/>
      <c r="I4" s="3299" t="s">
        <v>2470</v>
      </c>
      <c r="J4" s="3300"/>
      <c r="K4" s="567" t="s">
        <v>2471</v>
      </c>
      <c r="L4" s="2942"/>
      <c r="M4" s="2943"/>
      <c r="N4" s="2943"/>
      <c r="O4" s="2943"/>
      <c r="P4" s="3337" t="s">
        <v>2472</v>
      </c>
      <c r="Q4" s="3338"/>
      <c r="R4" s="3341" t="s">
        <v>2468</v>
      </c>
      <c r="S4" s="3342"/>
      <c r="T4" s="3341" t="s">
        <v>2469</v>
      </c>
      <c r="U4" s="3342"/>
      <c r="V4" s="3316" t="s">
        <v>2470</v>
      </c>
      <c r="W4" s="3316"/>
      <c r="X4" s="1537"/>
      <c r="Y4" s="3341" t="s">
        <v>2472</v>
      </c>
      <c r="Z4" s="3342"/>
      <c r="AA4" s="3336" t="s">
        <v>2468</v>
      </c>
      <c r="AB4" s="3329" t="s">
        <v>2469</v>
      </c>
      <c r="AC4" s="3336" t="s">
        <v>2470</v>
      </c>
    </row>
    <row r="5" spans="1:29" ht="15">
      <c r="A5" s="364"/>
      <c r="B5" s="365"/>
      <c r="C5" s="3325" t="s">
        <v>2363</v>
      </c>
      <c r="D5" s="3320"/>
      <c r="E5" s="3343" t="s">
        <v>2364</v>
      </c>
      <c r="F5" s="3332"/>
      <c r="G5" s="3325" t="s">
        <v>2365</v>
      </c>
      <c r="H5" s="3320"/>
      <c r="I5" s="3325" t="s">
        <v>2366</v>
      </c>
      <c r="J5" s="3320"/>
      <c r="K5" s="567"/>
      <c r="L5" s="2942"/>
      <c r="M5" s="2943"/>
      <c r="N5" s="2943"/>
      <c r="O5" s="2943"/>
      <c r="P5" s="3339"/>
      <c r="Q5" s="3306"/>
      <c r="R5" s="3311"/>
      <c r="S5" s="3312"/>
      <c r="T5" s="3311"/>
      <c r="U5" s="3312"/>
      <c r="V5" s="3316"/>
      <c r="W5" s="3316"/>
      <c r="X5" s="1537"/>
      <c r="Y5" s="3311"/>
      <c r="Z5" s="3312"/>
      <c r="AA5" s="3329"/>
      <c r="AB5" s="3329"/>
      <c r="AC5" s="3329"/>
    </row>
    <row r="6" spans="1:29" ht="15.75" thickBot="1">
      <c r="A6" s="366"/>
      <c r="B6" s="367"/>
      <c r="C6" s="3317" t="s">
        <v>2367</v>
      </c>
      <c r="D6" s="3318"/>
      <c r="E6" s="3326" t="s">
        <v>2367</v>
      </c>
      <c r="F6" s="3327"/>
      <c r="G6" s="3317" t="s">
        <v>2367</v>
      </c>
      <c r="H6" s="3318"/>
      <c r="I6" s="3317" t="s">
        <v>2367</v>
      </c>
      <c r="J6" s="3318"/>
      <c r="K6" s="567" t="s">
        <v>2368</v>
      </c>
      <c r="L6" s="2942"/>
      <c r="M6" s="2943"/>
      <c r="N6" s="2943"/>
      <c r="O6" s="2943"/>
      <c r="P6" s="3340"/>
      <c r="Q6" s="3308"/>
      <c r="R6" s="3311"/>
      <c r="S6" s="3312"/>
      <c r="T6" s="3313"/>
      <c r="U6" s="3314"/>
      <c r="V6" s="3316"/>
      <c r="W6" s="3316"/>
      <c r="X6" s="1537"/>
      <c r="Y6" s="3313"/>
      <c r="Z6" s="3314"/>
      <c r="AA6" s="3330"/>
      <c r="AB6" s="3330"/>
      <c r="AC6" s="3330"/>
    </row>
    <row r="7" spans="1:29" s="113" customFormat="1" ht="15.75" thickBot="1">
      <c r="A7" s="368" t="s">
        <v>2369</v>
      </c>
      <c r="B7" s="369"/>
      <c r="C7" s="370">
        <f>'数据-取费表'!B2</f>
        <v>44561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23" t="s">
        <v>2370</v>
      </c>
      <c r="Q7" s="3324"/>
      <c r="R7" s="709" t="s">
        <v>17</v>
      </c>
      <c r="S7" s="710">
        <f t="shared" ref="S7:S14" si="0">F7</f>
        <v>0</v>
      </c>
      <c r="T7" s="709" t="s">
        <v>17</v>
      </c>
      <c r="U7" s="710">
        <f t="shared" ref="U7:U14" si="1">H7</f>
        <v>0</v>
      </c>
      <c r="V7" s="709" t="s">
        <v>17</v>
      </c>
      <c r="W7" s="710">
        <f t="shared" ref="W7:W14" si="2">J7</f>
        <v>0</v>
      </c>
      <c r="X7" s="711"/>
      <c r="Y7" s="3323" t="s">
        <v>2370</v>
      </c>
      <c r="Z7" s="3322"/>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23" t="s">
        <v>2373</v>
      </c>
      <c r="Q8" s="3322"/>
      <c r="R8" s="709" t="s">
        <v>17</v>
      </c>
      <c r="S8" s="710">
        <f t="shared" si="0"/>
        <v>0</v>
      </c>
      <c r="T8" s="709" t="s">
        <v>17</v>
      </c>
      <c r="U8" s="710">
        <f t="shared" si="1"/>
        <v>0</v>
      </c>
      <c r="V8" s="709" t="s">
        <v>17</v>
      </c>
      <c r="W8" s="710">
        <f t="shared" si="2"/>
        <v>0</v>
      </c>
      <c r="X8" s="711"/>
      <c r="Y8" s="3323" t="s">
        <v>2373</v>
      </c>
      <c r="Z8" s="3322"/>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2" t="s">
        <v>2376</v>
      </c>
      <c r="Q9" s="1525" t="str">
        <f t="shared" ref="Q9:Q14" si="6">B9</f>
        <v>用途</v>
      </c>
      <c r="R9" s="709" t="s">
        <v>17</v>
      </c>
      <c r="S9" s="710">
        <f t="shared" si="0"/>
        <v>100</v>
      </c>
      <c r="T9" s="709" t="s">
        <v>17</v>
      </c>
      <c r="U9" s="710">
        <f t="shared" si="1"/>
        <v>100</v>
      </c>
      <c r="V9" s="709" t="s">
        <v>17</v>
      </c>
      <c r="W9" s="710">
        <f t="shared" si="2"/>
        <v>100</v>
      </c>
      <c r="X9" s="711"/>
      <c r="Y9" s="3185"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2"/>
      <c r="Q10" s="1525" t="str">
        <f t="shared" si="6"/>
        <v>土地使用年限（年）</v>
      </c>
      <c r="R10" s="709" t="s">
        <v>17</v>
      </c>
      <c r="S10" s="710">
        <f t="shared" si="0"/>
        <v>100</v>
      </c>
      <c r="T10" s="709" t="s">
        <v>17</v>
      </c>
      <c r="U10" s="710">
        <f t="shared" si="1"/>
        <v>100</v>
      </c>
      <c r="V10" s="709" t="s">
        <v>17</v>
      </c>
      <c r="W10" s="710">
        <f t="shared" si="2"/>
        <v>100</v>
      </c>
      <c r="X10" s="711"/>
      <c r="Y10" s="3185"/>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2"/>
      <c r="Q11" s="1525">
        <f t="shared" si="6"/>
        <v>111</v>
      </c>
      <c r="R11" s="709" t="s">
        <v>17</v>
      </c>
      <c r="S11" s="710">
        <f t="shared" si="0"/>
        <v>100</v>
      </c>
      <c r="T11" s="709" t="s">
        <v>17</v>
      </c>
      <c r="U11" s="710">
        <f t="shared" si="1"/>
        <v>100</v>
      </c>
      <c r="V11" s="709" t="s">
        <v>17</v>
      </c>
      <c r="W11" s="710">
        <f t="shared" si="2"/>
        <v>100</v>
      </c>
      <c r="X11" s="711"/>
      <c r="Y11" s="3185"/>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2"/>
      <c r="Q12" s="1525">
        <f t="shared" si="6"/>
        <v>111</v>
      </c>
      <c r="R12" s="709" t="s">
        <v>17</v>
      </c>
      <c r="S12" s="710">
        <f t="shared" si="0"/>
        <v>100</v>
      </c>
      <c r="T12" s="709" t="s">
        <v>17</v>
      </c>
      <c r="U12" s="710">
        <f t="shared" si="1"/>
        <v>100</v>
      </c>
      <c r="V12" s="709" t="s">
        <v>17</v>
      </c>
      <c r="W12" s="710">
        <f t="shared" si="2"/>
        <v>100</v>
      </c>
      <c r="X12" s="711"/>
      <c r="Y12" s="3185"/>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85"/>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9" t="s">
        <v>2381</v>
      </c>
      <c r="Q14" s="1534" t="str">
        <f t="shared" si="6"/>
        <v>交通便捷度</v>
      </c>
      <c r="R14" s="713" t="s">
        <v>17</v>
      </c>
      <c r="S14" s="714">
        <f t="shared" si="0"/>
        <v>100</v>
      </c>
      <c r="T14" s="713" t="s">
        <v>17</v>
      </c>
      <c r="U14" s="714">
        <f t="shared" si="1"/>
        <v>100</v>
      </c>
      <c r="V14" s="713" t="s">
        <v>17</v>
      </c>
      <c r="W14" s="714">
        <f t="shared" si="2"/>
        <v>100</v>
      </c>
      <c r="X14" s="1537"/>
      <c r="Y14" s="3289"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290"/>
      <c r="Q15" s="1534"/>
      <c r="R15" s="713"/>
      <c r="S15" s="714"/>
      <c r="T15" s="713"/>
      <c r="U15" s="714"/>
      <c r="V15" s="713"/>
      <c r="W15" s="714"/>
      <c r="X15" s="1537"/>
      <c r="Y15" s="3290"/>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0"/>
      <c r="Q16" s="1534" t="str">
        <f>B16</f>
        <v>公共配套设施</v>
      </c>
      <c r="R16" s="713" t="s">
        <v>17</v>
      </c>
      <c r="S16" s="714">
        <f>F16</f>
        <v>100</v>
      </c>
      <c r="T16" s="713" t="s">
        <v>17</v>
      </c>
      <c r="U16" s="714">
        <f>H16</f>
        <v>100</v>
      </c>
      <c r="V16" s="713" t="s">
        <v>17</v>
      </c>
      <c r="W16" s="714">
        <f>J16</f>
        <v>100</v>
      </c>
      <c r="X16" s="1537"/>
      <c r="Y16" s="3290"/>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290"/>
      <c r="Q17" s="1534"/>
      <c r="R17" s="713"/>
      <c r="S17" s="714"/>
      <c r="T17" s="713"/>
      <c r="U17" s="714"/>
      <c r="V17" s="713"/>
      <c r="W17" s="714"/>
      <c r="X17" s="1537"/>
      <c r="Y17" s="3290"/>
      <c r="Z17" s="1538"/>
      <c r="AA17" s="1535">
        <v>1</v>
      </c>
      <c r="AB17" s="1535">
        <v>1</v>
      </c>
      <c r="AC17" s="1535">
        <v>1</v>
      </c>
    </row>
    <row r="18" spans="1:29" ht="28.5">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0"/>
      <c r="Q18" s="1534" t="str">
        <f>B18</f>
        <v>基础设施水平</v>
      </c>
      <c r="R18" s="713" t="s">
        <v>17</v>
      </c>
      <c r="S18" s="714">
        <f>F18</f>
        <v>100</v>
      </c>
      <c r="T18" s="713" t="s">
        <v>17</v>
      </c>
      <c r="U18" s="714">
        <f>H18</f>
        <v>100</v>
      </c>
      <c r="V18" s="713" t="s">
        <v>17</v>
      </c>
      <c r="W18" s="714">
        <f>J18</f>
        <v>100</v>
      </c>
      <c r="X18" s="1537"/>
      <c r="Y18" s="3290"/>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290"/>
      <c r="Q19" s="1534"/>
      <c r="R19" s="713"/>
      <c r="S19" s="714"/>
      <c r="T19" s="713"/>
      <c r="U19" s="714"/>
      <c r="V19" s="713"/>
      <c r="W19" s="714"/>
      <c r="X19" s="1537"/>
      <c r="Y19" s="3290"/>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0"/>
      <c r="Q20" s="1534" t="str">
        <f>B20</f>
        <v>自然及人文环境</v>
      </c>
      <c r="R20" s="713" t="s">
        <v>17</v>
      </c>
      <c r="S20" s="714">
        <f>F20</f>
        <v>100</v>
      </c>
      <c r="T20" s="713" t="s">
        <v>17</v>
      </c>
      <c r="U20" s="714">
        <f>H20</f>
        <v>100</v>
      </c>
      <c r="V20" s="713" t="s">
        <v>17</v>
      </c>
      <c r="W20" s="714">
        <f>J20</f>
        <v>100</v>
      </c>
      <c r="X20" s="1537"/>
      <c r="Y20" s="3290"/>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290"/>
      <c r="Q21" s="1534"/>
      <c r="R21" s="713"/>
      <c r="S21" s="714"/>
      <c r="T21" s="713"/>
      <c r="U21" s="714"/>
      <c r="V21" s="713"/>
      <c r="W21" s="714"/>
      <c r="X21" s="1537"/>
      <c r="Y21" s="3290"/>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0"/>
      <c r="Q22" s="1534" t="str">
        <f>B22</f>
        <v>楼层</v>
      </c>
      <c r="R22" s="713" t="s">
        <v>17</v>
      </c>
      <c r="S22" s="714">
        <f>F22</f>
        <v>100</v>
      </c>
      <c r="T22" s="713" t="s">
        <v>17</v>
      </c>
      <c r="U22" s="714">
        <f>H22</f>
        <v>100</v>
      </c>
      <c r="V22" s="713" t="s">
        <v>17</v>
      </c>
      <c r="W22" s="714">
        <f>J22</f>
        <v>100</v>
      </c>
      <c r="X22" s="1537"/>
      <c r="Y22" s="3290"/>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0"/>
      <c r="Q23" s="1534">
        <f>B23</f>
        <v>111</v>
      </c>
      <c r="R23" s="713" t="s">
        <v>17</v>
      </c>
      <c r="S23" s="714">
        <f>F23</f>
        <v>100</v>
      </c>
      <c r="T23" s="713" t="s">
        <v>17</v>
      </c>
      <c r="U23" s="714">
        <f>H23</f>
        <v>100</v>
      </c>
      <c r="V23" s="713" t="s">
        <v>17</v>
      </c>
      <c r="W23" s="714">
        <f>J23</f>
        <v>100</v>
      </c>
      <c r="X23" s="1537"/>
      <c r="Y23" s="3290"/>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0"/>
      <c r="Q24" s="1534">
        <f t="shared" ref="Q24:Q34" si="11">B24</f>
        <v>111</v>
      </c>
      <c r="R24" s="713" t="s">
        <v>17</v>
      </c>
      <c r="S24" s="714">
        <f>F24</f>
        <v>100</v>
      </c>
      <c r="T24" s="713" t="s">
        <v>17</v>
      </c>
      <c r="U24" s="714">
        <f>H24</f>
        <v>100</v>
      </c>
      <c r="V24" s="713" t="s">
        <v>17</v>
      </c>
      <c r="W24" s="714">
        <f>J24</f>
        <v>100</v>
      </c>
      <c r="X24" s="1537"/>
      <c r="Y24" s="3290"/>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0"/>
      <c r="Q25" s="1525">
        <f t="shared" si="11"/>
        <v>111</v>
      </c>
      <c r="R25" s="709" t="s">
        <v>17</v>
      </c>
      <c r="S25" s="710">
        <f>F25</f>
        <v>100</v>
      </c>
      <c r="T25" s="709" t="s">
        <v>17</v>
      </c>
      <c r="U25" s="710">
        <f>H25</f>
        <v>100</v>
      </c>
      <c r="V25" s="709" t="s">
        <v>17</v>
      </c>
      <c r="W25" s="710">
        <f>J25</f>
        <v>100</v>
      </c>
      <c r="X25" s="711"/>
      <c r="Y25" s="3290"/>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57"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94"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4"/>
      <c r="Q27" s="715" t="str">
        <f t="shared" si="11"/>
        <v>成新率</v>
      </c>
      <c r="R27" s="716" t="s">
        <v>17</v>
      </c>
      <c r="S27" s="717" t="e">
        <f t="shared" si="12"/>
        <v>#N/A</v>
      </c>
      <c r="T27" s="716" t="s">
        <v>17</v>
      </c>
      <c r="U27" s="717" t="e">
        <f t="shared" si="13"/>
        <v>#N/A</v>
      </c>
      <c r="V27" s="716" t="s">
        <v>17</v>
      </c>
      <c r="W27" s="717" t="e">
        <f t="shared" si="14"/>
        <v>#N/A</v>
      </c>
      <c r="X27" s="718"/>
      <c r="Y27" s="3294"/>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4"/>
      <c r="Q28" s="1534" t="str">
        <f t="shared" si="11"/>
        <v>物业等级</v>
      </c>
      <c r="R28" s="713" t="s">
        <v>17</v>
      </c>
      <c r="S28" s="714">
        <f t="shared" si="12"/>
        <v>100</v>
      </c>
      <c r="T28" s="713" t="s">
        <v>17</v>
      </c>
      <c r="U28" s="714">
        <f t="shared" si="13"/>
        <v>100</v>
      </c>
      <c r="V28" s="713" t="s">
        <v>17</v>
      </c>
      <c r="W28" s="714">
        <f t="shared" si="14"/>
        <v>100</v>
      </c>
      <c r="X28" s="1537"/>
      <c r="Y28" s="3294"/>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4"/>
      <c r="Q29" s="1534" t="str">
        <f t="shared" si="11"/>
        <v>有无电梯</v>
      </c>
      <c r="R29" s="713" t="s">
        <v>17</v>
      </c>
      <c r="S29" s="714">
        <f t="shared" si="12"/>
        <v>100</v>
      </c>
      <c r="T29" s="713" t="s">
        <v>17</v>
      </c>
      <c r="U29" s="714">
        <f t="shared" si="13"/>
        <v>100</v>
      </c>
      <c r="V29" s="713" t="s">
        <v>17</v>
      </c>
      <c r="W29" s="714">
        <f t="shared" si="14"/>
        <v>100</v>
      </c>
      <c r="X29" s="1537"/>
      <c r="Y29" s="3294"/>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4"/>
      <c r="Q30" s="1534" t="str">
        <f t="shared" si="11"/>
        <v>建筑面积</v>
      </c>
      <c r="R30" s="713" t="s">
        <v>17</v>
      </c>
      <c r="S30" s="714" t="e">
        <f t="shared" si="12"/>
        <v>#N/A</v>
      </c>
      <c r="T30" s="713" t="s">
        <v>17</v>
      </c>
      <c r="U30" s="714" t="e">
        <f t="shared" si="13"/>
        <v>#N/A</v>
      </c>
      <c r="V30" s="713" t="s">
        <v>17</v>
      </c>
      <c r="W30" s="714" t="e">
        <f t="shared" si="14"/>
        <v>#N/A</v>
      </c>
      <c r="X30" s="1537"/>
      <c r="Y30" s="3294"/>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4"/>
      <c r="Q31" s="1525" t="str">
        <f t="shared" si="11"/>
        <v>是否封闭</v>
      </c>
      <c r="R31" s="709" t="s">
        <v>17</v>
      </c>
      <c r="S31" s="710">
        <f t="shared" si="12"/>
        <v>100</v>
      </c>
      <c r="T31" s="709" t="s">
        <v>17</v>
      </c>
      <c r="U31" s="710">
        <f t="shared" si="13"/>
        <v>100</v>
      </c>
      <c r="V31" s="709" t="s">
        <v>17</v>
      </c>
      <c r="W31" s="710">
        <f t="shared" si="14"/>
        <v>100</v>
      </c>
      <c r="X31" s="711"/>
      <c r="Y31" s="3294"/>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4" t="s">
        <v>2386</v>
      </c>
      <c r="Q32" s="1534">
        <f t="shared" si="11"/>
        <v>111</v>
      </c>
      <c r="R32" s="713" t="s">
        <v>17</v>
      </c>
      <c r="S32" s="714">
        <f t="shared" si="12"/>
        <v>100</v>
      </c>
      <c r="T32" s="713" t="s">
        <v>17</v>
      </c>
      <c r="U32" s="714">
        <f t="shared" si="13"/>
        <v>100</v>
      </c>
      <c r="V32" s="713" t="s">
        <v>17</v>
      </c>
      <c r="W32" s="714">
        <f t="shared" si="14"/>
        <v>100</v>
      </c>
      <c r="X32" s="1537"/>
      <c r="Y32" s="3294"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4"/>
      <c r="Q33" s="1534">
        <f t="shared" si="11"/>
        <v>111</v>
      </c>
      <c r="R33" s="713" t="s">
        <v>17</v>
      </c>
      <c r="S33" s="714">
        <f t="shared" si="12"/>
        <v>100</v>
      </c>
      <c r="T33" s="713" t="s">
        <v>17</v>
      </c>
      <c r="U33" s="714">
        <f t="shared" si="13"/>
        <v>100</v>
      </c>
      <c r="V33" s="713" t="s">
        <v>17</v>
      </c>
      <c r="W33" s="714">
        <f t="shared" si="14"/>
        <v>100</v>
      </c>
      <c r="X33" s="1537"/>
      <c r="Y33" s="3294"/>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4"/>
      <c r="Q34" s="1534">
        <f t="shared" si="11"/>
        <v>111</v>
      </c>
      <c r="R34" s="713" t="s">
        <v>17</v>
      </c>
      <c r="S34" s="714">
        <f t="shared" si="12"/>
        <v>100</v>
      </c>
      <c r="T34" s="713" t="s">
        <v>17</v>
      </c>
      <c r="U34" s="714">
        <f t="shared" si="13"/>
        <v>100</v>
      </c>
      <c r="V34" s="713" t="s">
        <v>17</v>
      </c>
      <c r="W34" s="714">
        <f t="shared" si="14"/>
        <v>100</v>
      </c>
      <c r="X34" s="1537"/>
      <c r="Y34" s="3294"/>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282" t="str">
        <f>A35</f>
        <v>成交单价（元/平方米）</v>
      </c>
      <c r="Q35" s="3282"/>
      <c r="R35" s="3283">
        <f>E35</f>
        <v>0</v>
      </c>
      <c r="S35" s="3283"/>
      <c r="T35" s="3283">
        <f>G35</f>
        <v>0</v>
      </c>
      <c r="U35" s="3283"/>
      <c r="V35" s="3283">
        <f>I35</f>
        <v>0</v>
      </c>
      <c r="W35" s="3283"/>
      <c r="X35" s="698"/>
      <c r="Y35" s="720"/>
      <c r="Z35" s="698"/>
      <c r="AA35" s="698"/>
      <c r="AB35" s="698"/>
      <c r="AC35" s="698"/>
    </row>
    <row r="36" spans="1:30" ht="15.75" thickBot="1">
      <c r="A36" s="445" t="s">
        <v>2490</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1"/>
      <c r="M37" s="2952"/>
      <c r="N37" s="2952"/>
      <c r="O37" s="2952"/>
      <c r="P37" s="3333" t="str">
        <f>A37</f>
        <v>估价对象XX用房的比较价值（楼面单价，元/平方米）</v>
      </c>
      <c r="Q37" s="3334"/>
      <c r="R37" s="3386" t="e">
        <f>IF(F1="售价",ROUND(IF(D36="简单平均",AVERAGE(R36:W36),R36*F36+T36*H36+V36*J36),0),ROUND(IF(D36="简单平均",AVERAGE(R36:V36),R36*F36+T36*H36+V36*J36),1))</f>
        <v>#DIV/0!</v>
      </c>
      <c r="S37" s="3386"/>
      <c r="T37" s="3386"/>
      <c r="U37" s="3386"/>
      <c r="V37" s="3386"/>
      <c r="W37" s="3386"/>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4" t="str">
        <f>YEAR(C7)&amp;"-"&amp;MONTH(C7)</f>
        <v>2021-12</v>
      </c>
      <c r="D46" s="1345">
        <f>EDATE(C46,-1)</f>
        <v>44501</v>
      </c>
      <c r="E46" s="1345">
        <f t="shared" ref="E46:O46" si="16">EDATE(D46,-1)</f>
        <v>44470</v>
      </c>
      <c r="F46" s="1345">
        <f t="shared" si="16"/>
        <v>44440</v>
      </c>
      <c r="G46" s="1345">
        <f t="shared" si="16"/>
        <v>44409</v>
      </c>
      <c r="H46" s="1345">
        <f t="shared" si="16"/>
        <v>44378</v>
      </c>
      <c r="I46" s="1345">
        <f t="shared" si="16"/>
        <v>44348</v>
      </c>
      <c r="J46" s="1345">
        <f t="shared" si="16"/>
        <v>44317</v>
      </c>
      <c r="K46" s="1345">
        <f t="shared" si="16"/>
        <v>44287</v>
      </c>
      <c r="L46" s="1345">
        <f t="shared" si="16"/>
        <v>44256</v>
      </c>
      <c r="M46" s="1345">
        <f t="shared" si="16"/>
        <v>44228</v>
      </c>
      <c r="N46" s="1345">
        <f t="shared" si="16"/>
        <v>44197</v>
      </c>
      <c r="O46" s="1345">
        <f t="shared" si="16"/>
        <v>44166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9" t="s">
        <v>2467</v>
      </c>
      <c r="D4" s="3300"/>
      <c r="E4" s="3301" t="s">
        <v>2468</v>
      </c>
      <c r="F4" s="3302"/>
      <c r="G4" s="3299" t="s">
        <v>2469</v>
      </c>
      <c r="H4" s="3300"/>
      <c r="I4" s="3299" t="s">
        <v>2470</v>
      </c>
      <c r="J4" s="3300"/>
      <c r="K4" s="567" t="s">
        <v>2471</v>
      </c>
      <c r="L4" s="2942"/>
      <c r="M4" s="2943"/>
      <c r="N4" s="2943"/>
      <c r="O4" s="2943"/>
      <c r="P4" s="3337" t="s">
        <v>2472</v>
      </c>
      <c r="Q4" s="3338"/>
      <c r="R4" s="3341" t="s">
        <v>2468</v>
      </c>
      <c r="S4" s="3342"/>
      <c r="T4" s="3341" t="s">
        <v>2469</v>
      </c>
      <c r="U4" s="3342"/>
      <c r="V4" s="3316" t="s">
        <v>2470</v>
      </c>
      <c r="W4" s="3316"/>
      <c r="X4" s="1537"/>
      <c r="Y4" s="3341" t="s">
        <v>2472</v>
      </c>
      <c r="Z4" s="3342"/>
      <c r="AA4" s="3336" t="s">
        <v>2468</v>
      </c>
      <c r="AB4" s="3329" t="s">
        <v>2469</v>
      </c>
      <c r="AC4" s="3336" t="s">
        <v>2470</v>
      </c>
    </row>
    <row r="5" spans="1:29" ht="15">
      <c r="A5" s="364"/>
      <c r="B5" s="365"/>
      <c r="C5" s="3325" t="s">
        <v>2363</v>
      </c>
      <c r="D5" s="3320"/>
      <c r="E5" s="3343" t="s">
        <v>2364</v>
      </c>
      <c r="F5" s="3332"/>
      <c r="G5" s="3325" t="s">
        <v>2365</v>
      </c>
      <c r="H5" s="3320"/>
      <c r="I5" s="3325" t="s">
        <v>2366</v>
      </c>
      <c r="J5" s="3320"/>
      <c r="K5" s="567"/>
      <c r="L5" s="2942"/>
      <c r="M5" s="2943"/>
      <c r="N5" s="2943"/>
      <c r="O5" s="2943"/>
      <c r="P5" s="3339"/>
      <c r="Q5" s="3306"/>
      <c r="R5" s="3311"/>
      <c r="S5" s="3312"/>
      <c r="T5" s="3311"/>
      <c r="U5" s="3312"/>
      <c r="V5" s="3316"/>
      <c r="W5" s="3316"/>
      <c r="X5" s="1537"/>
      <c r="Y5" s="3311"/>
      <c r="Z5" s="3312"/>
      <c r="AA5" s="3329"/>
      <c r="AB5" s="3329"/>
      <c r="AC5" s="3329"/>
    </row>
    <row r="6" spans="1:29" ht="15.75" thickBot="1">
      <c r="A6" s="366"/>
      <c r="B6" s="367"/>
      <c r="C6" s="3387" t="s">
        <v>2618</v>
      </c>
      <c r="D6" s="3388"/>
      <c r="E6" s="3389" t="s">
        <v>2618</v>
      </c>
      <c r="F6" s="3390"/>
      <c r="G6" s="3387" t="s">
        <v>2618</v>
      </c>
      <c r="H6" s="3388"/>
      <c r="I6" s="3387" t="s">
        <v>2618</v>
      </c>
      <c r="J6" s="3388"/>
      <c r="K6" s="567" t="s">
        <v>2368</v>
      </c>
      <c r="L6" s="2942"/>
      <c r="M6" s="2943"/>
      <c r="N6" s="2943"/>
      <c r="O6" s="2943"/>
      <c r="P6" s="3340"/>
      <c r="Q6" s="3308"/>
      <c r="R6" s="3311"/>
      <c r="S6" s="3312"/>
      <c r="T6" s="3313"/>
      <c r="U6" s="3314"/>
      <c r="V6" s="3316"/>
      <c r="W6" s="3316"/>
      <c r="X6" s="1537"/>
      <c r="Y6" s="3313"/>
      <c r="Z6" s="3314"/>
      <c r="AA6" s="3330"/>
      <c r="AB6" s="3330"/>
      <c r="AC6" s="3330"/>
    </row>
    <row r="7" spans="1:29" s="113" customFormat="1" ht="15.75" thickBot="1">
      <c r="A7" s="368" t="s">
        <v>2369</v>
      </c>
      <c r="B7" s="369"/>
      <c r="C7" s="370">
        <f>'数据-取费表'!B2</f>
        <v>44561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23" t="s">
        <v>2370</v>
      </c>
      <c r="Q7" s="3324"/>
      <c r="R7" s="709" t="s">
        <v>17</v>
      </c>
      <c r="S7" s="710">
        <f t="shared" ref="S7:S15" si="0">F7</f>
        <v>0</v>
      </c>
      <c r="T7" s="709" t="s">
        <v>17</v>
      </c>
      <c r="U7" s="710">
        <f t="shared" ref="U7:U15" si="1">H7</f>
        <v>0</v>
      </c>
      <c r="V7" s="709" t="s">
        <v>17</v>
      </c>
      <c r="W7" s="710">
        <f t="shared" ref="W7:W15" si="2">J7</f>
        <v>0</v>
      </c>
      <c r="X7" s="711"/>
      <c r="Y7" s="3323" t="s">
        <v>2370</v>
      </c>
      <c r="Z7" s="3322"/>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23" t="s">
        <v>2373</v>
      </c>
      <c r="Q8" s="3322"/>
      <c r="R8" s="709" t="s">
        <v>17</v>
      </c>
      <c r="S8" s="710">
        <f t="shared" si="0"/>
        <v>0</v>
      </c>
      <c r="T8" s="709" t="s">
        <v>17</v>
      </c>
      <c r="U8" s="710">
        <f t="shared" si="1"/>
        <v>0</v>
      </c>
      <c r="V8" s="709" t="s">
        <v>17</v>
      </c>
      <c r="W8" s="710">
        <f t="shared" si="2"/>
        <v>0</v>
      </c>
      <c r="X8" s="711"/>
      <c r="Y8" s="3323" t="s">
        <v>2373</v>
      </c>
      <c r="Z8" s="3322"/>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2" t="s">
        <v>2376</v>
      </c>
      <c r="Q9" s="1525" t="str">
        <f t="shared" ref="Q9:Q15" si="6">B9</f>
        <v>用途</v>
      </c>
      <c r="R9" s="709" t="s">
        <v>17</v>
      </c>
      <c r="S9" s="710">
        <f t="shared" si="0"/>
        <v>100</v>
      </c>
      <c r="T9" s="709" t="s">
        <v>17</v>
      </c>
      <c r="U9" s="710">
        <f t="shared" si="1"/>
        <v>100</v>
      </c>
      <c r="V9" s="709" t="s">
        <v>17</v>
      </c>
      <c r="W9" s="710">
        <f t="shared" si="2"/>
        <v>100</v>
      </c>
      <c r="X9" s="711"/>
      <c r="Y9" s="3185"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235</v>
      </c>
      <c r="G10" s="391"/>
      <c r="H10" s="132">
        <f>ROUND(100/'数据-取费表'!G16,0)</f>
        <v>235</v>
      </c>
      <c r="I10" s="391"/>
      <c r="J10" s="132">
        <f>ROUND(100/'数据-取费表'!G16,0)</f>
        <v>235</v>
      </c>
      <c r="K10" s="628"/>
      <c r="L10" s="2946"/>
      <c r="M10" s="2947"/>
      <c r="N10" s="2947"/>
      <c r="O10" s="3000"/>
      <c r="P10" s="3282"/>
      <c r="Q10" s="1525" t="str">
        <f t="shared" si="6"/>
        <v>土地使用年限（年）</v>
      </c>
      <c r="R10" s="709" t="s">
        <v>17</v>
      </c>
      <c r="S10" s="710">
        <f t="shared" si="0"/>
        <v>235</v>
      </c>
      <c r="T10" s="709" t="s">
        <v>17</v>
      </c>
      <c r="U10" s="710">
        <f t="shared" si="1"/>
        <v>235</v>
      </c>
      <c r="V10" s="709" t="s">
        <v>17</v>
      </c>
      <c r="W10" s="710">
        <f t="shared" si="2"/>
        <v>235</v>
      </c>
      <c r="X10" s="711"/>
      <c r="Y10" s="3185"/>
      <c r="Z10" s="55" t="str">
        <f t="shared" si="7"/>
        <v>土地使用年限（年）</v>
      </c>
      <c r="AA10" s="712">
        <f t="shared" si="3"/>
        <v>0.42553191489361702</v>
      </c>
      <c r="AB10" s="712">
        <f t="shared" si="4"/>
        <v>0.42553191489361702</v>
      </c>
      <c r="AC10" s="712">
        <f t="shared" si="5"/>
        <v>0.42553191489361702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2"/>
      <c r="Q11" s="1525" t="str">
        <f t="shared" si="6"/>
        <v>容积率</v>
      </c>
      <c r="R11" s="709" t="s">
        <v>17</v>
      </c>
      <c r="S11" s="710" t="e">
        <f t="shared" si="0"/>
        <v>#N/A</v>
      </c>
      <c r="T11" s="709" t="s">
        <v>17</v>
      </c>
      <c r="U11" s="710" t="e">
        <f t="shared" si="1"/>
        <v>#N/A</v>
      </c>
      <c r="V11" s="709" t="s">
        <v>17</v>
      </c>
      <c r="W11" s="710" t="e">
        <f t="shared" si="2"/>
        <v>#N/A</v>
      </c>
      <c r="X11" s="711"/>
      <c r="Y11" s="3185"/>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2"/>
      <c r="Q12" s="1525">
        <f t="shared" si="6"/>
        <v>111</v>
      </c>
      <c r="R12" s="709" t="s">
        <v>17</v>
      </c>
      <c r="S12" s="710">
        <f t="shared" si="0"/>
        <v>100</v>
      </c>
      <c r="T12" s="709" t="s">
        <v>17</v>
      </c>
      <c r="U12" s="710">
        <f t="shared" si="1"/>
        <v>100</v>
      </c>
      <c r="V12" s="709" t="s">
        <v>17</v>
      </c>
      <c r="W12" s="710">
        <f t="shared" si="2"/>
        <v>100</v>
      </c>
      <c r="X12" s="711"/>
      <c r="Y12" s="3185"/>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85"/>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2"/>
      <c r="Q14" s="1525">
        <f t="shared" si="6"/>
        <v>111</v>
      </c>
      <c r="R14" s="709" t="s">
        <v>17</v>
      </c>
      <c r="S14" s="710">
        <f t="shared" si="0"/>
        <v>100</v>
      </c>
      <c r="T14" s="709" t="s">
        <v>17</v>
      </c>
      <c r="U14" s="710">
        <f t="shared" si="1"/>
        <v>100</v>
      </c>
      <c r="V14" s="709" t="s">
        <v>17</v>
      </c>
      <c r="W14" s="710">
        <f t="shared" si="2"/>
        <v>100</v>
      </c>
      <c r="X14" s="711"/>
      <c r="Y14" s="3185"/>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9" t="s">
        <v>2381</v>
      </c>
      <c r="Q15" s="1534" t="str">
        <f t="shared" si="6"/>
        <v>产业集聚程度</v>
      </c>
      <c r="R15" s="713" t="s">
        <v>17</v>
      </c>
      <c r="S15" s="714">
        <f t="shared" si="0"/>
        <v>100</v>
      </c>
      <c r="T15" s="713" t="s">
        <v>17</v>
      </c>
      <c r="U15" s="714">
        <f t="shared" si="1"/>
        <v>100</v>
      </c>
      <c r="V15" s="713" t="s">
        <v>17</v>
      </c>
      <c r="W15" s="714">
        <f t="shared" si="2"/>
        <v>100</v>
      </c>
      <c r="X15" s="1537"/>
      <c r="Y15" s="3289"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290"/>
      <c r="Q16" s="1534"/>
      <c r="R16" s="713"/>
      <c r="S16" s="714"/>
      <c r="T16" s="713"/>
      <c r="U16" s="714"/>
      <c r="V16" s="713"/>
      <c r="W16" s="714"/>
      <c r="X16" s="1537"/>
      <c r="Y16" s="3290"/>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0"/>
      <c r="Q17" s="1534" t="str">
        <f>B17</f>
        <v>交通便捷度</v>
      </c>
      <c r="R17" s="713" t="s">
        <v>17</v>
      </c>
      <c r="S17" s="714">
        <f>F17</f>
        <v>100</v>
      </c>
      <c r="T17" s="713" t="s">
        <v>17</v>
      </c>
      <c r="U17" s="714">
        <f>H17</f>
        <v>100</v>
      </c>
      <c r="V17" s="713" t="s">
        <v>17</v>
      </c>
      <c r="W17" s="714">
        <f>J17</f>
        <v>100</v>
      </c>
      <c r="X17" s="1537"/>
      <c r="Y17" s="3290"/>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290"/>
      <c r="Q18" s="1534"/>
      <c r="R18" s="713"/>
      <c r="S18" s="714"/>
      <c r="T18" s="713"/>
      <c r="U18" s="714"/>
      <c r="V18" s="713"/>
      <c r="W18" s="714"/>
      <c r="X18" s="1537"/>
      <c r="Y18" s="3290"/>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0"/>
      <c r="Q19" s="1534" t="str">
        <f t="shared" ref="Q19:Q33" si="8">B19</f>
        <v>区域土地利用方向</v>
      </c>
      <c r="R19" s="713" t="s">
        <v>17</v>
      </c>
      <c r="S19" s="714">
        <f>F19</f>
        <v>100</v>
      </c>
      <c r="T19" s="713" t="s">
        <v>17</v>
      </c>
      <c r="U19" s="714">
        <f>H19</f>
        <v>100</v>
      </c>
      <c r="V19" s="713" t="s">
        <v>17</v>
      </c>
      <c r="W19" s="714">
        <f>J19</f>
        <v>100</v>
      </c>
      <c r="X19" s="1537"/>
      <c r="Y19" s="3290"/>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290"/>
      <c r="Q20" s="1534"/>
      <c r="R20" s="713"/>
      <c r="S20" s="714"/>
      <c r="T20" s="713"/>
      <c r="U20" s="714"/>
      <c r="V20" s="713"/>
      <c r="W20" s="714"/>
      <c r="X20" s="1537"/>
      <c r="Y20" s="3290"/>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0"/>
      <c r="Q21" s="1534" t="str">
        <f t="shared" si="8"/>
        <v>环境状况</v>
      </c>
      <c r="R21" s="713" t="s">
        <v>17</v>
      </c>
      <c r="S21" s="714">
        <f>F21</f>
        <v>100</v>
      </c>
      <c r="T21" s="713" t="s">
        <v>17</v>
      </c>
      <c r="U21" s="714">
        <f>H21</f>
        <v>100</v>
      </c>
      <c r="V21" s="713" t="s">
        <v>17</v>
      </c>
      <c r="W21" s="714">
        <f>J21</f>
        <v>100</v>
      </c>
      <c r="X21" s="1537"/>
      <c r="Y21" s="3290"/>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290"/>
      <c r="Q22" s="1534"/>
      <c r="R22" s="713"/>
      <c r="S22" s="714"/>
      <c r="T22" s="713"/>
      <c r="U22" s="714"/>
      <c r="V22" s="713"/>
      <c r="W22" s="714"/>
      <c r="X22" s="1537"/>
      <c r="Y22" s="3290"/>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0"/>
      <c r="Q23" s="1525" t="str">
        <f t="shared" si="8"/>
        <v>公共配套设施</v>
      </c>
      <c r="R23" s="709" t="s">
        <v>17</v>
      </c>
      <c r="S23" s="710">
        <f>F23</f>
        <v>100</v>
      </c>
      <c r="T23" s="709" t="s">
        <v>17</v>
      </c>
      <c r="U23" s="710">
        <f>H23</f>
        <v>100</v>
      </c>
      <c r="V23" s="709" t="s">
        <v>17</v>
      </c>
      <c r="W23" s="710">
        <f>J23</f>
        <v>100</v>
      </c>
      <c r="X23" s="711"/>
      <c r="Y23" s="3290"/>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290"/>
      <c r="Q24" s="1525"/>
      <c r="R24" s="709"/>
      <c r="S24" s="710"/>
      <c r="T24" s="709"/>
      <c r="U24" s="710"/>
      <c r="V24" s="709"/>
      <c r="W24" s="710"/>
      <c r="X24" s="711"/>
      <c r="Y24" s="3290"/>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0"/>
      <c r="Q25" s="1525" t="str">
        <f t="shared" ref="Q25" si="9">B25</f>
        <v>基础设施水平</v>
      </c>
      <c r="R25" s="709" t="s">
        <v>17</v>
      </c>
      <c r="S25" s="710">
        <f>F25</f>
        <v>100</v>
      </c>
      <c r="T25" s="709" t="s">
        <v>17</v>
      </c>
      <c r="U25" s="710">
        <f>H25</f>
        <v>100</v>
      </c>
      <c r="V25" s="709" t="s">
        <v>17</v>
      </c>
      <c r="W25" s="710">
        <f>J25</f>
        <v>100</v>
      </c>
      <c r="X25" s="711"/>
      <c r="Y25" s="3290"/>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290"/>
      <c r="Q26" s="1525"/>
      <c r="R26" s="709"/>
      <c r="S26" s="710"/>
      <c r="T26" s="709"/>
      <c r="U26" s="710"/>
      <c r="V26" s="709"/>
      <c r="W26" s="710"/>
      <c r="X26" s="711"/>
      <c r="Y26" s="3290"/>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0"/>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90"/>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0"/>
      <c r="Q28" s="1534" t="str">
        <f t="shared" si="8"/>
        <v>毗邻道路的类型与等级</v>
      </c>
      <c r="R28" s="713" t="s">
        <v>17</v>
      </c>
      <c r="S28" s="714">
        <f t="shared" si="10"/>
        <v>100</v>
      </c>
      <c r="T28" s="713" t="s">
        <v>17</v>
      </c>
      <c r="U28" s="714">
        <f t="shared" si="11"/>
        <v>100</v>
      </c>
      <c r="V28" s="713" t="s">
        <v>17</v>
      </c>
      <c r="W28" s="714">
        <f t="shared" si="12"/>
        <v>100</v>
      </c>
      <c r="X28" s="1537"/>
      <c r="Y28" s="3290"/>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290"/>
      <c r="Q29" s="1534"/>
      <c r="R29" s="713"/>
      <c r="S29" s="714"/>
      <c r="T29" s="713"/>
      <c r="U29" s="714"/>
      <c r="V29" s="713"/>
      <c r="W29" s="714"/>
      <c r="X29" s="1537"/>
      <c r="Y29" s="3290"/>
      <c r="Z29" s="1538"/>
      <c r="AA29" s="1535">
        <v>1</v>
      </c>
      <c r="AB29" s="1535">
        <v>1</v>
      </c>
      <c r="AC29" s="1535">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0"/>
      <c r="Q30" s="1534" t="str">
        <f t="shared" si="8"/>
        <v>土地级别</v>
      </c>
      <c r="R30" s="713" t="s">
        <v>17</v>
      </c>
      <c r="S30" s="714">
        <f t="shared" si="10"/>
        <v>100</v>
      </c>
      <c r="T30" s="713" t="s">
        <v>17</v>
      </c>
      <c r="U30" s="714">
        <f t="shared" si="11"/>
        <v>100</v>
      </c>
      <c r="V30" s="713" t="s">
        <v>17</v>
      </c>
      <c r="W30" s="714">
        <f t="shared" si="12"/>
        <v>100</v>
      </c>
      <c r="X30" s="1537"/>
      <c r="Y30" s="3290"/>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0"/>
      <c r="Q31" s="1534">
        <f t="shared" si="8"/>
        <v>111</v>
      </c>
      <c r="R31" s="713" t="s">
        <v>17</v>
      </c>
      <c r="S31" s="714">
        <f t="shared" si="10"/>
        <v>100</v>
      </c>
      <c r="T31" s="713" t="s">
        <v>17</v>
      </c>
      <c r="U31" s="714">
        <f t="shared" si="11"/>
        <v>100</v>
      </c>
      <c r="V31" s="713" t="s">
        <v>17</v>
      </c>
      <c r="W31" s="714">
        <f t="shared" si="12"/>
        <v>100</v>
      </c>
      <c r="X31" s="1537"/>
      <c r="Y31" s="3290"/>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57" t="s">
        <v>2386</v>
      </c>
      <c r="Q32" s="1534">
        <f t="shared" si="8"/>
        <v>111</v>
      </c>
      <c r="R32" s="713" t="s">
        <v>17</v>
      </c>
      <c r="S32" s="714">
        <f t="shared" si="10"/>
        <v>100</v>
      </c>
      <c r="T32" s="713" t="s">
        <v>17</v>
      </c>
      <c r="U32" s="714">
        <f t="shared" si="11"/>
        <v>100</v>
      </c>
      <c r="V32" s="713" t="s">
        <v>17</v>
      </c>
      <c r="W32" s="714">
        <f t="shared" si="12"/>
        <v>100</v>
      </c>
      <c r="X32" s="1537"/>
      <c r="Y32" s="3294"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4"/>
      <c r="Q33" s="1534">
        <f t="shared" si="8"/>
        <v>111</v>
      </c>
      <c r="R33" s="716" t="s">
        <v>17</v>
      </c>
      <c r="S33" s="717">
        <f t="shared" si="10"/>
        <v>100</v>
      </c>
      <c r="T33" s="716" t="s">
        <v>17</v>
      </c>
      <c r="U33" s="717">
        <f t="shared" si="11"/>
        <v>100</v>
      </c>
      <c r="V33" s="716" t="s">
        <v>17</v>
      </c>
      <c r="W33" s="717">
        <f t="shared" si="12"/>
        <v>100</v>
      </c>
      <c r="X33" s="718"/>
      <c r="Y33" s="3294"/>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4"/>
      <c r="Q34" s="1534" t="str">
        <f>B34</f>
        <v>宗地面积</v>
      </c>
      <c r="R34" s="713" t="s">
        <v>17</v>
      </c>
      <c r="S34" s="714" t="e">
        <f t="shared" si="10"/>
        <v>#N/A</v>
      </c>
      <c r="T34" s="713" t="s">
        <v>17</v>
      </c>
      <c r="U34" s="714" t="e">
        <f t="shared" si="11"/>
        <v>#N/A</v>
      </c>
      <c r="V34" s="713" t="s">
        <v>17</v>
      </c>
      <c r="W34" s="714" t="e">
        <f t="shared" si="12"/>
        <v>#N/A</v>
      </c>
      <c r="X34" s="1537"/>
      <c r="Y34" s="3294"/>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4"/>
      <c r="Q35" s="1534" t="str">
        <f t="shared" ref="Q35:Q40" si="14">B35</f>
        <v>宗地形状</v>
      </c>
      <c r="R35" s="713" t="s">
        <v>17</v>
      </c>
      <c r="S35" s="714">
        <f t="shared" si="10"/>
        <v>100</v>
      </c>
      <c r="T35" s="713" t="s">
        <v>17</v>
      </c>
      <c r="U35" s="714">
        <f t="shared" si="11"/>
        <v>100</v>
      </c>
      <c r="V35" s="713" t="s">
        <v>17</v>
      </c>
      <c r="W35" s="714">
        <f t="shared" si="12"/>
        <v>100</v>
      </c>
      <c r="X35" s="1537"/>
      <c r="Y35" s="3294"/>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4"/>
      <c r="Q36" s="1534" t="str">
        <f t="shared" si="14"/>
        <v>宗地开发程度</v>
      </c>
      <c r="R36" s="709" t="s">
        <v>17</v>
      </c>
      <c r="S36" s="710">
        <f t="shared" si="10"/>
        <v>100</v>
      </c>
      <c r="T36" s="709" t="s">
        <v>17</v>
      </c>
      <c r="U36" s="710">
        <f t="shared" si="11"/>
        <v>100</v>
      </c>
      <c r="V36" s="709" t="s">
        <v>17</v>
      </c>
      <c r="W36" s="710">
        <f t="shared" si="12"/>
        <v>100</v>
      </c>
      <c r="X36" s="711"/>
      <c r="Y36" s="3294"/>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4" t="s">
        <v>2386</v>
      </c>
      <c r="Q37" s="1534" t="str">
        <f t="shared" si="14"/>
        <v>工程地质条件</v>
      </c>
      <c r="R37" s="713" t="s">
        <v>17</v>
      </c>
      <c r="S37" s="714">
        <f t="shared" si="10"/>
        <v>100</v>
      </c>
      <c r="T37" s="713" t="s">
        <v>17</v>
      </c>
      <c r="U37" s="714">
        <f t="shared" si="11"/>
        <v>100</v>
      </c>
      <c r="V37" s="713" t="s">
        <v>17</v>
      </c>
      <c r="W37" s="714">
        <f t="shared" si="12"/>
        <v>100</v>
      </c>
      <c r="X37" s="1537"/>
      <c r="Y37" s="3294"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4"/>
      <c r="Q38" s="1534">
        <f t="shared" si="14"/>
        <v>111</v>
      </c>
      <c r="R38" s="713" t="s">
        <v>17</v>
      </c>
      <c r="S38" s="714">
        <f t="shared" si="10"/>
        <v>100</v>
      </c>
      <c r="T38" s="713" t="s">
        <v>17</v>
      </c>
      <c r="U38" s="714">
        <f t="shared" si="11"/>
        <v>100</v>
      </c>
      <c r="V38" s="713" t="s">
        <v>17</v>
      </c>
      <c r="W38" s="714">
        <f t="shared" si="12"/>
        <v>100</v>
      </c>
      <c r="X38" s="1537"/>
      <c r="Y38" s="3294"/>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4"/>
      <c r="Q39" s="1534">
        <f t="shared" si="14"/>
        <v>111</v>
      </c>
      <c r="R39" s="713" t="s">
        <v>17</v>
      </c>
      <c r="S39" s="714">
        <f t="shared" si="10"/>
        <v>100</v>
      </c>
      <c r="T39" s="713" t="s">
        <v>17</v>
      </c>
      <c r="U39" s="714">
        <f t="shared" si="11"/>
        <v>100</v>
      </c>
      <c r="V39" s="713" t="s">
        <v>17</v>
      </c>
      <c r="W39" s="714">
        <f t="shared" si="12"/>
        <v>100</v>
      </c>
      <c r="X39" s="1537"/>
      <c r="Y39" s="3294"/>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4"/>
      <c r="Q40" s="1534">
        <f t="shared" si="14"/>
        <v>111</v>
      </c>
      <c r="R40" s="716" t="s">
        <v>17</v>
      </c>
      <c r="S40" s="717">
        <f t="shared" si="10"/>
        <v>100</v>
      </c>
      <c r="T40" s="716" t="s">
        <v>17</v>
      </c>
      <c r="U40" s="717">
        <f t="shared" si="11"/>
        <v>100</v>
      </c>
      <c r="V40" s="716" t="s">
        <v>17</v>
      </c>
      <c r="W40" s="717">
        <f t="shared" si="12"/>
        <v>100</v>
      </c>
      <c r="X40" s="718"/>
      <c r="Y40" s="3294"/>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282" t="str">
        <f>A41</f>
        <v>成交单价</v>
      </c>
      <c r="Q41" s="3282"/>
      <c r="R41" s="3316">
        <f>E41</f>
        <v>0</v>
      </c>
      <c r="S41" s="3316"/>
      <c r="T41" s="3316">
        <f>G41</f>
        <v>0</v>
      </c>
      <c r="U41" s="3316"/>
      <c r="V41" s="3316">
        <f>I41</f>
        <v>0</v>
      </c>
      <c r="W41" s="3316"/>
      <c r="X41" s="698"/>
      <c r="Y41" s="720"/>
      <c r="Z41" s="698"/>
      <c r="AA41" s="698"/>
      <c r="AB41" s="698"/>
      <c r="AC41" s="698"/>
    </row>
    <row r="42" spans="1:31" ht="15.75" thickBot="1">
      <c r="A42" s="445" t="s">
        <v>2490</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282" t="str">
        <f>A42</f>
        <v>比较价值（元/平方米）</v>
      </c>
      <c r="Q42" s="3282"/>
      <c r="R42" s="3353" t="e">
        <f>ROUND(PRODUCT(R41,AA7:AA40),0)</f>
        <v>#DIV/0!</v>
      </c>
      <c r="S42" s="3353"/>
      <c r="T42" s="3353" t="e">
        <f>ROUND(PRODUCT(T41,AB7:AB40),0)</f>
        <v>#DIV/0!</v>
      </c>
      <c r="U42" s="3353"/>
      <c r="V42" s="3353" t="e">
        <f>ROUND(PRODUCT(V41,AC7:AC40),0)</f>
        <v>#DIV/0!</v>
      </c>
      <c r="W42" s="3353"/>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333" t="str">
        <f>A43</f>
        <v>估价对象XX用房的比较价值（楼面单价，元/平方米）</v>
      </c>
      <c r="Q43" s="3334"/>
      <c r="R43" s="3354" t="e">
        <f>ROUND(IF(D42="简单平均",AVERAGE(R42:W42),R42*F42+T42*H42+V42*J42),0)</f>
        <v>#DIV/0!</v>
      </c>
      <c r="S43" s="3354"/>
      <c r="T43" s="3354"/>
      <c r="U43" s="3354"/>
      <c r="V43" s="3354"/>
      <c r="W43" s="3354"/>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299" t="s">
        <v>2585</v>
      </c>
      <c r="H50" s="3355"/>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43436.4</v>
      </c>
      <c r="F51" s="647" t="e">
        <f t="shared" ref="F51:F60" si="15">ROUND(B51*E51/10000,0)</f>
        <v>#DIV/0!</v>
      </c>
      <c r="G51" s="3281"/>
      <c r="H51" s="3282"/>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5">
        <v>0.25</v>
      </c>
      <c r="E52" s="650"/>
      <c r="F52" s="647" t="e">
        <f t="shared" si="15"/>
        <v>#DIV/0!</v>
      </c>
      <c r="G52" s="3356"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5">
        <v>0.25</v>
      </c>
      <c r="E53" s="650"/>
      <c r="F53" s="647" t="e">
        <f t="shared" si="15"/>
        <v>#DIV/0!</v>
      </c>
      <c r="G53" s="3356"/>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5">
        <v>0.25</v>
      </c>
      <c r="E54" s="650"/>
      <c r="F54" s="647" t="e">
        <f t="shared" si="15"/>
        <v>#DIV/0!</v>
      </c>
      <c r="G54" s="3356"/>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5">
        <v>0.25</v>
      </c>
      <c r="E55" s="650"/>
      <c r="F55" s="647" t="e">
        <f t="shared" si="15"/>
        <v>#DIV/0!</v>
      </c>
      <c r="G55" s="3356"/>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5">
        <v>0.25</v>
      </c>
      <c r="E56" s="223">
        <f>'数据-汇总表'!E11</f>
        <v>0</v>
      </c>
      <c r="F56" s="647"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5">
        <v>0.25</v>
      </c>
      <c r="E59" s="223">
        <f>'数据-汇总表'!E14</f>
        <v>0</v>
      </c>
      <c r="F59" s="647"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5">
        <v>0.25</v>
      </c>
      <c r="E60" s="223">
        <f>'数据-汇总表'!E15</f>
        <v>0</v>
      </c>
      <c r="F60" s="647"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27014.799999999999</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8"/>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2625</v>
      </c>
      <c r="B1" s="203"/>
      <c r="C1" s="207" t="s">
        <v>2626</v>
      </c>
      <c r="D1" s="348">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3" t="s">
        <v>2640</v>
      </c>
      <c r="D3" s="2184" t="s">
        <v>2641</v>
      </c>
      <c r="E3" s="2189"/>
      <c r="F3" s="2190" t="s">
        <v>2642</v>
      </c>
      <c r="G3" s="854">
        <f>IF(F3="宗地容积率",'数据-汇总表'!I4,IF(F3="估价对象容积率",'数据-汇总表'!I6,'数据-汇总表'!I7))</f>
        <v>1.61</v>
      </c>
      <c r="H3" s="175"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94"/>
      <c r="B4" s="3395"/>
      <c r="C4" s="3395"/>
      <c r="D4" s="3396"/>
      <c r="E4" s="3396"/>
      <c r="F4" s="3396"/>
      <c r="G4" s="3396"/>
      <c r="H4" s="3396"/>
      <c r="I4" s="3396"/>
      <c r="J4" s="3397"/>
      <c r="K4" s="1279"/>
      <c r="L4" s="2188" t="s">
        <v>2646</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98"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1.61</v>
      </c>
      <c r="AA7" s="1376"/>
      <c r="AB7" s="1376"/>
      <c r="AC7" s="1377"/>
      <c r="AD7" s="1378"/>
      <c r="AE7" s="1378"/>
      <c r="AF7" s="1378"/>
      <c r="AG7" s="1378"/>
      <c r="AH7" s="1378"/>
      <c r="AI7" s="1378"/>
      <c r="AJ7" s="1379"/>
    </row>
    <row r="8" spans="1:36" ht="15">
      <c r="A8" s="3399"/>
      <c r="B8" s="175"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391" t="s">
        <v>2661</v>
      </c>
      <c r="X8" s="3392"/>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99"/>
      <c r="B9" s="175" t="s">
        <v>2674</v>
      </c>
      <c r="C9" s="860">
        <f>SUMIF(修正!C59:C119,C8,修正!E59:E119)</f>
        <v>0</v>
      </c>
      <c r="D9" s="176" t="s">
        <v>140</v>
      </c>
      <c r="E9" s="176"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393"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9"/>
      <c r="B10" s="175" t="s">
        <v>2679</v>
      </c>
      <c r="C10" s="176">
        <f>SUMIF(修正!C59:C119,C8,修正!F59:F119)</f>
        <v>0</v>
      </c>
      <c r="D10" s="176" t="s">
        <v>141</v>
      </c>
      <c r="E10" s="176"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393"/>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9"/>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393" t="s">
        <v>2685</v>
      </c>
      <c r="X11" s="1384" t="s">
        <v>2686</v>
      </c>
      <c r="Y11" s="1385">
        <f>$G$3</f>
        <v>1.61</v>
      </c>
      <c r="Z11" s="1385">
        <f t="shared" ref="Z11:AJ11" si="3">$G$3</f>
        <v>1.61</v>
      </c>
      <c r="AA11" s="1385">
        <f t="shared" si="3"/>
        <v>1.61</v>
      </c>
      <c r="AB11" s="1385">
        <f t="shared" si="3"/>
        <v>1.61</v>
      </c>
      <c r="AC11" s="1385">
        <f t="shared" si="3"/>
        <v>1.61</v>
      </c>
      <c r="AD11" s="1385">
        <f t="shared" si="3"/>
        <v>1.61</v>
      </c>
      <c r="AE11" s="1385">
        <f t="shared" si="3"/>
        <v>1.61</v>
      </c>
      <c r="AF11" s="1385">
        <f t="shared" si="3"/>
        <v>1.61</v>
      </c>
      <c r="AG11" s="1385">
        <f t="shared" si="3"/>
        <v>1.61</v>
      </c>
      <c r="AH11" s="1385">
        <f t="shared" si="3"/>
        <v>1.61</v>
      </c>
      <c r="AI11" s="1385">
        <f t="shared" si="3"/>
        <v>1.61</v>
      </c>
      <c r="AJ11" s="1385">
        <f t="shared" si="3"/>
        <v>1.61</v>
      </c>
    </row>
    <row r="12" spans="1:36" ht="25.5" thickBot="1">
      <c r="A12" s="3398"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393"/>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0"/>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2">
        <v>12</v>
      </c>
      <c r="S13" s="1373"/>
      <c r="T13" s="1372" t="e">
        <f t="shared" si="0"/>
        <v>#DIV/0!</v>
      </c>
      <c r="U13" s="1373"/>
      <c r="V13" s="1372" t="e">
        <f t="shared" si="1"/>
        <v>#DIV/0!</v>
      </c>
      <c r="W13" s="3393"/>
      <c r="X13" s="1386"/>
      <c r="Y13" s="1383">
        <f>(-0.163*(Y12^2)-0.59*Y12+7617)*(10^(-4))/Y11</f>
        <v>0.47310559006211178</v>
      </c>
      <c r="Z13" s="1383">
        <f t="shared" ref="Z13:AJ13" si="5">(-0.163*(Z12^2)-0.59*Z12+7617)*(10^(-4))/Z11</f>
        <v>0.47310559006211178</v>
      </c>
      <c r="AA13" s="1383">
        <f t="shared" si="5"/>
        <v>0.47310559006211178</v>
      </c>
      <c r="AB13" s="1383">
        <f t="shared" si="5"/>
        <v>0.47310559006211178</v>
      </c>
      <c r="AC13" s="1383">
        <f t="shared" si="5"/>
        <v>0.47310559006211178</v>
      </c>
      <c r="AD13" s="1383">
        <f t="shared" si="5"/>
        <v>0.47310559006211178</v>
      </c>
      <c r="AE13" s="1383">
        <f t="shared" si="5"/>
        <v>0.47310559006211178</v>
      </c>
      <c r="AF13" s="1383">
        <f t="shared" si="5"/>
        <v>0.47310559006211178</v>
      </c>
      <c r="AG13" s="1383">
        <f t="shared" si="5"/>
        <v>0.47310559006211178</v>
      </c>
      <c r="AH13" s="1383">
        <f t="shared" si="5"/>
        <v>0.47310559006211178</v>
      </c>
      <c r="AI13" s="1383">
        <f t="shared" si="5"/>
        <v>0.47310559006211178</v>
      </c>
      <c r="AJ13" s="1383">
        <f t="shared" si="5"/>
        <v>0.47310559006211178</v>
      </c>
    </row>
    <row r="14" spans="1:36" ht="15">
      <c r="A14" s="3400"/>
      <c r="B14" s="2230"/>
      <c r="C14" s="2231"/>
      <c r="D14" s="2232"/>
      <c r="E14" s="2232"/>
      <c r="F14" s="2233"/>
      <c r="G14" s="2234" t="s">
        <v>2698</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01"/>
      <c r="B15" s="2238" t="s">
        <v>2699</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98" t="s">
        <v>2704</v>
      </c>
      <c r="B16" s="2207" t="s">
        <v>2705</v>
      </c>
      <c r="C16" s="2369" t="e">
        <f>ROUND(IF(F17="与级别开发程度一致",0,(G17-E17)/C17),0)</f>
        <v>#DIV/0!</v>
      </c>
      <c r="D16" s="3414" t="s">
        <v>2709</v>
      </c>
      <c r="E16" s="3415"/>
      <c r="F16" s="3414" t="s">
        <v>2706</v>
      </c>
      <c r="G16" s="3415"/>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402"/>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ROUND(IF(H19="按公示增长率计算",SUMPRODUCT((地价!A3:A36=YEAR(G19)&amp;"-"&amp;ROUNDUP(MONTH(G19)/3,0))*(地价!X2:AB2=E2)*(地价!X3:AB36)),IF(H19="地价指数",M20/M19,(1+I19)^O19)),4)</f>
        <v>#VALUE!</v>
      </c>
      <c r="D19" s="2249" t="s">
        <v>2713</v>
      </c>
      <c r="E19" s="863">
        <v>41640</v>
      </c>
      <c r="F19" s="2249" t="s">
        <v>2714</v>
      </c>
      <c r="G19" s="864">
        <f>'数据-取费表'!B2</f>
        <v>44561</v>
      </c>
      <c r="H19" s="2250"/>
      <c r="I19" s="865" t="str">
        <f>IF(H19="季度增幅（自定义）",SUMIF(N21:N24,E2,O21:O24),"")</f>
        <v/>
      </c>
      <c r="J19" s="2247"/>
      <c r="K19" s="1286"/>
      <c r="L19" s="2251" t="s">
        <v>2715</v>
      </c>
      <c r="M19" s="1494">
        <f>ROUND(SUMIF(地价!B2:F2,E2,地价!B36:F36),0)</f>
        <v>0</v>
      </c>
      <c r="N19" s="2252"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ROUND(SUMPRODUCT((地价!A4:A36=YEAR(G19)&amp;"-"&amp;ROUNDUP(MONTH(G19)/3,0))*(地价!B2:F2=E2)*(地价!B4:F36)),0)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f>IF(B21="容积率修正",IF(G3&lt;=10,D22,J22),C23)</f>
        <v>0</v>
      </c>
      <c r="D21" s="2263"/>
      <c r="E21" s="2263"/>
      <c r="F21" s="2263"/>
      <c r="G21" s="2263"/>
      <c r="H21" s="2263"/>
      <c r="I21" s="2263"/>
      <c r="J21" s="2264"/>
      <c r="K21" s="1286"/>
      <c r="L21" s="3017"/>
      <c r="M21" s="3017"/>
      <c r="N21" s="2265" t="s">
        <v>2725</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f>IF(E22=G22,F22,IF(G3&lt;=10,ROUND(F22+(H22-F22)*(G3-E22)/(G22-E22),4),"——"))</f>
        <v>0</v>
      </c>
      <c r="E22" s="854">
        <f>ROUNDDOWN(G3,1)</f>
        <v>1.6</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1.7000000000000002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7"/>
      <c r="M22" s="3017"/>
      <c r="N22" s="2265" t="s">
        <v>2729</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2732</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80"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3"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2740</v>
      </c>
      <c r="D32" s="455" t="s">
        <v>2741</v>
      </c>
      <c r="E32" s="455" t="s">
        <v>2742</v>
      </c>
      <c r="F32" s="348" t="s">
        <v>2750</v>
      </c>
      <c r="G32" s="2309" t="s">
        <v>2740</v>
      </c>
      <c r="H32" s="2309" t="s">
        <v>2741</v>
      </c>
      <c r="I32" s="2309"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411"/>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16"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412"/>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412"/>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41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413"/>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13"/>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t="e">
        <f>ROUND(POWER(1+E41,H41-G41)*(POWER(1+E41,G41)-1)/(POWER(1+E41,H41)-1),4)</f>
        <v>#DIV/0!</v>
      </c>
      <c r="D41" s="176" t="s">
        <v>2710</v>
      </c>
      <c r="E41" s="2367">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60" t="s">
        <v>2418</v>
      </c>
      <c r="K80" s="560" t="s">
        <v>2419</v>
      </c>
      <c r="L80" s="560" t="s">
        <v>2420</v>
      </c>
      <c r="M80" s="560" t="s">
        <v>2421</v>
      </c>
      <c r="N80" s="560"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403" t="s">
        <v>2792</v>
      </c>
      <c r="B90" s="3403"/>
      <c r="C90" s="3403"/>
      <c r="D90" s="3403"/>
      <c r="E90" s="3403"/>
      <c r="F90" s="3403"/>
      <c r="G90" s="3403"/>
      <c r="H90" s="3403"/>
      <c r="I90" s="3403"/>
      <c r="J90" s="3403"/>
      <c r="K90" s="2341"/>
      <c r="L90" s="2341"/>
      <c r="M90" s="2341"/>
      <c r="N90" s="2341"/>
    </row>
    <row r="91" spans="1:37">
      <c r="A91" s="3405" t="s">
        <v>2793</v>
      </c>
      <c r="B91" s="3405" t="s">
        <v>2794</v>
      </c>
      <c r="C91" s="2295" t="s">
        <v>2795</v>
      </c>
      <c r="D91" s="2296"/>
      <c r="E91" s="2296"/>
      <c r="F91" s="2296"/>
      <c r="G91" s="2296"/>
      <c r="H91" s="2296"/>
      <c r="I91" s="2296"/>
      <c r="J91" s="2342"/>
      <c r="K91" s="2343"/>
      <c r="L91" s="2343"/>
      <c r="M91" s="2343"/>
      <c r="N91" s="2343"/>
    </row>
    <row r="92" spans="1:37">
      <c r="A92" s="3405"/>
      <c r="B92" s="3405"/>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406"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0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0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0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0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0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07"/>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40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06" t="s">
        <v>2797</v>
      </c>
      <c r="B101" s="2348" t="s">
        <v>2798</v>
      </c>
      <c r="C101" s="2349">
        <f>$G$3</f>
        <v>1.61</v>
      </c>
      <c r="D101" s="2349">
        <f t="shared" ref="D101:N101" si="31">$G$3</f>
        <v>1.61</v>
      </c>
      <c r="E101" s="2349">
        <f t="shared" si="31"/>
        <v>1.61</v>
      </c>
      <c r="F101" s="2349">
        <f t="shared" si="31"/>
        <v>1.61</v>
      </c>
      <c r="G101" s="2349">
        <f t="shared" si="31"/>
        <v>1.61</v>
      </c>
      <c r="H101" s="2349">
        <f t="shared" si="31"/>
        <v>1.61</v>
      </c>
      <c r="I101" s="2349">
        <f t="shared" si="31"/>
        <v>1.61</v>
      </c>
      <c r="J101" s="2349">
        <f t="shared" si="31"/>
        <v>1.61</v>
      </c>
      <c r="K101" s="2349">
        <f t="shared" si="31"/>
        <v>1.61</v>
      </c>
      <c r="L101" s="2349">
        <f t="shared" si="31"/>
        <v>1.61</v>
      </c>
      <c r="M101" s="2349">
        <f t="shared" si="31"/>
        <v>1.61</v>
      </c>
      <c r="N101" s="2349">
        <f t="shared" si="31"/>
        <v>1.61</v>
      </c>
    </row>
    <row r="102" spans="1:14">
      <c r="A102" s="3407"/>
      <c r="B102" s="2344">
        <v>1</v>
      </c>
      <c r="C102" s="2345">
        <f>1.9362/C101</f>
        <v>1.2026086956521738</v>
      </c>
      <c r="D102" s="2345">
        <f>1.9362/D101</f>
        <v>1.2026086956521738</v>
      </c>
      <c r="E102" s="2345">
        <f>1.8629/E101</f>
        <v>1.1570807453416148</v>
      </c>
      <c r="F102" s="2345">
        <f>1.8629/F101</f>
        <v>1.1570807453416148</v>
      </c>
      <c r="G102" s="2345">
        <f>1.8629/G101</f>
        <v>1.1570807453416148</v>
      </c>
      <c r="H102" s="2345">
        <f>1.8629/H101</f>
        <v>1.1570807453416148</v>
      </c>
      <c r="I102" s="2345">
        <f>1.8629/I101</f>
        <v>1.1570807453416148</v>
      </c>
      <c r="J102" s="2345">
        <f>1.942/J101</f>
        <v>1.2062111801242235</v>
      </c>
      <c r="K102" s="2345">
        <f>1.942/K101</f>
        <v>1.2062111801242235</v>
      </c>
      <c r="L102" s="2345">
        <f>1.942/L101</f>
        <v>1.2062111801242235</v>
      </c>
      <c r="M102" s="2345">
        <f>1.942/M101</f>
        <v>1.2062111801242235</v>
      </c>
      <c r="N102" s="2345">
        <f>1.942/N101</f>
        <v>1.2062111801242235</v>
      </c>
    </row>
    <row r="103" spans="1:14">
      <c r="A103" s="3407"/>
      <c r="B103" s="2344">
        <v>2</v>
      </c>
      <c r="C103" s="2345">
        <f>1.4198/C101</f>
        <v>0.88186335403726701</v>
      </c>
      <c r="D103" s="2345">
        <f>1.4198/D101</f>
        <v>0.88186335403726701</v>
      </c>
      <c r="E103" s="2345">
        <f>1.3372/E101</f>
        <v>0.83055900621118006</v>
      </c>
      <c r="F103" s="2345">
        <f>1.3372/F101</f>
        <v>0.83055900621118006</v>
      </c>
      <c r="G103" s="2345">
        <f>1.3372/G101</f>
        <v>0.83055900621118006</v>
      </c>
      <c r="H103" s="2345">
        <f>1.3372/H101</f>
        <v>0.83055900621118006</v>
      </c>
      <c r="I103" s="2345">
        <f>1.3372/I101</f>
        <v>0.83055900621118006</v>
      </c>
      <c r="J103" s="2345">
        <f>1.2799/J101</f>
        <v>0.7949689440993789</v>
      </c>
      <c r="K103" s="2345">
        <f>1.2799/K101</f>
        <v>0.7949689440993789</v>
      </c>
      <c r="L103" s="2345">
        <f>1.2799/L101</f>
        <v>0.7949689440993789</v>
      </c>
      <c r="M103" s="2345">
        <f>1.2799/M101</f>
        <v>0.7949689440993789</v>
      </c>
      <c r="N103" s="2345">
        <f>1.2799/N101</f>
        <v>0.7949689440993789</v>
      </c>
    </row>
    <row r="104" spans="1:14">
      <c r="A104" s="3407"/>
      <c r="B104" s="2344">
        <v>3</v>
      </c>
      <c r="C104" s="2345">
        <f>1.1594/C101</f>
        <v>0.7201242236024844</v>
      </c>
      <c r="D104" s="2345">
        <f>1.1594/D101</f>
        <v>0.7201242236024844</v>
      </c>
      <c r="E104" s="2345">
        <f>1.0788/E101</f>
        <v>0.6700621118012422</v>
      </c>
      <c r="F104" s="2345">
        <f>1.0788/F101</f>
        <v>0.6700621118012422</v>
      </c>
      <c r="G104" s="2345">
        <f>1.0788/G101</f>
        <v>0.6700621118012422</v>
      </c>
      <c r="H104" s="2345">
        <f>1.0788/H101</f>
        <v>0.6700621118012422</v>
      </c>
      <c r="I104" s="2345">
        <f>1.0788/I101</f>
        <v>0.6700621118012422</v>
      </c>
      <c r="J104" s="2345">
        <f>1.0072/J101</f>
        <v>0.62559006211180124</v>
      </c>
      <c r="K104" s="2345">
        <f>1.0072/K101</f>
        <v>0.62559006211180124</v>
      </c>
      <c r="L104" s="2345">
        <f>1.0072/L101</f>
        <v>0.62559006211180124</v>
      </c>
      <c r="M104" s="2345">
        <f>1.0072/M101</f>
        <v>0.62559006211180124</v>
      </c>
      <c r="N104" s="2345">
        <f>1.0072/N101</f>
        <v>0.62559006211180124</v>
      </c>
    </row>
    <row r="105" spans="1:14">
      <c r="A105" s="3407"/>
      <c r="B105" s="2344">
        <v>4</v>
      </c>
      <c r="C105" s="2345">
        <f>0.9622/C101</f>
        <v>0.59763975155279503</v>
      </c>
      <c r="D105" s="2345">
        <f>0.9622/D101</f>
        <v>0.59763975155279503</v>
      </c>
      <c r="E105" s="2345">
        <f>0.8656/E101</f>
        <v>0.53763975155279498</v>
      </c>
      <c r="F105" s="2345">
        <f>0.8656/F101</f>
        <v>0.53763975155279498</v>
      </c>
      <c r="G105" s="2345">
        <f>0.8656/G101</f>
        <v>0.53763975155279498</v>
      </c>
      <c r="H105" s="2345">
        <f>0.8656/H101</f>
        <v>0.53763975155279498</v>
      </c>
      <c r="I105" s="2345">
        <f>0.8656/I101</f>
        <v>0.53763975155279498</v>
      </c>
      <c r="J105" s="2345">
        <f>0.7525/J101</f>
        <v>0.46739130434782605</v>
      </c>
      <c r="K105" s="2345">
        <f>0.7525/K101</f>
        <v>0.46739130434782605</v>
      </c>
      <c r="L105" s="2345">
        <f>0.7525/L101</f>
        <v>0.46739130434782605</v>
      </c>
      <c r="M105" s="2345">
        <f>0.7525/M101</f>
        <v>0.46739130434782605</v>
      </c>
      <c r="N105" s="2345">
        <f>0.7525/N101</f>
        <v>0.46739130434782605</v>
      </c>
    </row>
    <row r="106" spans="1:14">
      <c r="A106" s="3407"/>
      <c r="B106" s="2344">
        <v>5</v>
      </c>
      <c r="C106" s="2345">
        <f>0.8417/C101</f>
        <v>0.52279503105590064</v>
      </c>
      <c r="D106" s="2345">
        <f>0.8417/D101</f>
        <v>0.52279503105590064</v>
      </c>
      <c r="E106" s="2345">
        <f>0.7371/E101</f>
        <v>0.45782608695652172</v>
      </c>
      <c r="F106" s="2345">
        <f>0.7371/F101</f>
        <v>0.45782608695652172</v>
      </c>
      <c r="G106" s="2345">
        <f>0.7371/G101</f>
        <v>0.45782608695652172</v>
      </c>
      <c r="H106" s="2345">
        <f>0.7371/H101</f>
        <v>0.45782608695652172</v>
      </c>
      <c r="I106" s="2345">
        <f>0.7371/I101</f>
        <v>0.45782608695652172</v>
      </c>
      <c r="J106" s="2345">
        <f>0.5659/J101</f>
        <v>0.35149068322981364</v>
      </c>
      <c r="K106" s="2345">
        <f>0.5659/K101</f>
        <v>0.35149068322981364</v>
      </c>
      <c r="L106" s="2345">
        <f>0.5659/L101</f>
        <v>0.35149068322981364</v>
      </c>
      <c r="M106" s="2345">
        <f>0.5659/M101</f>
        <v>0.35149068322981364</v>
      </c>
      <c r="N106" s="2345">
        <f>0.5659/N101</f>
        <v>0.35149068322981364</v>
      </c>
    </row>
    <row r="107" spans="1:14">
      <c r="A107" s="3407"/>
      <c r="B107" s="2344">
        <v>6</v>
      </c>
      <c r="C107" s="2345">
        <f>0.7608/C101</f>
        <v>0.47254658385093168</v>
      </c>
      <c r="D107" s="2345">
        <f>0.7608/D101</f>
        <v>0.47254658385093168</v>
      </c>
      <c r="E107" s="2345">
        <f>0.6482/E101</f>
        <v>0.40260869565217389</v>
      </c>
      <c r="F107" s="2345">
        <f>0.6482/F101</f>
        <v>0.40260869565217389</v>
      </c>
      <c r="G107" s="2345">
        <f>0.6482/G101</f>
        <v>0.40260869565217389</v>
      </c>
      <c r="H107" s="2345">
        <f>0.6482/H101</f>
        <v>0.40260869565217389</v>
      </c>
      <c r="I107" s="2345">
        <f>0.6482/I101</f>
        <v>0.40260869565217389</v>
      </c>
      <c r="J107" s="2345">
        <f>0.4525/J101</f>
        <v>0.28105590062111802</v>
      </c>
      <c r="K107" s="2345">
        <f>0.4525/K101</f>
        <v>0.28105590062111802</v>
      </c>
      <c r="L107" s="2345">
        <f>0.4525/L101</f>
        <v>0.28105590062111802</v>
      </c>
      <c r="M107" s="2345">
        <f>0.4525/M101</f>
        <v>0.28105590062111802</v>
      </c>
      <c r="N107" s="2345">
        <f>0.4525/N101</f>
        <v>0.28105590062111802</v>
      </c>
    </row>
    <row r="108" spans="1:14">
      <c r="A108" s="3407"/>
      <c r="B108" s="3409"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408"/>
      <c r="B109" s="3410"/>
      <c r="C109" s="2347">
        <f>(-0.163*(C108^2)-0.59*C108+7617)*(10^(-4))/C101</f>
        <v>0.47310559006211178</v>
      </c>
      <c r="D109" s="2347">
        <f>(-0.163*(D108^2)-0.59*D108+7617)*(10^(-4))/D101</f>
        <v>0.47310559006211178</v>
      </c>
      <c r="E109" s="2347">
        <f>(-0.161*(E108^2)-7.509*E108+6533)*(10^(-4))/E101</f>
        <v>0.40577639751552791</v>
      </c>
      <c r="F109" s="2347">
        <f>(-0.161*(F108^2)-7.509*F108+6533)*(10^(-4))/F101</f>
        <v>0.40577639751552791</v>
      </c>
      <c r="G109" s="2347">
        <f>(-0.161*(G108^2)-7.509*G108+6533)*(10^(-4))/G101</f>
        <v>0.40577639751552791</v>
      </c>
      <c r="H109" s="2347">
        <f>(-0.161*(H108^2)-7.509*H108+6533)*(10^(-4))/H101</f>
        <v>0.40577639751552791</v>
      </c>
      <c r="I109" s="2347">
        <f>(-0.161*(I108^2)-7.509*I108+6533)*(10^(-4))/I101</f>
        <v>0.40577639751552791</v>
      </c>
      <c r="J109" s="2347">
        <f>(-0.214*(J108^2)-21.991*J108+4665)*(10^(-4))/J101</f>
        <v>0.28975155279503106</v>
      </c>
      <c r="K109" s="2347">
        <f>(-0.214*(K108^2)-21.991*K108+4665)*(10^(-4))/K101</f>
        <v>0.28975155279503106</v>
      </c>
      <c r="L109" s="2347">
        <f>(-0.214*(L108^2)-21.991*L108+4665)*(10^(-4))/L101</f>
        <v>0.28975155279503106</v>
      </c>
      <c r="M109" s="2347">
        <f>(-0.214*(M108^2)-21.991*M108+4665)*(10^(-4))/M101</f>
        <v>0.28975155279503106</v>
      </c>
      <c r="N109" s="2347">
        <f>(-0.214*(N108^2)-21.991*N108+4665)*(10^(-4))/N101</f>
        <v>0.28975155279503106</v>
      </c>
    </row>
    <row r="110" spans="1:14">
      <c r="A110" s="3404" t="s">
        <v>2800</v>
      </c>
      <c r="B110" s="3404"/>
      <c r="C110" s="3404"/>
      <c r="D110" s="3404"/>
      <c r="E110" s="3404"/>
      <c r="F110" s="3404"/>
      <c r="G110" s="3404"/>
      <c r="H110" s="3404"/>
      <c r="I110" s="3404"/>
      <c r="J110" s="3404"/>
      <c r="K110" s="2350"/>
      <c r="L110" s="2350"/>
      <c r="M110" s="2350"/>
      <c r="N110" s="2350"/>
    </row>
    <row r="112" spans="1:14" ht="13.5" thickBot="1"/>
    <row r="113" spans="1:13" ht="25.5" thickBot="1">
      <c r="A113" s="841" t="s">
        <v>2801</v>
      </c>
      <c r="B113" s="1196">
        <f>G3</f>
        <v>1.61</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0.91839999999999999</v>
      </c>
      <c r="C115" s="848">
        <f>B115</f>
        <v>0.91839999999999999</v>
      </c>
      <c r="D115" s="848">
        <f>ROUND(0.8331-0.0109*B113,4)</f>
        <v>0.81559999999999999</v>
      </c>
      <c r="E115" s="848">
        <f>D115</f>
        <v>0.81559999999999999</v>
      </c>
      <c r="F115" s="848">
        <f>E115</f>
        <v>0.81559999999999999</v>
      </c>
      <c r="G115" s="848">
        <f>F115</f>
        <v>0.81559999999999999</v>
      </c>
      <c r="H115" s="848">
        <f>G115</f>
        <v>0.81559999999999999</v>
      </c>
      <c r="I115" s="848">
        <f>ROUND(0.689-0.0155*B113,4)</f>
        <v>0.66400000000000003</v>
      </c>
      <c r="J115" s="848">
        <f t="shared" ref="J115:M118" si="33">I115</f>
        <v>0.66400000000000003</v>
      </c>
      <c r="K115" s="848">
        <f t="shared" si="33"/>
        <v>0.66400000000000003</v>
      </c>
      <c r="L115" s="848">
        <f t="shared" si="33"/>
        <v>0.66400000000000003</v>
      </c>
      <c r="M115" s="849">
        <f t="shared" si="33"/>
        <v>0.66400000000000003</v>
      </c>
    </row>
    <row r="116" spans="1:13">
      <c r="A116" s="847" t="s">
        <v>2701</v>
      </c>
      <c r="B116" s="848">
        <f>ROUND(0.949-0.012*B113,4)</f>
        <v>0.92969999999999997</v>
      </c>
      <c r="C116" s="848">
        <f>B116</f>
        <v>0.92969999999999997</v>
      </c>
      <c r="D116" s="848">
        <f>ROUND(0.8567-0.013*B113,4)</f>
        <v>0.83579999999999999</v>
      </c>
      <c r="E116" s="848">
        <f t="shared" ref="E116:H117" si="34">D116</f>
        <v>0.83579999999999999</v>
      </c>
      <c r="F116" s="848">
        <f t="shared" si="34"/>
        <v>0.83579999999999999</v>
      </c>
      <c r="G116" s="848">
        <f t="shared" si="34"/>
        <v>0.83579999999999999</v>
      </c>
      <c r="H116" s="848">
        <f t="shared" si="34"/>
        <v>0.83579999999999999</v>
      </c>
      <c r="I116" s="848">
        <f>ROUND(0.7694-0.014*B113,4)</f>
        <v>0.74690000000000001</v>
      </c>
      <c r="J116" s="848">
        <f t="shared" si="33"/>
        <v>0.74690000000000001</v>
      </c>
      <c r="K116" s="848">
        <f t="shared" si="33"/>
        <v>0.74690000000000001</v>
      </c>
      <c r="L116" s="848">
        <f t="shared" si="33"/>
        <v>0.74690000000000001</v>
      </c>
      <c r="M116" s="849">
        <f t="shared" si="33"/>
        <v>0.74690000000000001</v>
      </c>
    </row>
    <row r="117" spans="1:13">
      <c r="A117" s="847" t="s">
        <v>2702</v>
      </c>
      <c r="B117" s="848">
        <f>ROUND(0.8808-0.006*B113,4)</f>
        <v>0.87109999999999999</v>
      </c>
      <c r="C117" s="848">
        <f>B117</f>
        <v>0.87109999999999999</v>
      </c>
      <c r="D117" s="848">
        <f>ROUND(0.8748-0.008*B113,4)</f>
        <v>0.8619</v>
      </c>
      <c r="E117" s="848">
        <f t="shared" si="34"/>
        <v>0.8619</v>
      </c>
      <c r="F117" s="848">
        <f t="shared" si="34"/>
        <v>0.8619</v>
      </c>
      <c r="G117" s="848">
        <f t="shared" si="34"/>
        <v>0.8619</v>
      </c>
      <c r="H117" s="848">
        <f t="shared" si="34"/>
        <v>0.8619</v>
      </c>
      <c r="I117" s="848">
        <f>ROUND(0.7412-0.0095*B113,4)</f>
        <v>0.72589999999999999</v>
      </c>
      <c r="J117" s="848">
        <f t="shared" si="33"/>
        <v>0.72589999999999999</v>
      </c>
      <c r="K117" s="848">
        <f t="shared" si="33"/>
        <v>0.72589999999999999</v>
      </c>
      <c r="L117" s="848">
        <f t="shared" si="33"/>
        <v>0.72589999999999999</v>
      </c>
      <c r="M117" s="849">
        <f t="shared" si="33"/>
        <v>0.72589999999999999</v>
      </c>
    </row>
    <row r="118" spans="1:13" ht="13.5" thickBot="1">
      <c r="A118" s="669" t="s">
        <v>2703</v>
      </c>
      <c r="B118" s="850">
        <f>ROUND(0.7275-0.01*B113,4)</f>
        <v>0.71140000000000003</v>
      </c>
      <c r="C118" s="850">
        <f>B118</f>
        <v>0.71140000000000003</v>
      </c>
      <c r="D118" s="850">
        <f>ROUND(0.7043-0.012*B113,4)</f>
        <v>0.68500000000000005</v>
      </c>
      <c r="E118" s="850">
        <f>D118</f>
        <v>0.68500000000000005</v>
      </c>
      <c r="F118" s="850">
        <f>E118</f>
        <v>0.68500000000000005</v>
      </c>
      <c r="G118" s="850">
        <f>ROUND(0.6299-0.0122*B113,4)</f>
        <v>0.61029999999999995</v>
      </c>
      <c r="H118" s="850">
        <f>G118</f>
        <v>0.61029999999999995</v>
      </c>
      <c r="I118" s="850">
        <f>ROUND(0.5667-0.0136*B113,4)</f>
        <v>0.54479999999999995</v>
      </c>
      <c r="J118" s="850">
        <f t="shared" si="33"/>
        <v>0.54479999999999995</v>
      </c>
      <c r="K118" s="850">
        <f t="shared" si="33"/>
        <v>0.54479999999999995</v>
      </c>
      <c r="L118" s="850">
        <f t="shared" si="33"/>
        <v>0.54479999999999995</v>
      </c>
      <c r="M118" s="851">
        <f t="shared" si="33"/>
        <v>0.54479999999999995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估价结果一览表（市场价值不需“结果表-1”）</v>
      </c>
      <c r="B3" s="3098"/>
      <c r="C3" s="3098"/>
      <c r="D3" s="3098"/>
      <c r="E3" s="3098"/>
    </row>
    <row r="4" spans="1:5" ht="19.5" thickBot="1">
      <c r="A4" s="1676"/>
      <c r="B4" s="3096" t="s">
        <v>1595</v>
      </c>
      <c r="C4" s="3096"/>
      <c r="D4" s="3096"/>
      <c r="E4" s="1676"/>
    </row>
    <row r="5" spans="1:5" ht="16.5" thickTop="1">
      <c r="A5" s="1674"/>
      <c r="B5" s="3094" t="s">
        <v>1587</v>
      </c>
      <c r="C5" s="1677" t="s">
        <v>1588</v>
      </c>
      <c r="D5" s="958">
        <f ca="1">结果表!H101</f>
        <v>27299</v>
      </c>
      <c r="E5" s="1674"/>
    </row>
    <row r="6" spans="1:5" ht="15.75">
      <c r="A6" s="1674"/>
      <c r="B6" s="3094"/>
      <c r="C6" s="1677" t="s">
        <v>1589</v>
      </c>
      <c r="D6" s="958" t="str">
        <f ca="1">NUMBERSTRING(INT(D5*10000),2)&amp;"元整"</f>
        <v>贰亿柒仟贰佰玖拾玖万元整</v>
      </c>
      <c r="E6" s="1674"/>
    </row>
    <row r="7" spans="1:5" ht="15.75">
      <c r="A7" s="1674"/>
      <c r="B7" s="3099"/>
      <c r="C7" s="1678" t="s">
        <v>1590</v>
      </c>
      <c r="D7" s="959">
        <f ca="1">结果表!H102</f>
        <v>6285</v>
      </c>
      <c r="E7" s="1674"/>
    </row>
    <row r="8" spans="1:5" ht="15.75">
      <c r="A8" s="1674"/>
      <c r="B8" s="3100" t="str">
        <f>结果表!E103</f>
        <v>2.估价师知悉的法定优先受偿款</v>
      </c>
      <c r="C8" s="1679" t="s">
        <v>1591</v>
      </c>
      <c r="D8" s="959">
        <f>结果表!H103</f>
        <v>0</v>
      </c>
      <c r="E8" s="1674"/>
    </row>
    <row r="9" spans="1:5" ht="15.75">
      <c r="A9" s="1674"/>
      <c r="B9" s="3102"/>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93" t="str">
        <f>结果表!E107</f>
        <v>3.房地产抵押价值</v>
      </c>
      <c r="C13" s="1682" t="s">
        <v>1588</v>
      </c>
      <c r="D13" s="961">
        <f ca="1">结果表!H107</f>
        <v>27299</v>
      </c>
      <c r="E13" s="1674"/>
    </row>
    <row r="14" spans="1:5" ht="15.75">
      <c r="A14" s="1674"/>
      <c r="B14" s="3094"/>
      <c r="C14" s="1677" t="s">
        <v>1589</v>
      </c>
      <c r="D14" s="958" t="str">
        <f ca="1">NUMBERSTRING(INT(D13*10000),2)&amp;"元整"</f>
        <v>贰亿柒仟贰佰玖拾玖万元整</v>
      </c>
      <c r="E14" s="1674"/>
    </row>
    <row r="15" spans="1:5" ht="15">
      <c r="A15" s="1674"/>
      <c r="B15" s="3099"/>
      <c r="C15" s="1678" t="s">
        <v>1599</v>
      </c>
      <c r="D15" s="967">
        <f ca="1">结果表!H108</f>
        <v>6285</v>
      </c>
      <c r="E15" s="1674"/>
    </row>
    <row r="16" spans="1:5" ht="15">
      <c r="A16" s="1674"/>
      <c r="B16" s="3100" t="str">
        <f>结果表!E109</f>
        <v>——</v>
      </c>
      <c r="C16" s="1682" t="s">
        <v>1600</v>
      </c>
      <c r="D16" s="1683" t="str">
        <f>结果表!H109</f>
        <v>——</v>
      </c>
      <c r="E16" s="1674"/>
    </row>
    <row r="17" spans="1:5" ht="15.75">
      <c r="A17" s="1674"/>
      <c r="B17" s="3101"/>
      <c r="C17" s="1677" t="s">
        <v>1601</v>
      </c>
      <c r="D17" s="958" t="e">
        <f>NUMBERSTRING(INT(D16*10000),2)&amp;"元整"</f>
        <v>#VALUE!</v>
      </c>
      <c r="E17" s="1674"/>
    </row>
    <row r="18" spans="1:5" ht="15">
      <c r="A18" s="1674"/>
      <c r="B18" s="3102"/>
      <c r="C18" s="1678" t="s">
        <v>1590</v>
      </c>
      <c r="D18" s="967" t="str">
        <f>结果表!H110</f>
        <v>——</v>
      </c>
      <c r="E18" s="1674"/>
    </row>
    <row r="19" spans="1:5" ht="15.75">
      <c r="A19" s="1674"/>
      <c r="B19" s="3093" t="str">
        <f>结果表!E111</f>
        <v>——</v>
      </c>
      <c r="C19" s="1682" t="s">
        <v>1588</v>
      </c>
      <c r="D19" s="959" t="str">
        <f>结果表!H111</f>
        <v>——</v>
      </c>
      <c r="E19" s="1674"/>
    </row>
    <row r="20" spans="1:5" ht="15.75">
      <c r="A20" s="1674"/>
      <c r="B20" s="3094"/>
      <c r="C20" s="1677" t="s">
        <v>1601</v>
      </c>
      <c r="D20" s="958" t="e">
        <f>NUMBERSTRING(INT(D19*10000),2)&amp;"元整"</f>
        <v>#VALUE!</v>
      </c>
      <c r="E20" s="1674"/>
    </row>
    <row r="21" spans="1:5" ht="15.75" thickBot="1">
      <c r="A21" s="1674"/>
      <c r="B21" s="3095"/>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7" t="s">
        <v>183</v>
      </c>
      <c r="B18" s="820" t="s">
        <v>560</v>
      </c>
      <c r="C18" s="821" t="s">
        <v>561</v>
      </c>
      <c r="D18" s="822"/>
      <c r="E18" s="820">
        <v>1</v>
      </c>
      <c r="F18" s="823" t="s">
        <v>562</v>
      </c>
      <c r="G18" s="824"/>
      <c r="H18" s="816"/>
      <c r="I18" s="816"/>
    </row>
    <row r="19" spans="1:9" s="825" customFormat="1" ht="19.5" customHeight="1">
      <c r="A19" s="3417"/>
      <c r="B19" s="3417" t="s">
        <v>563</v>
      </c>
      <c r="C19" s="821" t="s">
        <v>564</v>
      </c>
      <c r="D19" s="822"/>
      <c r="E19" s="820">
        <v>0.9</v>
      </c>
      <c r="F19" s="823" t="s">
        <v>565</v>
      </c>
      <c r="G19" s="824"/>
      <c r="H19" s="816"/>
      <c r="I19" s="816"/>
    </row>
    <row r="20" spans="1:9" s="825" customFormat="1" ht="19.5" customHeight="1">
      <c r="A20" s="3417"/>
      <c r="B20" s="3417"/>
      <c r="C20" s="821" t="s">
        <v>566</v>
      </c>
      <c r="D20" s="822"/>
      <c r="E20" s="820">
        <v>1.1000000000000001</v>
      </c>
      <c r="F20" s="823" t="s">
        <v>567</v>
      </c>
      <c r="G20" s="824"/>
      <c r="H20" s="816"/>
      <c r="I20" s="816"/>
    </row>
    <row r="21" spans="1:9" s="825" customFormat="1" ht="19.5" customHeight="1">
      <c r="A21" s="3417"/>
      <c r="B21" s="3417"/>
      <c r="C21" s="821" t="s">
        <v>568</v>
      </c>
      <c r="D21" s="822"/>
      <c r="E21" s="820">
        <v>0.8</v>
      </c>
      <c r="F21" s="823" t="s">
        <v>569</v>
      </c>
      <c r="G21" s="824"/>
      <c r="H21" s="816"/>
      <c r="I21" s="816"/>
    </row>
    <row r="22" spans="1:9" s="825" customFormat="1" ht="19.5" customHeight="1">
      <c r="A22" s="3417"/>
      <c r="B22" s="3417"/>
      <c r="C22" s="821" t="s">
        <v>570</v>
      </c>
      <c r="D22" s="822"/>
      <c r="E22" s="820">
        <v>0.5</v>
      </c>
      <c r="F22" s="823"/>
      <c r="G22" s="824"/>
      <c r="H22" s="816"/>
      <c r="I22" s="816"/>
    </row>
    <row r="23" spans="1:9" s="825" customFormat="1" ht="19.5" customHeight="1">
      <c r="A23" s="3417" t="s">
        <v>184</v>
      </c>
      <c r="B23" s="820" t="s">
        <v>560</v>
      </c>
      <c r="C23" s="821" t="s">
        <v>571</v>
      </c>
      <c r="D23" s="822"/>
      <c r="E23" s="820">
        <v>1</v>
      </c>
      <c r="F23" s="823" t="s">
        <v>572</v>
      </c>
      <c r="G23" s="824"/>
      <c r="H23" s="816"/>
      <c r="I23" s="816"/>
    </row>
    <row r="24" spans="1:9" s="825" customFormat="1" ht="19.5" customHeight="1">
      <c r="A24" s="3417"/>
      <c r="B24" s="3417" t="s">
        <v>563</v>
      </c>
      <c r="C24" s="821" t="s">
        <v>573</v>
      </c>
      <c r="D24" s="822"/>
      <c r="E24" s="820">
        <v>0.5</v>
      </c>
      <c r="F24" s="823"/>
      <c r="G24" s="824"/>
      <c r="H24" s="816"/>
      <c r="I24" s="816"/>
    </row>
    <row r="25" spans="1:9" s="825" customFormat="1" ht="19.5" customHeight="1">
      <c r="A25" s="3417"/>
      <c r="B25" s="3417"/>
      <c r="C25" s="821" t="s">
        <v>574</v>
      </c>
      <c r="D25" s="822"/>
      <c r="E25" s="820">
        <v>1.1000000000000001</v>
      </c>
      <c r="F25" s="823"/>
      <c r="G25" s="824"/>
      <c r="H25" s="816"/>
      <c r="I25" s="816"/>
    </row>
    <row r="26" spans="1:9" s="825" customFormat="1" ht="19.5" customHeight="1">
      <c r="A26" s="3417"/>
      <c r="B26" s="3417"/>
      <c r="C26" s="821" t="s">
        <v>575</v>
      </c>
      <c r="D26" s="822"/>
      <c r="E26" s="820">
        <v>1.1000000000000001</v>
      </c>
      <c r="F26" s="823"/>
      <c r="G26" s="824"/>
      <c r="H26" s="816"/>
      <c r="I26" s="816"/>
    </row>
    <row r="27" spans="1:9" s="825" customFormat="1" ht="19.5" customHeight="1">
      <c r="A27" s="3417"/>
      <c r="B27" s="3417"/>
      <c r="C27" s="821" t="s">
        <v>576</v>
      </c>
      <c r="D27" s="822"/>
      <c r="E27" s="820">
        <v>0.9</v>
      </c>
      <c r="F27" s="823" t="s">
        <v>577</v>
      </c>
      <c r="G27" s="824"/>
      <c r="H27" s="816"/>
      <c r="I27" s="816"/>
    </row>
    <row r="28" spans="1:9" s="825" customFormat="1" ht="19.5" customHeight="1">
      <c r="A28" s="3417"/>
      <c r="B28" s="3417"/>
      <c r="C28" s="821" t="s">
        <v>578</v>
      </c>
      <c r="D28" s="822"/>
      <c r="E28" s="820">
        <v>0.9</v>
      </c>
      <c r="F28" s="823" t="s">
        <v>579</v>
      </c>
      <c r="G28" s="824"/>
      <c r="H28" s="816"/>
      <c r="I28" s="816"/>
    </row>
    <row r="29" spans="1:9" s="825" customFormat="1" ht="19.5" customHeight="1">
      <c r="A29" s="3417"/>
      <c r="B29" s="3417"/>
      <c r="C29" s="821" t="s">
        <v>580</v>
      </c>
      <c r="D29" s="822"/>
      <c r="E29" s="820">
        <v>0.9</v>
      </c>
      <c r="F29" s="823" t="s">
        <v>581</v>
      </c>
      <c r="G29" s="824"/>
      <c r="H29" s="816"/>
      <c r="I29" s="816"/>
    </row>
    <row r="30" spans="1:9" s="825" customFormat="1" ht="19.5" customHeight="1">
      <c r="A30" s="3417"/>
      <c r="B30" s="3417"/>
      <c r="C30" s="821" t="s">
        <v>582</v>
      </c>
      <c r="D30" s="822"/>
      <c r="E30" s="820">
        <v>0.9</v>
      </c>
      <c r="F30" s="823" t="s">
        <v>583</v>
      </c>
      <c r="G30" s="824"/>
      <c r="H30" s="816"/>
      <c r="I30" s="816"/>
    </row>
    <row r="31" spans="1:9" s="825" customFormat="1" ht="19.5" customHeight="1">
      <c r="A31" s="3417"/>
      <c r="B31" s="3417"/>
      <c r="C31" s="821" t="s">
        <v>584</v>
      </c>
      <c r="D31" s="822"/>
      <c r="E31" s="820">
        <v>0.8</v>
      </c>
      <c r="F31" s="823" t="s">
        <v>585</v>
      </c>
      <c r="G31" s="824"/>
      <c r="H31" s="816"/>
      <c r="I31" s="816"/>
    </row>
    <row r="32" spans="1:9" s="825" customFormat="1" ht="19.5" customHeight="1">
      <c r="A32" s="3417"/>
      <c r="B32" s="3417"/>
      <c r="C32" s="821" t="s">
        <v>586</v>
      </c>
      <c r="D32" s="822"/>
      <c r="E32" s="820">
        <v>0.8</v>
      </c>
      <c r="F32" s="823" t="s">
        <v>587</v>
      </c>
      <c r="G32" s="824"/>
      <c r="H32" s="816"/>
      <c r="I32" s="816"/>
    </row>
    <row r="33" spans="1:9" s="825" customFormat="1" ht="19.5" customHeight="1">
      <c r="A33" s="3417" t="s">
        <v>185</v>
      </c>
      <c r="B33" s="820" t="s">
        <v>560</v>
      </c>
      <c r="C33" s="821" t="s">
        <v>588</v>
      </c>
      <c r="D33" s="822"/>
      <c r="E33" s="820">
        <v>1</v>
      </c>
      <c r="F33" s="823" t="s">
        <v>589</v>
      </c>
      <c r="G33" s="824"/>
      <c r="H33" s="816"/>
      <c r="I33" s="816"/>
    </row>
    <row r="34" spans="1:9" s="825" customFormat="1" ht="19.5" customHeight="1">
      <c r="A34" s="3417"/>
      <c r="B34" s="820" t="s">
        <v>563</v>
      </c>
      <c r="C34" s="821" t="s">
        <v>590</v>
      </c>
      <c r="D34" s="822"/>
      <c r="E34" s="820">
        <v>1.5</v>
      </c>
      <c r="F34" s="823" t="s">
        <v>591</v>
      </c>
      <c r="G34" s="824"/>
      <c r="H34" s="816"/>
      <c r="I34" s="816"/>
    </row>
    <row r="35" spans="1:9" s="825" customFormat="1" ht="19.5" customHeight="1">
      <c r="A35" s="3417" t="s">
        <v>186</v>
      </c>
      <c r="B35" s="820" t="s">
        <v>560</v>
      </c>
      <c r="C35" s="821" t="s">
        <v>592</v>
      </c>
      <c r="D35" s="822"/>
      <c r="E35" s="820">
        <v>1</v>
      </c>
      <c r="F35" s="823" t="s">
        <v>593</v>
      </c>
      <c r="G35" s="824"/>
      <c r="H35" s="816"/>
      <c r="I35" s="816"/>
    </row>
    <row r="36" spans="1:9" s="825" customFormat="1" ht="19.5" customHeight="1">
      <c r="A36" s="3417"/>
      <c r="B36" s="3417" t="s">
        <v>563</v>
      </c>
      <c r="C36" s="821" t="s">
        <v>594</v>
      </c>
      <c r="D36" s="822"/>
      <c r="E36" s="820">
        <v>1</v>
      </c>
      <c r="F36" s="823" t="s">
        <v>595</v>
      </c>
      <c r="G36" s="824"/>
      <c r="H36" s="816"/>
      <c r="I36" s="816"/>
    </row>
    <row r="37" spans="1:9" s="825" customFormat="1" ht="19.5" customHeight="1">
      <c r="A37" s="3417"/>
      <c r="B37" s="3417"/>
      <c r="C37" s="821" t="s">
        <v>596</v>
      </c>
      <c r="D37" s="822"/>
      <c r="E37" s="820">
        <v>1.5</v>
      </c>
      <c r="F37" s="823" t="s">
        <v>597</v>
      </c>
      <c r="G37" s="824"/>
      <c r="H37" s="816"/>
      <c r="I37" s="816"/>
    </row>
    <row r="38" spans="1:9" s="825" customFormat="1" ht="19.5" customHeight="1">
      <c r="A38" s="3417"/>
      <c r="B38" s="3417"/>
      <c r="C38" s="821" t="s">
        <v>598</v>
      </c>
      <c r="D38" s="822"/>
      <c r="E38" s="820">
        <v>1</v>
      </c>
      <c r="F38" s="823" t="s">
        <v>599</v>
      </c>
      <c r="G38" s="824"/>
      <c r="H38" s="816"/>
      <c r="I38" s="816"/>
    </row>
    <row r="39" spans="1:9" s="825" customFormat="1" ht="19.5" customHeight="1">
      <c r="A39" s="3417"/>
      <c r="B39" s="341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7" t="s">
        <v>614</v>
      </c>
      <c r="C61" s="756" t="s">
        <v>615</v>
      </c>
      <c r="D61" s="756" t="s">
        <v>616</v>
      </c>
      <c r="E61" s="833">
        <v>0.5</v>
      </c>
      <c r="F61" s="820">
        <v>80</v>
      </c>
    </row>
    <row r="62" spans="1:8" s="816" customFormat="1" ht="24">
      <c r="A62" s="820">
        <v>2</v>
      </c>
      <c r="B62" s="3417"/>
      <c r="C62" s="756" t="s">
        <v>617</v>
      </c>
      <c r="D62" s="756" t="s">
        <v>618</v>
      </c>
      <c r="E62" s="833">
        <v>0.5</v>
      </c>
      <c r="F62" s="820">
        <v>80</v>
      </c>
    </row>
    <row r="63" spans="1:8" s="816" customFormat="1" ht="36">
      <c r="A63" s="820">
        <v>3</v>
      </c>
      <c r="B63" s="3417"/>
      <c r="C63" s="756" t="s">
        <v>619</v>
      </c>
      <c r="D63" s="756" t="s">
        <v>620</v>
      </c>
      <c r="E63" s="833">
        <v>0.5</v>
      </c>
      <c r="F63" s="820">
        <v>80</v>
      </c>
    </row>
    <row r="64" spans="1:8" s="816" customFormat="1" ht="36">
      <c r="A64" s="820">
        <v>4</v>
      </c>
      <c r="B64" s="3417"/>
      <c r="C64" s="756" t="s">
        <v>621</v>
      </c>
      <c r="D64" s="756" t="s">
        <v>622</v>
      </c>
      <c r="E64" s="833">
        <v>0.4</v>
      </c>
      <c r="F64" s="820">
        <v>60</v>
      </c>
    </row>
    <row r="65" spans="1:6" s="816" customFormat="1" ht="36">
      <c r="A65" s="820">
        <v>5</v>
      </c>
      <c r="B65" s="3417"/>
      <c r="C65" s="756" t="s">
        <v>623</v>
      </c>
      <c r="D65" s="756" t="s">
        <v>624</v>
      </c>
      <c r="E65" s="833">
        <v>0.2</v>
      </c>
      <c r="F65" s="820">
        <v>30</v>
      </c>
    </row>
    <row r="66" spans="1:6" s="816" customFormat="1" ht="36">
      <c r="A66" s="820">
        <v>6</v>
      </c>
      <c r="B66" s="3417"/>
      <c r="C66" s="756" t="s">
        <v>625</v>
      </c>
      <c r="D66" s="756" t="s">
        <v>626</v>
      </c>
      <c r="E66" s="833">
        <v>0.3</v>
      </c>
      <c r="F66" s="820">
        <v>50</v>
      </c>
    </row>
    <row r="67" spans="1:6" s="816" customFormat="1" ht="36">
      <c r="A67" s="820">
        <v>7</v>
      </c>
      <c r="B67" s="3417"/>
      <c r="C67" s="756" t="s">
        <v>627</v>
      </c>
      <c r="D67" s="756" t="s">
        <v>628</v>
      </c>
      <c r="E67" s="833">
        <v>0.2</v>
      </c>
      <c r="F67" s="820">
        <v>30</v>
      </c>
    </row>
    <row r="68" spans="1:6" s="816" customFormat="1" ht="36">
      <c r="A68" s="820">
        <v>8</v>
      </c>
      <c r="B68" s="3417"/>
      <c r="C68" s="756" t="s">
        <v>629</v>
      </c>
      <c r="D68" s="756" t="s">
        <v>630</v>
      </c>
      <c r="E68" s="833">
        <v>0.2</v>
      </c>
      <c r="F68" s="820">
        <v>30</v>
      </c>
    </row>
    <row r="69" spans="1:6" s="816" customFormat="1" ht="36">
      <c r="A69" s="820">
        <v>9</v>
      </c>
      <c r="B69" s="3417"/>
      <c r="C69" s="756" t="s">
        <v>631</v>
      </c>
      <c r="D69" s="756" t="s">
        <v>632</v>
      </c>
      <c r="E69" s="833">
        <v>0.2</v>
      </c>
      <c r="F69" s="820">
        <v>30</v>
      </c>
    </row>
    <row r="70" spans="1:6" s="816" customFormat="1" ht="48">
      <c r="A70" s="820">
        <v>10</v>
      </c>
      <c r="B70" s="3417"/>
      <c r="C70" s="756" t="s">
        <v>633</v>
      </c>
      <c r="D70" s="756" t="s">
        <v>634</v>
      </c>
      <c r="E70" s="833">
        <v>0.2</v>
      </c>
      <c r="F70" s="820">
        <v>30</v>
      </c>
    </row>
    <row r="71" spans="1:6" s="816" customFormat="1" ht="48">
      <c r="A71" s="820">
        <v>11</v>
      </c>
      <c r="B71" s="3417"/>
      <c r="C71" s="756" t="s">
        <v>635</v>
      </c>
      <c r="D71" s="756" t="s">
        <v>636</v>
      </c>
      <c r="E71" s="833">
        <v>0.2</v>
      </c>
      <c r="F71" s="820">
        <v>30</v>
      </c>
    </row>
    <row r="72" spans="1:6" s="816" customFormat="1" ht="36">
      <c r="A72" s="820">
        <v>12</v>
      </c>
      <c r="B72" s="3417"/>
      <c r="C72" s="756" t="s">
        <v>637</v>
      </c>
      <c r="D72" s="756" t="s">
        <v>638</v>
      </c>
      <c r="E72" s="833">
        <v>0.5</v>
      </c>
      <c r="F72" s="820">
        <v>80</v>
      </c>
    </row>
    <row r="73" spans="1:6" s="816" customFormat="1" ht="24">
      <c r="A73" s="820">
        <v>13</v>
      </c>
      <c r="B73" s="3417"/>
      <c r="C73" s="756" t="s">
        <v>639</v>
      </c>
      <c r="D73" s="756" t="s">
        <v>640</v>
      </c>
      <c r="E73" s="833">
        <v>0.4</v>
      </c>
      <c r="F73" s="820">
        <v>60</v>
      </c>
    </row>
    <row r="74" spans="1:6" s="816" customFormat="1" ht="24">
      <c r="A74" s="820">
        <v>14</v>
      </c>
      <c r="B74" s="3417"/>
      <c r="C74" s="756" t="s">
        <v>641</v>
      </c>
      <c r="D74" s="756" t="s">
        <v>642</v>
      </c>
      <c r="E74" s="833">
        <v>0.2</v>
      </c>
      <c r="F74" s="820">
        <v>30</v>
      </c>
    </row>
    <row r="75" spans="1:6" s="816" customFormat="1" ht="24">
      <c r="A75" s="820">
        <v>15</v>
      </c>
      <c r="B75" s="3417"/>
      <c r="C75" s="756" t="s">
        <v>643</v>
      </c>
      <c r="D75" s="756" t="s">
        <v>644</v>
      </c>
      <c r="E75" s="833">
        <v>0.2</v>
      </c>
      <c r="F75" s="820">
        <v>30</v>
      </c>
    </row>
    <row r="76" spans="1:6" s="816" customFormat="1" ht="24">
      <c r="A76" s="820">
        <v>16</v>
      </c>
      <c r="B76" s="3417" t="s">
        <v>645</v>
      </c>
      <c r="C76" s="756" t="s">
        <v>646</v>
      </c>
      <c r="D76" s="756" t="s">
        <v>647</v>
      </c>
      <c r="E76" s="833">
        <v>0.5</v>
      </c>
      <c r="F76" s="820">
        <v>80</v>
      </c>
    </row>
    <row r="77" spans="1:6" s="816" customFormat="1" ht="24">
      <c r="A77" s="820">
        <v>17</v>
      </c>
      <c r="B77" s="3417"/>
      <c r="C77" s="756" t="s">
        <v>648</v>
      </c>
      <c r="D77" s="756" t="s">
        <v>649</v>
      </c>
      <c r="E77" s="833">
        <v>0.5</v>
      </c>
      <c r="F77" s="820">
        <v>80</v>
      </c>
    </row>
    <row r="78" spans="1:6" s="816" customFormat="1" ht="24">
      <c r="A78" s="820">
        <v>18</v>
      </c>
      <c r="B78" s="3417"/>
      <c r="C78" s="756" t="s">
        <v>650</v>
      </c>
      <c r="D78" s="756" t="s">
        <v>651</v>
      </c>
      <c r="E78" s="833">
        <v>0.2</v>
      </c>
      <c r="F78" s="820">
        <v>30</v>
      </c>
    </row>
    <row r="79" spans="1:6" s="816" customFormat="1" ht="24">
      <c r="A79" s="820">
        <v>19</v>
      </c>
      <c r="B79" s="3417"/>
      <c r="C79" s="756" t="s">
        <v>652</v>
      </c>
      <c r="D79" s="756" t="s">
        <v>653</v>
      </c>
      <c r="E79" s="833">
        <v>0.5</v>
      </c>
      <c r="F79" s="820">
        <v>80</v>
      </c>
    </row>
    <row r="80" spans="1:6" s="816" customFormat="1" ht="36">
      <c r="A80" s="820">
        <v>20</v>
      </c>
      <c r="B80" s="3417"/>
      <c r="C80" s="756" t="s">
        <v>654</v>
      </c>
      <c r="D80" s="756" t="s">
        <v>655</v>
      </c>
      <c r="E80" s="833">
        <v>0.2</v>
      </c>
      <c r="F80" s="820">
        <v>30</v>
      </c>
    </row>
    <row r="81" spans="1:6" s="816" customFormat="1" ht="36">
      <c r="A81" s="820">
        <v>21</v>
      </c>
      <c r="B81" s="3417"/>
      <c r="C81" s="756" t="s">
        <v>656</v>
      </c>
      <c r="D81" s="756" t="s">
        <v>657</v>
      </c>
      <c r="E81" s="833">
        <v>0.2</v>
      </c>
      <c r="F81" s="820">
        <v>30</v>
      </c>
    </row>
    <row r="82" spans="1:6" s="816" customFormat="1" ht="48">
      <c r="A82" s="820">
        <v>22</v>
      </c>
      <c r="B82" s="3417"/>
      <c r="C82" s="756" t="s">
        <v>658</v>
      </c>
      <c r="D82" s="756" t="s">
        <v>659</v>
      </c>
      <c r="E82" s="833">
        <v>0.2</v>
      </c>
      <c r="F82" s="820">
        <v>30</v>
      </c>
    </row>
    <row r="83" spans="1:6" s="816" customFormat="1" ht="48">
      <c r="A83" s="820">
        <v>23</v>
      </c>
      <c r="B83" s="3417"/>
      <c r="C83" s="756" t="s">
        <v>660</v>
      </c>
      <c r="D83" s="756" t="s">
        <v>661</v>
      </c>
      <c r="E83" s="833">
        <v>0.2</v>
      </c>
      <c r="F83" s="820">
        <v>30</v>
      </c>
    </row>
    <row r="84" spans="1:6" s="816" customFormat="1" ht="36">
      <c r="A84" s="820">
        <v>24</v>
      </c>
      <c r="B84" s="3417"/>
      <c r="C84" s="756" t="s">
        <v>662</v>
      </c>
      <c r="D84" s="756" t="s">
        <v>663</v>
      </c>
      <c r="E84" s="833">
        <v>0.2</v>
      </c>
      <c r="F84" s="820">
        <v>30</v>
      </c>
    </row>
    <row r="85" spans="1:6" s="816" customFormat="1" ht="36">
      <c r="A85" s="820">
        <v>25</v>
      </c>
      <c r="B85" s="3417"/>
      <c r="C85" s="756" t="s">
        <v>664</v>
      </c>
      <c r="D85" s="756" t="s">
        <v>665</v>
      </c>
      <c r="E85" s="833">
        <v>0.5</v>
      </c>
      <c r="F85" s="820">
        <v>80</v>
      </c>
    </row>
    <row r="86" spans="1:6" s="816" customFormat="1" ht="36">
      <c r="A86" s="820">
        <v>26</v>
      </c>
      <c r="B86" s="3417"/>
      <c r="C86" s="756" t="s">
        <v>666</v>
      </c>
      <c r="D86" s="756" t="s">
        <v>667</v>
      </c>
      <c r="E86" s="833">
        <v>0.2</v>
      </c>
      <c r="F86" s="820">
        <v>30</v>
      </c>
    </row>
    <row r="87" spans="1:6" s="816" customFormat="1" ht="36">
      <c r="A87" s="820">
        <v>27</v>
      </c>
      <c r="B87" s="3417"/>
      <c r="C87" s="756" t="s">
        <v>668</v>
      </c>
      <c r="D87" s="756" t="s">
        <v>669</v>
      </c>
      <c r="E87" s="833">
        <v>0.2</v>
      </c>
      <c r="F87" s="820">
        <v>30</v>
      </c>
    </row>
    <row r="88" spans="1:6" s="816" customFormat="1" ht="36">
      <c r="A88" s="820">
        <v>28</v>
      </c>
      <c r="B88" s="3417"/>
      <c r="C88" s="756" t="s">
        <v>670</v>
      </c>
      <c r="D88" s="756" t="s">
        <v>671</v>
      </c>
      <c r="E88" s="833">
        <v>0.2</v>
      </c>
      <c r="F88" s="820">
        <v>30</v>
      </c>
    </row>
    <row r="89" spans="1:6" s="816" customFormat="1" ht="24">
      <c r="A89" s="820">
        <v>29</v>
      </c>
      <c r="B89" s="3417"/>
      <c r="C89" s="756" t="s">
        <v>672</v>
      </c>
      <c r="D89" s="756" t="s">
        <v>673</v>
      </c>
      <c r="E89" s="833">
        <v>0.2</v>
      </c>
      <c r="F89" s="820">
        <v>30</v>
      </c>
    </row>
    <row r="90" spans="1:6" s="816" customFormat="1" ht="24">
      <c r="A90" s="820">
        <v>30</v>
      </c>
      <c r="B90" s="3417"/>
      <c r="C90" s="756" t="s">
        <v>674</v>
      </c>
      <c r="D90" s="756" t="s">
        <v>675</v>
      </c>
      <c r="E90" s="833">
        <v>0.2</v>
      </c>
      <c r="F90" s="820">
        <v>30</v>
      </c>
    </row>
    <row r="91" spans="1:6" s="816" customFormat="1" ht="36">
      <c r="A91" s="820">
        <v>31</v>
      </c>
      <c r="B91" s="3417"/>
      <c r="C91" s="756" t="s">
        <v>676</v>
      </c>
      <c r="D91" s="756" t="s">
        <v>677</v>
      </c>
      <c r="E91" s="833">
        <v>0.2</v>
      </c>
      <c r="F91" s="820">
        <v>30</v>
      </c>
    </row>
    <row r="92" spans="1:6" s="816" customFormat="1" ht="24">
      <c r="A92" s="820">
        <v>32</v>
      </c>
      <c r="B92" s="3417" t="s">
        <v>678</v>
      </c>
      <c r="C92" s="820" t="s">
        <v>679</v>
      </c>
      <c r="D92" s="756" t="s">
        <v>680</v>
      </c>
      <c r="E92" s="833">
        <v>0.2</v>
      </c>
      <c r="F92" s="820">
        <v>30</v>
      </c>
    </row>
    <row r="93" spans="1:6" s="816" customFormat="1" ht="36">
      <c r="A93" s="820">
        <v>33</v>
      </c>
      <c r="B93" s="3417"/>
      <c r="C93" s="820" t="s">
        <v>681</v>
      </c>
      <c r="D93" s="756" t="s">
        <v>682</v>
      </c>
      <c r="E93" s="833">
        <v>0.2</v>
      </c>
      <c r="F93" s="820">
        <v>30</v>
      </c>
    </row>
    <row r="94" spans="1:6" s="816" customFormat="1" ht="48">
      <c r="A94" s="820">
        <v>34</v>
      </c>
      <c r="B94" s="3417"/>
      <c r="C94" s="820" t="s">
        <v>683</v>
      </c>
      <c r="D94" s="756" t="s">
        <v>684</v>
      </c>
      <c r="E94" s="833">
        <v>0.2</v>
      </c>
      <c r="F94" s="820">
        <v>30</v>
      </c>
    </row>
    <row r="95" spans="1:6" s="816" customFormat="1" ht="36">
      <c r="A95" s="820">
        <v>35</v>
      </c>
      <c r="B95" s="3417"/>
      <c r="C95" s="820" t="s">
        <v>685</v>
      </c>
      <c r="D95" s="756" t="s">
        <v>686</v>
      </c>
      <c r="E95" s="833">
        <v>0.2</v>
      </c>
      <c r="F95" s="820">
        <v>30</v>
      </c>
    </row>
    <row r="96" spans="1:6" s="816" customFormat="1" ht="48">
      <c r="A96" s="820">
        <v>36</v>
      </c>
      <c r="B96" s="3417"/>
      <c r="C96" s="756" t="s">
        <v>687</v>
      </c>
      <c r="D96" s="756" t="s">
        <v>688</v>
      </c>
      <c r="E96" s="833">
        <v>0.2</v>
      </c>
      <c r="F96" s="820">
        <v>30</v>
      </c>
    </row>
    <row r="97" spans="1:6" s="816" customFormat="1" ht="36">
      <c r="A97" s="820">
        <v>37</v>
      </c>
      <c r="B97" s="3417"/>
      <c r="C97" s="820" t="s">
        <v>689</v>
      </c>
      <c r="D97" s="756" t="s">
        <v>690</v>
      </c>
      <c r="E97" s="833">
        <v>0.2</v>
      </c>
      <c r="F97" s="820">
        <v>30</v>
      </c>
    </row>
    <row r="98" spans="1:6" s="816" customFormat="1" ht="36">
      <c r="A98" s="820">
        <v>38</v>
      </c>
      <c r="B98" s="3417"/>
      <c r="C98" s="820" t="s">
        <v>691</v>
      </c>
      <c r="D98" s="756" t="s">
        <v>692</v>
      </c>
      <c r="E98" s="833">
        <v>0.2</v>
      </c>
      <c r="F98" s="820">
        <v>30</v>
      </c>
    </row>
    <row r="99" spans="1:6" s="816" customFormat="1" ht="36">
      <c r="A99" s="820">
        <v>39</v>
      </c>
      <c r="B99" s="3417" t="s">
        <v>693</v>
      </c>
      <c r="C99" s="820" t="s">
        <v>694</v>
      </c>
      <c r="D99" s="756" t="s">
        <v>695</v>
      </c>
      <c r="E99" s="833">
        <v>0.3</v>
      </c>
      <c r="F99" s="820">
        <v>50</v>
      </c>
    </row>
    <row r="100" spans="1:6" s="816" customFormat="1" ht="24">
      <c r="A100" s="820">
        <v>40</v>
      </c>
      <c r="B100" s="3417"/>
      <c r="C100" s="820" t="s">
        <v>696</v>
      </c>
      <c r="D100" s="756" t="s">
        <v>697</v>
      </c>
      <c r="E100" s="833">
        <v>0.2</v>
      </c>
      <c r="F100" s="820">
        <v>30</v>
      </c>
    </row>
    <row r="101" spans="1:6" s="816" customFormat="1" ht="36">
      <c r="A101" s="820">
        <v>41</v>
      </c>
      <c r="B101" s="341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7" t="s">
        <v>708</v>
      </c>
      <c r="C105" s="820" t="s">
        <v>709</v>
      </c>
      <c r="D105" s="756" t="s">
        <v>710</v>
      </c>
      <c r="E105" s="833">
        <v>0.2</v>
      </c>
      <c r="F105" s="820">
        <v>30</v>
      </c>
    </row>
    <row r="106" spans="1:6" s="816" customFormat="1" ht="36">
      <c r="A106" s="820">
        <v>46</v>
      </c>
      <c r="B106" s="3417"/>
      <c r="C106" s="820" t="s">
        <v>711</v>
      </c>
      <c r="D106" s="756" t="s">
        <v>712</v>
      </c>
      <c r="E106" s="833">
        <v>0.2</v>
      </c>
      <c r="F106" s="820">
        <v>30</v>
      </c>
    </row>
    <row r="107" spans="1:6" s="816" customFormat="1" ht="36">
      <c r="A107" s="820">
        <v>47</v>
      </c>
      <c r="B107" s="3417" t="s">
        <v>713</v>
      </c>
      <c r="C107" s="820" t="s">
        <v>714</v>
      </c>
      <c r="D107" s="756" t="s">
        <v>715</v>
      </c>
      <c r="E107" s="833">
        <v>0.3</v>
      </c>
      <c r="F107" s="820">
        <v>50</v>
      </c>
    </row>
    <row r="108" spans="1:6" s="816" customFormat="1" ht="36">
      <c r="A108" s="820">
        <v>48</v>
      </c>
      <c r="B108" s="341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7" t="s">
        <v>724</v>
      </c>
      <c r="C111" s="820" t="s">
        <v>725</v>
      </c>
      <c r="D111" s="756" t="s">
        <v>726</v>
      </c>
      <c r="E111" s="833">
        <v>0.2</v>
      </c>
      <c r="F111" s="820">
        <v>30</v>
      </c>
    </row>
    <row r="112" spans="1:6" s="816" customFormat="1" ht="24">
      <c r="A112" s="820">
        <v>52</v>
      </c>
      <c r="B112" s="3417"/>
      <c r="C112" s="820" t="s">
        <v>727</v>
      </c>
      <c r="D112" s="756" t="s">
        <v>728</v>
      </c>
      <c r="E112" s="833">
        <v>0.2</v>
      </c>
      <c r="F112" s="820">
        <v>30</v>
      </c>
    </row>
    <row r="113" spans="1:6" s="816" customFormat="1" ht="24">
      <c r="A113" s="820">
        <v>53</v>
      </c>
      <c r="B113" s="341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7" t="s">
        <v>737</v>
      </c>
      <c r="C116" s="820" t="s">
        <v>738</v>
      </c>
      <c r="D116" s="756" t="s">
        <v>739</v>
      </c>
      <c r="E116" s="833">
        <v>0.2</v>
      </c>
      <c r="F116" s="820">
        <v>30</v>
      </c>
    </row>
    <row r="117" spans="1:6" ht="36">
      <c r="A117" s="820">
        <v>57</v>
      </c>
      <c r="B117" s="341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3" t="s">
        <v>1117</v>
      </c>
      <c r="C1" s="3423"/>
      <c r="D1" s="3423"/>
      <c r="E1" s="3423"/>
      <c r="F1" s="3423"/>
      <c r="G1" s="3422" t="s">
        <v>1118</v>
      </c>
      <c r="H1" s="3422"/>
      <c r="I1" s="3422"/>
      <c r="J1" s="3422"/>
      <c r="K1" s="3422"/>
      <c r="L1" s="3422"/>
      <c r="N1" s="3422" t="s">
        <v>1119</v>
      </c>
      <c r="O1" s="3422"/>
      <c r="P1" s="3422"/>
      <c r="Q1" s="3422"/>
      <c r="S1" s="3422" t="s">
        <v>1120</v>
      </c>
      <c r="T1" s="3422"/>
      <c r="U1" s="3422"/>
      <c r="V1" s="3422"/>
      <c r="X1" s="3421" t="s">
        <v>1121</v>
      </c>
      <c r="Y1" s="3422"/>
      <c r="Z1" s="3422"/>
      <c r="AA1" s="3422"/>
      <c r="AB1" s="3422"/>
      <c r="AD1" s="3421" t="s">
        <v>1122</v>
      </c>
      <c r="AE1" s="3422"/>
      <c r="AF1" s="3422"/>
      <c r="AG1" s="3422"/>
      <c r="AH1" s="3422"/>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19">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19"/>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19"/>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28"/>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24">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19"/>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19"/>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28"/>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24">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19"/>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19"/>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20"/>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18">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19"/>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19"/>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20"/>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18">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19"/>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19"/>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20"/>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25">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26"/>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26"/>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27"/>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18">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19"/>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19"/>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20"/>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18">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19">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19">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20">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18">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19">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19">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20">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18">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19">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19">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20">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18">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19">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19">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20">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18">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19">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19">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20">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18">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19">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19">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20">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18">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19">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19">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20">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18">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19">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19">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20">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18">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19">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19">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20">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18">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19">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19">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20">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49575</v>
      </c>
      <c r="C2" s="2" t="s">
        <v>133</v>
      </c>
      <c r="D2" s="205"/>
      <c r="E2" s="205"/>
      <c r="F2" s="205"/>
      <c r="G2" s="205"/>
    </row>
    <row r="3" spans="1:7" s="206" customFormat="1" ht="18" customHeight="1" thickBot="1">
      <c r="A3" s="209" t="s">
        <v>85</v>
      </c>
      <c r="B3" s="210">
        <f ca="1">ROUND(B2*10000/'数据-汇总表'!E3,0)</f>
        <v>11413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521</v>
      </c>
      <c r="D10" s="953">
        <f>'数据-汇总表'!E6</f>
        <v>43436.4</v>
      </c>
      <c r="E10" s="231">
        <f>'数据-取费表'!B28</f>
        <v>120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869</v>
      </c>
      <c r="D19" s="957">
        <f>'数据-汇总表'!E3</f>
        <v>43436.4</v>
      </c>
      <c r="E19" s="217">
        <f>'数据-取费表'!B31</f>
        <v>200</v>
      </c>
      <c r="F19" s="237"/>
      <c r="G19" s="1" t="s">
        <v>1042</v>
      </c>
    </row>
    <row r="20" spans="1:7" s="220" customFormat="1" ht="13.5" customHeight="1">
      <c r="A20" s="884" t="s">
        <v>1025</v>
      </c>
      <c r="B20" s="216" t="s">
        <v>104</v>
      </c>
      <c r="C20" s="238">
        <f>ROUND((C5+C19)*F20,0)</f>
        <v>434</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1946</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1850</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77</v>
      </c>
      <c r="D24" s="244"/>
      <c r="E24" s="244"/>
      <c r="F24" s="245"/>
      <c r="G24" s="246" t="s">
        <v>109</v>
      </c>
    </row>
    <row r="25" spans="1:7" s="220" customFormat="1" ht="24">
      <c r="A25" s="887" t="s">
        <v>793</v>
      </c>
      <c r="B25" s="221" t="s">
        <v>1026</v>
      </c>
      <c r="C25" s="1264">
        <f ca="1">ROUND(IF('数据-取费表'!B22&lt;=1,C20*F22*'数据-取费表'!B23/2,C20*(POWER((1+F22),'数据-取费表'!B23/2)-1)),0)</f>
        <v>19</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4423</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4423</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16756</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15203</v>
      </c>
      <c r="D34" s="223"/>
      <c r="E34" s="226"/>
      <c r="F34" s="263">
        <f>IF('数据-取费表'!B24=0,1,'数据-取费表'!N16)</f>
        <v>1</v>
      </c>
      <c r="G34" s="225" t="s">
        <v>116</v>
      </c>
    </row>
    <row r="35" spans="1:7" ht="13.5" customHeight="1">
      <c r="A35" s="887" t="s">
        <v>796</v>
      </c>
      <c r="B35" s="221" t="s">
        <v>60</v>
      </c>
      <c r="C35" s="226">
        <f>ROUND(C34*F35,0)</f>
        <v>456</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869</v>
      </c>
      <c r="D37" s="223">
        <f>'数据-汇总表'!E3</f>
        <v>43436.4</v>
      </c>
      <c r="E37" s="255">
        <f>'数据-取费表'!B35</f>
        <v>200</v>
      </c>
      <c r="F37" s="265"/>
      <c r="G37" s="267" t="s">
        <v>119</v>
      </c>
    </row>
    <row r="38" spans="1:7" ht="13.5" customHeight="1">
      <c r="A38" s="887" t="s">
        <v>799</v>
      </c>
      <c r="B38" s="221" t="s">
        <v>63</v>
      </c>
      <c r="C38" s="226">
        <f>ROUND(C34*F38,0)</f>
        <v>228</v>
      </c>
      <c r="D38" s="226"/>
      <c r="E38" s="226"/>
      <c r="F38" s="265">
        <f>'数据-取费表'!B36</f>
        <v>1.4999999999999999E-2</v>
      </c>
      <c r="G38" s="225" t="s">
        <v>117</v>
      </c>
    </row>
    <row r="39" spans="1:7" s="220" customFormat="1" ht="13.5" customHeight="1">
      <c r="A39" s="884" t="s">
        <v>783</v>
      </c>
      <c r="B39" s="216" t="s">
        <v>104</v>
      </c>
      <c r="C39" s="238">
        <f>ROUND(C33*F20,0)</f>
        <v>335</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744</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729</v>
      </c>
      <c r="D42" s="244"/>
      <c r="E42" s="244"/>
      <c r="F42" s="245"/>
      <c r="G42" s="3350" t="s">
        <v>121</v>
      </c>
    </row>
    <row r="43" spans="1:7" ht="13.5" customHeight="1">
      <c r="A43" s="887" t="s">
        <v>792</v>
      </c>
      <c r="B43" s="221" t="s">
        <v>1032</v>
      </c>
      <c r="C43" s="244">
        <f ca="1">ROUND(IF('数据-取费表'!B22&lt;=1,C39*F22*'数据-取费表'!B21/2,C39*(POWER((1+F22),'数据-取费表'!B21/2)-1)),0)</f>
        <v>15</v>
      </c>
      <c r="D43" s="244"/>
      <c r="E43" s="244"/>
      <c r="F43" s="245"/>
      <c r="G43" s="3351"/>
    </row>
    <row r="44" spans="1:7" ht="13.5" customHeight="1">
      <c r="A44" s="887" t="s">
        <v>793</v>
      </c>
      <c r="B44" s="221" t="s">
        <v>1034</v>
      </c>
      <c r="C44" s="244">
        <f ca="1">ROUND(IF('数据-取费表'!B22&lt;=1,C40*F22*'数据-取费表'!B21/2,C40*(POWER((1+F22),'数据-取费表'!B21/2)-1)),4)</f>
        <v>8.9999999999999998E-4</v>
      </c>
      <c r="D44" s="244"/>
      <c r="E44" s="244"/>
      <c r="F44" s="245"/>
      <c r="G44" s="3352"/>
    </row>
    <row r="45" spans="1:7" s="220" customFormat="1" ht="13.5" customHeight="1">
      <c r="A45" s="884" t="s">
        <v>786</v>
      </c>
      <c r="B45" s="250" t="s">
        <v>112</v>
      </c>
      <c r="C45" s="251">
        <f>C46</f>
        <v>3418</v>
      </c>
      <c r="D45" s="241">
        <f>C47</f>
        <v>4.0000000000000001E-3</v>
      </c>
      <c r="E45" s="242" t="s">
        <v>129</v>
      </c>
      <c r="F45" s="252"/>
      <c r="G45" s="253" t="s">
        <v>1040</v>
      </c>
    </row>
    <row r="46" spans="1:7" s="220" customFormat="1" ht="13.5" customHeight="1">
      <c r="A46" s="887" t="s">
        <v>794</v>
      </c>
      <c r="B46" s="254" t="s">
        <v>1033</v>
      </c>
      <c r="C46" s="255">
        <f>ROUND((C33+C39)*F27,0)</f>
        <v>3418</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23057</v>
      </c>
      <c r="D49" s="238"/>
      <c r="E49" s="238"/>
      <c r="F49" s="270"/>
      <c r="G49" s="240" t="s">
        <v>1041</v>
      </c>
    </row>
    <row r="50" spans="1:7" s="264" customFormat="1" ht="24">
      <c r="A50" s="884" t="s">
        <v>789</v>
      </c>
      <c r="B50" s="216" t="s">
        <v>124</v>
      </c>
      <c r="C50" s="238"/>
      <c r="D50" s="238"/>
      <c r="E50" s="238"/>
      <c r="F50" s="270">
        <f>IF('数据-取费表'!B24=0,'数据-取费表'!N16,1)</f>
        <v>0.81</v>
      </c>
      <c r="G50" s="253" t="s">
        <v>125</v>
      </c>
    </row>
    <row r="51" spans="1:7" ht="16.5" customHeight="1">
      <c r="A51" s="884" t="s">
        <v>790</v>
      </c>
      <c r="B51" s="216" t="s">
        <v>132</v>
      </c>
      <c r="C51" s="238">
        <f ca="1">ROUND(C49*F50,0)</f>
        <v>18676</v>
      </c>
      <c r="D51" s="238"/>
      <c r="E51" s="238"/>
      <c r="F51" s="270"/>
      <c r="G51" s="240" t="s">
        <v>64</v>
      </c>
    </row>
    <row r="52" spans="1:7" s="214" customFormat="1" ht="16.5" thickBot="1">
      <c r="A52" s="271" t="s">
        <v>65</v>
      </c>
      <c r="B52" s="272"/>
      <c r="C52" s="273">
        <f ca="1">C31+C51</f>
        <v>49575</v>
      </c>
      <c r="D52" s="272"/>
      <c r="E52" s="272"/>
      <c r="F52" s="272"/>
      <c r="G52" s="274"/>
    </row>
    <row r="55" spans="1:7" ht="15">
      <c r="B55" s="276" t="s">
        <v>66</v>
      </c>
      <c r="C55" s="277"/>
    </row>
    <row r="56" spans="1:7">
      <c r="B56" s="279" t="s">
        <v>67</v>
      </c>
      <c r="C56" s="280">
        <f ca="1">ROUND(C51/C52,3)</f>
        <v>0.377</v>
      </c>
    </row>
    <row r="57" spans="1:7">
      <c r="B57" s="279" t="s">
        <v>68</v>
      </c>
      <c r="C57" s="281">
        <f ca="1">1-C56</f>
        <v>0.623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9" t="s">
        <v>156</v>
      </c>
      <c r="B1" s="3429"/>
      <c r="C1" s="3429"/>
      <c r="D1" s="3429"/>
      <c r="E1" s="3429"/>
      <c r="F1" s="342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0" t="s">
        <v>169</v>
      </c>
      <c r="B2" s="3430"/>
      <c r="C2" s="3430"/>
      <c r="D2" s="3430"/>
      <c r="E2" s="3430"/>
      <c r="F2" s="343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9" t="s">
        <v>839</v>
      </c>
      <c r="B1" s="342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44561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3059</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6" t="s">
        <v>1338</v>
      </c>
      <c r="E1" s="1510" t="s">
        <v>1342</v>
      </c>
      <c r="F1" s="1511" t="s">
        <v>1346</v>
      </c>
    </row>
    <row r="2" spans="1:13" ht="18.75">
      <c r="A2" s="1517" t="s">
        <v>1339</v>
      </c>
    </row>
    <row r="3" spans="1:13">
      <c r="A3" s="1518" t="s">
        <v>1340</v>
      </c>
    </row>
    <row r="4" spans="1:13">
      <c r="A4" s="1508" t="s">
        <v>1341</v>
      </c>
      <c r="B4" s="1513" t="s">
        <v>1343</v>
      </c>
      <c r="C4" s="1514"/>
      <c r="D4" s="1515"/>
      <c r="E4" s="1513" t="s">
        <v>27</v>
      </c>
      <c r="F4" s="1514"/>
      <c r="G4" s="1515"/>
      <c r="H4" s="1513" t="s">
        <v>1344</v>
      </c>
      <c r="I4" s="1514"/>
      <c r="J4" s="1515"/>
      <c r="K4" s="1513" t="s">
        <v>6</v>
      </c>
      <c r="L4" s="1514"/>
      <c r="M4" s="1515"/>
    </row>
    <row r="5" spans="1:13">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12" t="str">
        <f>IF(项目基本情况!B9="房地产市场价值","估价结果一览表","结果表-2")</f>
        <v>估价结果一览表</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房地产市场价值</v>
      </c>
      <c r="I2" s="3113"/>
    </row>
    <row r="3" spans="1:9" ht="15">
      <c r="A3" s="3107"/>
      <c r="B3" s="3107"/>
      <c r="C3" s="3107"/>
      <c r="D3" s="962" t="s">
        <v>1603</v>
      </c>
      <c r="E3" s="962" t="s">
        <v>1609</v>
      </c>
      <c r="F3" s="962" t="s">
        <v>1603</v>
      </c>
      <c r="G3" s="962" t="s">
        <v>1604</v>
      </c>
      <c r="H3" s="962" t="s">
        <v>1603</v>
      </c>
      <c r="I3" s="962" t="s">
        <v>1604</v>
      </c>
    </row>
    <row r="4" spans="1:9" ht="15">
      <c r="A4" s="1688" t="str">
        <f>项目基本情况!S2</f>
        <v>房地产</v>
      </c>
      <c r="B4" s="962">
        <f>项目基本情况!C17</f>
        <v>43436.4</v>
      </c>
      <c r="C4" s="962">
        <f>项目基本情况!C18</f>
        <v>27014.799999999999</v>
      </c>
      <c r="D4" s="962">
        <f ca="1">结果表!D118</f>
        <v>-57082</v>
      </c>
      <c r="E4" s="962">
        <f ca="1">结果表!E118</f>
        <v>-13141</v>
      </c>
      <c r="F4" s="962">
        <f ca="1">结果表!F118</f>
        <v>84381</v>
      </c>
      <c r="G4" s="962">
        <f ca="1">结果表!G118</f>
        <v>19426</v>
      </c>
      <c r="H4" s="962">
        <f ca="1">结果表!H118</f>
        <v>27299</v>
      </c>
      <c r="I4" s="962">
        <f ca="1">结果表!I118</f>
        <v>6285</v>
      </c>
    </row>
    <row r="5" spans="1:9" ht="30" customHeight="1">
      <c r="A5" s="3107" t="s">
        <v>1605</v>
      </c>
      <c r="B5" s="3107"/>
      <c r="C5" s="3107"/>
      <c r="D5" s="3108" t="e">
        <f ca="1">结果表!D119</f>
        <v>#NUM!</v>
      </c>
      <c r="E5" s="3108"/>
      <c r="F5" s="3108" t="str">
        <f ca="1">结果表!F119</f>
        <v>捌亿肆仟叁佰捌拾壹万元整</v>
      </c>
      <c r="G5" s="3108"/>
      <c r="H5" s="3108" t="str">
        <f ca="1">结果表!H119</f>
        <v>贰亿柒仟贰佰玖拾玖万元整</v>
      </c>
      <c r="I5" s="3108"/>
    </row>
    <row r="6" spans="1:9" ht="15.75">
      <c r="A6" s="3106" t="str">
        <f>结果表!A120</f>
        <v/>
      </c>
      <c r="B6" s="3106"/>
      <c r="C6" s="3106"/>
      <c r="D6" s="3106">
        <f>结果表!D120</f>
        <v>0</v>
      </c>
      <c r="E6" s="3106"/>
      <c r="F6" s="3106"/>
      <c r="G6" s="3106"/>
      <c r="H6" s="3106"/>
      <c r="I6" s="3106"/>
    </row>
    <row r="7" spans="1:9" ht="15">
      <c r="A7" s="3107" t="s">
        <v>1605</v>
      </c>
      <c r="B7" s="3107"/>
      <c r="C7" s="3107"/>
      <c r="D7" s="3109" t="str">
        <f>结果表!D121</f>
        <v>零元整</v>
      </c>
      <c r="E7" s="3110"/>
      <c r="F7" s="3110"/>
      <c r="G7" s="3110"/>
      <c r="H7" s="3110"/>
      <c r="I7" s="3111"/>
    </row>
    <row r="8" spans="1:9" ht="15.75">
      <c r="A8" s="3106" t="str">
        <f>结果表!A122</f>
        <v/>
      </c>
      <c r="B8" s="3106"/>
      <c r="C8" s="3106"/>
      <c r="D8" s="3106">
        <f ca="1">结果表!D122</f>
        <v>27299</v>
      </c>
      <c r="E8" s="3106"/>
      <c r="F8" s="3106"/>
      <c r="G8" s="3106"/>
      <c r="H8" s="3106"/>
      <c r="I8" s="3106"/>
    </row>
    <row r="9" spans="1:9" ht="15">
      <c r="A9" s="3107" t="s">
        <v>1605</v>
      </c>
      <c r="B9" s="3107"/>
      <c r="C9" s="3107"/>
      <c r="D9" s="3108" t="str">
        <f ca="1">结果表!D123</f>
        <v>贰亿柒仟贰佰玖拾玖万元整</v>
      </c>
      <c r="E9" s="3108"/>
      <c r="F9" s="3108"/>
      <c r="G9" s="3108"/>
      <c r="H9" s="3108"/>
      <c r="I9" s="3108"/>
    </row>
    <row r="10" spans="1:9" ht="15.75">
      <c r="A10" s="3106" t="str">
        <f>结果表!A124</f>
        <v/>
      </c>
      <c r="B10" s="3106"/>
      <c r="C10" s="3106"/>
      <c r="D10" s="3106" t="str">
        <f>结果表!D124</f>
        <v>——</v>
      </c>
      <c r="E10" s="3106"/>
      <c r="F10" s="3106"/>
      <c r="G10" s="3106"/>
      <c r="H10" s="3106"/>
      <c r="I10" s="3106"/>
    </row>
    <row r="11" spans="1:9" ht="15">
      <c r="A11" s="3107" t="s">
        <v>1605</v>
      </c>
      <c r="B11" s="3107"/>
      <c r="C11" s="3107"/>
      <c r="D11" s="3108" t="e">
        <f>结果表!D125</f>
        <v>#VALUE!</v>
      </c>
      <c r="E11" s="3108"/>
      <c r="F11" s="3108"/>
      <c r="G11" s="3108"/>
      <c r="H11" s="3108"/>
      <c r="I11" s="3108"/>
    </row>
    <row r="12" spans="1:9" ht="15.75">
      <c r="A12" s="3106" t="str">
        <f>结果表!A126</f>
        <v/>
      </c>
      <c r="B12" s="3106"/>
      <c r="C12" s="3106"/>
      <c r="D12" s="3106" t="str">
        <f>结果表!D126</f>
        <v>——</v>
      </c>
      <c r="E12" s="3106"/>
      <c r="F12" s="3106"/>
      <c r="G12" s="3106"/>
      <c r="H12" s="3106"/>
      <c r="I12" s="3106"/>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20" t="s">
        <v>1627</v>
      </c>
      <c r="B1" s="3120"/>
      <c r="C1" s="3120"/>
      <c r="D1" s="3120"/>
    </row>
    <row r="2" spans="1:4" ht="18">
      <c r="A2" s="3121" t="s">
        <v>1611</v>
      </c>
      <c r="B2" s="3121"/>
      <c r="C2" s="3121"/>
      <c r="D2" s="3121"/>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21" t="s">
        <v>1617</v>
      </c>
      <c r="B6" s="3121"/>
      <c r="C6" s="3121"/>
      <c r="D6" s="3121"/>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22"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4" t="str">
        <f>IF(项目基本情况!B8="抵押","4.本次评估估价师所知悉的法定优先受偿款情况说明如下：","——")</f>
        <v>4.本次评估估价师所知悉的法定优先受偿款情况说明如下：</v>
      </c>
      <c r="B14" s="3119"/>
      <c r="C14" s="3119"/>
      <c r="D14" s="3119"/>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6" t="s">
        <v>1621</v>
      </c>
      <c r="B16" s="3116"/>
      <c r="C16" s="3116"/>
      <c r="D16" s="3116"/>
    </row>
    <row r="17" spans="1:4" ht="144" customHeight="1">
      <c r="A17" s="3116" t="s">
        <v>1622</v>
      </c>
      <c r="B17" s="3116"/>
      <c r="C17" s="3116"/>
      <c r="D17" s="3116"/>
    </row>
    <row r="18" spans="1:4" ht="15.75" customHeight="1">
      <c r="A18" s="3114" t="str">
        <f>IF(项目基本情况!B8="抵押",结果表!K120,"——")</f>
        <v>故，本次评估不存在</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1623</v>
      </c>
      <c r="B22" s="3118"/>
      <c r="C22" s="3118"/>
      <c r="D22" s="3118"/>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8" t="s">
        <v>1634</v>
      </c>
      <c r="B15" s="3123" t="s">
        <v>136</v>
      </c>
      <c r="C15" s="3124"/>
    </row>
    <row r="16" spans="1:7" ht="13.5">
      <c r="A16" s="3129"/>
      <c r="B16" s="3123" t="s">
        <v>69</v>
      </c>
      <c r="C16" s="3124"/>
    </row>
    <row r="17" spans="1:3" ht="13.5">
      <c r="A17" s="3129"/>
      <c r="B17" s="3126" t="s">
        <v>1635</v>
      </c>
      <c r="C17" s="1715" t="s">
        <v>1634</v>
      </c>
    </row>
    <row r="18" spans="1:3" ht="13.5">
      <c r="A18" s="3129"/>
      <c r="B18" s="3126"/>
      <c r="C18" s="1715" t="s">
        <v>1636</v>
      </c>
    </row>
    <row r="19" spans="1:3" ht="13.5">
      <c r="A19" s="3129"/>
      <c r="B19" s="3126"/>
      <c r="C19" s="1715" t="s">
        <v>1637</v>
      </c>
    </row>
    <row r="20" spans="1:3" ht="13.5">
      <c r="A20" s="3130"/>
      <c r="B20" s="3125" t="s">
        <v>1638</v>
      </c>
      <c r="C20" s="3124"/>
    </row>
    <row r="21" spans="1:3" ht="13.5">
      <c r="A21" s="1716" t="s">
        <v>1639</v>
      </c>
      <c r="B21" s="1717"/>
      <c r="C21" s="1718"/>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5" t="s">
        <v>1645</v>
      </c>
    </row>
    <row r="26" spans="1:3" ht="13.5">
      <c r="A26" s="3127"/>
      <c r="B26" s="3126"/>
      <c r="C26" s="1715" t="s">
        <v>1646</v>
      </c>
    </row>
    <row r="27" spans="1:3" ht="13.5">
      <c r="A27" s="3127"/>
      <c r="B27" s="3126"/>
      <c r="C27" s="1715" t="s">
        <v>1647</v>
      </c>
    </row>
    <row r="28" spans="1:3" ht="13.5">
      <c r="A28" s="3127"/>
      <c r="B28" s="3126"/>
      <c r="C28" s="1715" t="s">
        <v>1648</v>
      </c>
    </row>
    <row r="29" spans="1:3" ht="13.5">
      <c r="A29" s="3127"/>
      <c r="B29" s="3126"/>
      <c r="C29" s="1715" t="s">
        <v>1649</v>
      </c>
    </row>
    <row r="30" spans="1:3" ht="13.5">
      <c r="A30" s="3127"/>
      <c r="B30" s="3126"/>
      <c r="C30" s="1715" t="s">
        <v>1650</v>
      </c>
    </row>
    <row r="31" spans="1:3" ht="13.5">
      <c r="A31" s="3127"/>
      <c r="B31" s="3126"/>
      <c r="C31" s="1715" t="s">
        <v>1651</v>
      </c>
    </row>
    <row r="32" spans="1:3" ht="13.5">
      <c r="A32" s="3127"/>
      <c r="B32" s="3126"/>
      <c r="C32" s="1715" t="s">
        <v>1652</v>
      </c>
    </row>
    <row r="33" spans="1:3" ht="13.5">
      <c r="A33" s="3127"/>
      <c r="B33" s="312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44825</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t="str">
        <f ca="1">IF(C9&lt;B2,"已过期",1120060040)</f>
        <v>已过期</v>
      </c>
      <c r="C9" s="2571">
        <v>44554</v>
      </c>
      <c r="D9" s="2567" t="str">
        <f t="shared" ca="1" si="0"/>
        <v>陈颖（注册号：已过期）</v>
      </c>
      <c r="E9" s="2568" t="s">
        <v>2894</v>
      </c>
      <c r="F9" s="1470">
        <f ca="1">IF(G9&lt;B2,"已过期",2004110096)</f>
        <v>2004110096</v>
      </c>
      <c r="G9" s="2569">
        <v>47118</v>
      </c>
      <c r="H9" s="2570" t="str">
        <f t="shared" ca="1" si="1"/>
        <v>陈颖（注册号：2004110096）</v>
      </c>
    </row>
    <row r="10" spans="1:8" ht="24" customHeight="1">
      <c r="A10" s="1470" t="s">
        <v>2895</v>
      </c>
      <c r="B10" s="1470" t="str">
        <f ca="1">IF(C10&lt;B2,"已过期",1120100036)</f>
        <v>已过期</v>
      </c>
      <c r="C10" s="2571">
        <v>44675</v>
      </c>
      <c r="D10" s="2567" t="str">
        <f t="shared" ca="1" si="0"/>
        <v>崔锴（注册号：已过期）</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31" t="s">
        <v>2901</v>
      </c>
      <c r="B17" s="3131"/>
      <c r="C17" s="3131"/>
      <c r="D17" s="3131"/>
      <c r="E17" s="3131"/>
      <c r="F17" s="3131"/>
      <c r="G17" s="3131"/>
      <c r="H17" s="3131"/>
    </row>
    <row r="18" spans="1:8" ht="24" customHeight="1">
      <c r="A18" s="3132" t="s">
        <v>2902</v>
      </c>
      <c r="B18" s="3132"/>
      <c r="C18" s="3132"/>
      <c r="D18" s="2564"/>
      <c r="E18" s="3133" t="s">
        <v>2903</v>
      </c>
      <c r="F18" s="3132"/>
      <c r="G18" s="3132"/>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Sheet1</vt:lpstr>
      <vt:lpstr>数据-取费表</vt:lpstr>
      <vt:lpstr>估价对象房地状况</vt:lpstr>
      <vt:lpstr>系统读取表</vt:lpstr>
      <vt:lpstr>结果表</vt:lpstr>
      <vt:lpstr>比较法-办公</vt:lpstr>
      <vt:lpstr>比较法-商业</vt:lpstr>
      <vt:lpstr>典型户型修正 (2)</vt:lpstr>
      <vt:lpstr>成交案例</vt:lpstr>
      <vt:lpstr>成本法</vt:lpstr>
      <vt:lpstr>土地比较法-住宅、综合</vt:lpstr>
      <vt:lpstr>土地案例</vt:lpstr>
      <vt:lpstr>典型户型修正</vt:lpstr>
      <vt:lpstr>收益法</vt:lpstr>
      <vt:lpstr>收益法 (元)</vt:lpstr>
      <vt:lpstr>成本法 (元)</vt:lpstr>
      <vt:lpstr>假设开发法</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2022-09-21T05:11:29Z</dcterms:modified>
</cp:coreProperties>
</file>