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2"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B1" i="74"/>
  <c r="F14" i="82" l="1"/>
  <c r="H10" i="74"/>
  <c r="H12" i="74"/>
  <c r="J10" i="82"/>
  <c r="J11" i="82"/>
  <c r="L11" i="82" s="1"/>
  <c r="J12" i="82"/>
  <c r="L12" i="82" s="1"/>
  <c r="J13" i="82"/>
  <c r="J9" i="82"/>
  <c r="K13" i="82"/>
  <c r="K10" i="82"/>
  <c r="K11" i="82"/>
  <c r="K12" i="82"/>
  <c r="K9" i="82"/>
  <c r="L10" i="82"/>
  <c r="L13" i="82"/>
  <c r="H14" i="82"/>
  <c r="H10" i="82"/>
  <c r="H11" i="82"/>
  <c r="H12" i="82"/>
  <c r="H13" i="82"/>
  <c r="H9" i="82"/>
  <c r="F12" i="82"/>
  <c r="F11" i="82"/>
  <c r="J14" i="82" l="1"/>
  <c r="L14" i="82" s="1"/>
  <c r="L9" i="82"/>
  <c r="D14" i="74"/>
  <c r="I11"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F15" i="74"/>
  <c r="F16" i="74"/>
  <c r="F17"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67"/>
  <c r="E10" i="76"/>
  <c r="M6" i="67"/>
  <c r="M26" i="67"/>
  <c r="M9" i="15"/>
  <c r="E9" i="76"/>
  <c r="M9" i="67"/>
  <c r="F38" i="15"/>
  <c r="F8" i="15"/>
  <c r="F40" i="67"/>
  <c r="M8" i="15"/>
  <c r="E7" i="76"/>
  <c r="F9" i="67"/>
  <c r="J15" i="67"/>
  <c r="F42" i="67"/>
  <c r="F7" i="73"/>
  <c r="F37" i="15"/>
  <c r="E11" i="76"/>
  <c r="L47" i="67"/>
  <c r="B7" i="76"/>
  <c r="F43" i="67"/>
  <c r="B12" i="76"/>
  <c r="B11" i="76"/>
  <c r="D3" i="73"/>
  <c r="M29" i="15"/>
  <c r="M28" i="15"/>
  <c r="F20" i="31"/>
  <c r="M29" i="67"/>
  <c r="F4" i="73"/>
  <c r="J15" i="15"/>
  <c r="E8" i="76"/>
  <c r="F26" i="67"/>
  <c r="C76" i="15"/>
  <c r="F6" i="73"/>
  <c r="D7" i="73"/>
  <c r="M22" i="15"/>
  <c r="F13" i="67"/>
  <c r="M26" i="15"/>
  <c r="M28" i="67"/>
  <c r="B8" i="76"/>
  <c r="F3" i="73"/>
  <c r="F37" i="67"/>
  <c r="F38" i="67"/>
  <c r="L47" i="15"/>
  <c r="E12" i="76"/>
  <c r="D4" i="73"/>
  <c r="F40" i="15"/>
  <c r="M24" i="67"/>
  <c r="F36" i="15"/>
  <c r="F8" i="67"/>
  <c r="D6" i="73"/>
  <c r="M23" i="15"/>
  <c r="B9" i="76"/>
  <c r="B10" i="76"/>
  <c r="B13" i="76"/>
  <c r="F7" i="67"/>
  <c r="F13" i="15"/>
  <c r="M24" i="15"/>
  <c r="D5" i="73"/>
  <c r="E2" i="69"/>
  <c r="C76" i="67"/>
  <c r="E13" i="76"/>
  <c r="F6" i="15"/>
  <c r="F16" i="67"/>
  <c r="L48" i="15"/>
  <c r="F36" i="67"/>
  <c r="F6" i="67"/>
  <c r="F9" i="15"/>
  <c r="F16" i="15"/>
  <c r="F42" i="15"/>
  <c r="M23" i="67"/>
  <c r="F7" i="15"/>
  <c r="M8" i="67"/>
  <c r="F43" i="15"/>
  <c r="M6" i="15"/>
  <c r="E2" i="68"/>
  <c r="F26" i="15"/>
  <c r="AO13" i="1"/>
  <c r="F5" i="73"/>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G1" i="73"/>
  <c r="C16" i="67"/>
  <c r="L48" i="67"/>
  <c r="C16" i="15"/>
  <c r="F7" i="36" l="1"/>
  <c r="J7" i="36"/>
  <c r="AC7" i="36" s="1"/>
  <c r="V36" i="36" s="1"/>
  <c r="I36" i="36" s="1"/>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G41" i="36" s="1"/>
  <c r="H41"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H9"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M27" i="67"/>
  <c r="F41"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15"/>
  <c r="M21" i="67"/>
  <c r="F35" i="67"/>
  <c r="M21"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19" i="9"/>
  <c r="D2" i="37"/>
  <c r="D2" i="35"/>
  <c r="C19" i="9"/>
  <c r="D2" i="36"/>
  <c r="D2" i="34"/>
  <c r="L51" i="15"/>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7" i="1"/>
  <c r="AO6" i="1"/>
  <c r="D35" i="9"/>
  <c r="D34" i="9"/>
  <c r="AO12" i="1"/>
  <c r="AO11" i="1"/>
  <c r="AO8" i="1"/>
  <c r="AO9" i="1"/>
  <c r="AO10" i="1"/>
  <c r="D20"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G118" i="9"/>
  <c r="F118" i="9" s="1"/>
  <c r="I118" i="9"/>
  <c r="C105" i="9" s="1"/>
  <c r="D6" i="74" l="1"/>
  <c r="I9" i="74"/>
  <c r="E118" i="9"/>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<sst xmlns="http://schemas.openxmlformats.org/spreadsheetml/2006/main" count="7907" uniqueCount="3438">
  <si>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</si>
  <si>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</si>
  <si>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</si>
  <si>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</si>
  <si>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</si>
  <si>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</si>
  <si>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</si>
  <si>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</si>
  <si>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</si>
  <si>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</si>
  <si>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</si>
  <si>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</si>
  <si>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</si>
  <si>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</si>
  <si>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</si>
  <si>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</si>
  <si>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</si>
  <si>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</si>
  <si>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</si>
  <si>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</si>
  <si>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</si>
  <si>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</si>
  <si>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</si>
  <si>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</si>
  <si>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</si>
  <si>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</si>
  <si>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</si>
  <si>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</si>
  <si>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</si>
  <si>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</si>
  <si>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</si>
  <si>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</si>
  <si>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</si>
  <si>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</si>
  <si>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</si>
  <si>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</si>
  <si>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</si>
  <si>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</si>
  <si>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</si>
  <si>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</si>
  <si>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</si>
  <si>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</si>
  <si>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</si>
  <si>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</si>
  <si>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</si>
  <si>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</si>
  <si>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</si>
  <si>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</si>
  <si>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</si>
  <si>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</si>
  <si>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</si>
  <si>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</si>
  <si>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</si>
  <si>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</si>
  <si>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</si>
  <si>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</si>
  <si>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</si>
  <si>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</si>
  <si>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</si>
  <si>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</si>
  <si>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</si>
  <si>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</si>
  <si>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</si>
  <si>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</si>
  <si>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</si>
  <si>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</si>
  <si>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</si>
  <si>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</si>
  <si>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</si>
  <si>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</si>
  <si>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</si>
  <si>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</si>
  <si>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</si>
  <si>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</si>
  <si>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</si>
  <si>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</si>
  <si>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</si>
  <si>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</si>
  <si>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</si>
  <si>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</si>
  <si>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</si>
  <si>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</si>
  <si>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</si>
  <si>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</si>
  <si>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</si>
  <si>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</si>
  <si>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</si>
  <si>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</si>
  <si>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</si>
  <si>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</si>
  <si>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</si>
  <si>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</si>
  <si>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</si>
  <si>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</si>
  <si>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</si>
  <si>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</si>
  <si>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</si>
  <si>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</si>
  <si>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</si>
  <si>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</si>
  <si>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</si>
  <si>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</si>
  <si>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</si>
  <si>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</si>
  <si>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</si>
  <si>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</si>
  <si>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</si>
  <si>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</si>
  <si>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</si>
  <si>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</si>
  <si>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</si>
  <si>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</si>
  <si>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</si>
  <si>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</si>
  <si>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</si>
  <si>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</si>
  <si>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</si>
  <si>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</si>
  <si>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</si>
  <si>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</si>
  <si>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</si>
  <si>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</si>
  <si>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</si>
  <si>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</si>
  <si>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</si>
  <si>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</si>
  <si>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</si>
  <si>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</si>
  <si>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</si>
  <si>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</si>
  <si>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</si>
  <si>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</si>
  <si>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</si>
  <si>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</si>
  <si>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</si>
  <si>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</si>
  <si>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</si>
  <si>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</si>
  <si>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</si>
  <si>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</si>
  <si>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</si>
  <si>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</si>
  <si>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</si>
  <si>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</si>
  <si>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</si>
  <si>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</si>
  <si>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</si>
  <si>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</si>
  <si>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</si>
  <si>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</si>
  <si>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</si>
  <si>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</si>
  <si>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</si>
  <si>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</si>
  <si>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</si>
  <si>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</si>
  <si>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</si>
  <si>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</si>
  <si>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</si>
  <si>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</si>
  <si>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</si>
  <si>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</si>
  <si>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</si>
  <si>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</si>
  <si>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</si>
  <si>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</si>
  <si>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</si>
  <si>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</si>
  <si>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</si>
  <si>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</si>
  <si>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</si>
  <si>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</si>
  <si>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</si>
  <si>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</si>
  <si>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</si>
  <si>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</si>
  <si>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</si>
  <si>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</si>
  <si>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</si>
  <si>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</si>
  <si>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</si>
  <si>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</si>
  <si>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</si>
  <si>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</si>
  <si>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</si>
  <si>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</si>
  <si>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</si>
  <si>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</si>
  <si>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</si>
  <si>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</si>
  <si>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</si>
  <si>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</si>
  <si>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</si>
  <si>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</si>
  <si>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</si>
  <si>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</si>
  <si>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</si>
  <si>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</si>
  <si>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</si>
  <si>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</si>
  <si>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</si>
  <si>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</si>
  <si>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</si>
  <si>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</si>
  <si>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</si>
  <si>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</si>
  <si>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</si>
  <si>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</si>
  <si>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</si>
  <si>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</si>
  <si>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</si>
  <si>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</si>
  <si>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</si>
  <si>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</si>
  <si>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</si>
  <si>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</si>
  <si>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</si>
  <si>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</si>
  <si>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</si>
  <si>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</si>
  <si>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</si>
  <si>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</si>
  <si>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</si>
  <si>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</si>
  <si>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</si>
  <si>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</si>
  <si>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</si>
  <si>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</si>
  <si>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</si>
  <si>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</si>
  <si>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</si>
  <si>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</si>
  <si>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</si>
  <si>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</si>
  <si>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</si>
  <si>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</si>
  <si>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</si>
  <si>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</si>
  <si>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</si>
  <si>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</si>
  <si>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</si>
  <si>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</si>
  <si>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</si>
  <si>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</si>
  <si>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</si>
  <si>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</si>
  <si>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</si>
  <si>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</si>
  <si>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</si>
  <si>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</si>
  <si>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</si>
  <si>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</si>
  <si>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</si>
  <si>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</si>
  <si>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</si>
  <si>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</si>
  <si>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</si>
  <si>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</si>
  <si>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</si>
  <si>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</si>
  <si>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</si>
  <si>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</si>
  <si>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</si>
  <si>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</si>
  <si>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</si>
  <si>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</si>
  <si>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</si>
  <si>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</si>
  <si>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</si>
  <si>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</si>
  <si>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</si>
  <si>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</si>
  <si>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</si>
  <si>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</si>
  <si>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</si>
  <si>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</si>
  <si>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</si>
  <si>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</si>
  <si>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</si>
  <si>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</si>
  <si>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</si>
  <si>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</si>
  <si>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</si>
  <si>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</si>
  <si>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</si>
  <si>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</si>
  <si>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</si>
  <si>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</si>
  <si>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</si>
  <si>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</si>
  <si>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</si>
  <si>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</si>
  <si>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</si>
  <si>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</si>
  <si>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</si>
  <si>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</si>
  <si>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</si>
  <si>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</si>
  <si>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</si>
  <si>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</si>
  <si>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</si>
  <si>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</si>
  <si>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</si>
  <si>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</si>
  <si>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</si>
  <si>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</si>
  <si>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</si>
  <si>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</si>
  <si>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</si>
  <si>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</si>
  <si>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</si>
  <si>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</si>
  <si>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</si>
  <si>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</si>
  <si>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</si>
  <si>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</si>
  <si>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</si>
  <si>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</si>
  <si>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</si>
  <si>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</si>
  <si>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</si>
  <si>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</si>
  <si>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</si>
  <si>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</si>
  <si>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</si>
  <si>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</si>
  <si>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</si>
  <si>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</si>
  <si>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</si>
  <si>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</si>
  <si>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</si>
  <si>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</si>
  <si>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</si>
  <si>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</si>
  <si>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</si>
  <si>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</si>
  <si>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</si>
  <si>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</si>
  <si>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</si>
  <si>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</si>
  <si>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</si>
  <si>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</si>
  <si>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</si>
  <si>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</si>
  <si>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</si>
  <si>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</si>
  <si>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</si>
  <si>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</si>
  <si>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</si>
  <si>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</si>
  <si>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</si>
  <si>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</si>
  <si>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</si>
  <si>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</si>
  <si>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</si>
  <si>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</si>
  <si>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</si>
  <si>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</si>
  <si>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</si>
  <si>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</si>
  <si>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</si>
  <si>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</si>
  <si>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</si>
  <si>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</si>
  <si>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</si>
  <si>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</si>
  <si>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</si>
  <si>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</si>
  <si>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</si>
  <si>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</si>
  <si>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</si>
  <si>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</si>
  <si>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</si>
  <si>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</si>
  <si>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</si>
  <si>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</si>
  <si>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</si>
  <si>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</si>
  <si>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</si>
  <si>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</si>
  <si>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</si>
  <si>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</si>
  <si>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</si>
  <si>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</si>
  <si>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</si>
  <si>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</si>
  <si>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</si>
  <si>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</si>
  <si>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</si>
  <si>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</si>
  <si>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</si>
  <si>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</si>
  <si>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</si>
  <si>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</si>
  <si>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</si>
  <si>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</si>
  <si>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</si>
  <si>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</si>
  <si>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</si>
  <si>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</si>
  <si>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</si>
  <si>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</si>
  <si>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</si>
  <si>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</si>
  <si>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</si>
  <si>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</si>
  <si>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</si>
  <si>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</si>
  <si>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</si>
  <si>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</si>
  <si>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</si>
  <si>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</si>
  <si>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</si>
  <si>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</si>
  <si>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</si>
  <si>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</si>
  <si>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</si>
  <si>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</si>
  <si>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</si>
  <si>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</si>
  <si>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</si>
  <si>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</si>
  <si>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</si>
  <si>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</si>
  <si>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</si>
  <si>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</si>
  <si>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</si>
  <si>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</si>
  <si>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</si>
  <si>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</si>
  <si>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</si>
  <si>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</si>
  <si>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</si>
  <si>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</si>
  <si>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</si>
  <si>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</si>
  <si>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</si>
  <si>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</si>
  <si>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</si>
  <si>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</si>
  <si>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</si>
  <si>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</si>
  <si>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</si>
  <si>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</si>
  <si>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</si>
  <si>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</si>
  <si>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</si>
  <si>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</si>
  <si>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</si>
  <si>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</si>
  <si>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</si>
  <si>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</si>
  <si>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</si>
  <si>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</si>
  <si>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</si>
  <si>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</si>
  <si>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</si>
  <si>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</si>
  <si>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</si>
  <si>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</si>
  <si>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</si>
  <si>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</si>
  <si>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</si>
  <si>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</si>
  <si>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</si>
  <si>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</si>
  <si>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</si>
  <si>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</si>
  <si>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</si>
  <si>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</si>
  <si>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</si>
  <si>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</si>
  <si>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</si>
  <si>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</si>
  <si>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</si>
  <si>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</si>
  <si>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</si>
  <si>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</si>
  <si>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</si>
  <si>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</si>
  <si>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</si>
  <si>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</si>
  <si>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</si>
  <si>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</si>
  <si>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</si>
  <si>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</si>
  <si>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</si>
  <si>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</si>
  <si>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</si>
  <si>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</si>
  <si>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</si>
  <si>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</si>
  <si>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</si>
  <si>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</si>
  <si>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</si>
  <si>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</si>
  <si>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</si>
  <si>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</si>
  <si>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</si>
  <si>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</si>
  <si>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</si>
  <si>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</si>
  <si>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</si>
  <si>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</si>
  <si>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</si>
  <si>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</si>
  <si>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</si>
  <si>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</si>
  <si>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</si>
  <si>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</si>
  <si>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</si>
  <si>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</si>
  <si>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</si>
  <si>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</si>
  <si>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</si>
  <si>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</si>
  <si>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</si>
  <si>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</si>
  <si>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</si>
  <si>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</si>
  <si>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</si>
  <si>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</si>
  <si>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</si>
  <si>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</si>
  <si>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</si>
  <si>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</si>
  <si>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</si>
  <si>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</si>
  <si>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</si>
  <si>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</si>
  <si>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</si>
  <si>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</si>
  <si>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</si>
  <si>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</si>
  <si>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</si>
  <si>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</si>
  <si>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</si>
  <si>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</si>
  <si>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</si>
  <si>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</si>
  <si>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</si>
  <si>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</si>
  <si>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</si>
  <si>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</si>
  <si>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</si>
  <si>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</si>
  <si>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</si>
  <si>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</si>
  <si>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</si>
  <si>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</si>
  <si>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</si>
  <si>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</si>
  <si>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</si>
  <si>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</si>
  <si>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</si>
  <si>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</si>
  <si>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</si>
  <si>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</si>
  <si>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</si>
  <si>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</si>
  <si>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</si>
  <si>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</si>
  <si>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</si>
  <si>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</si>
  <si>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</si>
  <si>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</si>
  <si>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</si>
  <si>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</si>
  <si>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</si>
  <si>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</si>
  <si>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</si>
  <si>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</si>
  <si>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</si>
  <si>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</si>
  <si>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</si>
  <si>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</si>
  <si>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</si>
  <si>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</si>
  <si>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</si>
  <si>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</si>
  <si>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</si>
  <si>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</si>
  <si>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</si>
  <si>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</si>
  <si>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</si>
  <si>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</si>
  <si>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</si>
  <si>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</si>
  <si>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</si>
  <si>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</si>
  <si>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</si>
  <si>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</si>
  <si>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</si>
  <si>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</si>
  <si>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</si>
  <si>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</si>
  <si>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</si>
  <si>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</si>
  <si>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</si>
  <si>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</si>
  <si>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</si>
  <si>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</si>
  <si>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</si>
  <si>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</si>
  <si>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</si>
  <si>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</si>
  <si>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</si>
  <si>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</si>
  <si>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</si>
  <si>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</si>
  <si>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</si>
  <si>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</si>
  <si>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</si>
  <si>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</si>
  <si>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</si>
  <si>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</si>
  <si>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</si>
  <si>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</si>
  <si>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</si>
  <si>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</si>
  <si>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</si>
  <si>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</si>
  <si>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</si>
  <si>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</si>
  <si>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</si>
  <si>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</si>
  <si>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</si>
  <si>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</si>
  <si>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</si>
  <si>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</si>
  <si>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</si>
  <si>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</si>
  <si>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</si>
  <si>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</si>
  <si>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</si>
  <si>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</si>
  <si>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</si>
  <si>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</si>
  <si>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</si>
  <si>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</si>
  <si>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</si>
  <si>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</si>
  <si>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</si>
  <si>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</si>
  <si>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</si>
  <si>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</si>
  <si>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</si>
  <si>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</si>
  <si>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</si>
  <si>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</si>
  <si>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</si>
  <si>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</si>
  <si>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</si>
  <si>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</si>
  <si>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</si>
  <si>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</si>
  <si>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</si>
  <si>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</si>
  <si>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</si>
  <si>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</si>
  <si>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</si>
  <si>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</si>
  <si>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</si>
  <si>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</si>
  <si>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</si>
  <si>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</si>
  <si>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</si>
  <si>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</si>
  <si>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</si>
  <si>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</si>
  <si>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</si>
  <si>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</si>
  <si>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</si>
  <si>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</si>
  <si>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</si>
  <si>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</si>
  <si>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</si>
  <si>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</si>
  <si>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</si>
  <si>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</si>
  <si>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</si>
  <si>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</si>
  <si>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</si>
  <si>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</si>
  <si>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</si>
  <si>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</si>
  <si>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</si>
  <si>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</si>
  <si>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</si>
  <si>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</si>
  <si>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</si>
  <si>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</si>
  <si>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</si>
  <si>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</si>
  <si>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</si>
  <si>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</si>
  <si>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</si>
  <si>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</si>
  <si>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</si>
  <si>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</si>
  <si>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</si>
  <si>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</si>
  <si>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</si>
  <si>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</si>
  <si>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</si>
  <si>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</si>
  <si>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</si>
  <si>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</si>
  <si>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</si>
  <si>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</si>
  <si>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</si>
  <si>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</si>
  <si>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</si>
  <si>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</si>
  <si>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</si>
  <si>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</si>
  <si>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</si>
  <si>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</si>
  <si>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</si>
  <si>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</si>
  <si>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</si>
  <si>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</si>
  <si>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</si>
  <si>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</si>
  <si>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</si>
  <si>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</si>
  <si>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</si>
  <si>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</si>
  <si>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</si>
  <si>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</si>
  <si>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</si>
  <si>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</si>
  <si>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</si>
  <si>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</si>
  <si>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</si>
  <si>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</si>
  <si>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</si>
  <si>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</si>
  <si>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</si>
  <si>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</si>
  <si>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</si>
  <si>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</si>
  <si>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</si>
  <si>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</si>
  <si>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</si>
  <si>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</si>
  <si>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</si>
  <si>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</si>
  <si>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</si>
  <si>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</si>
  <si>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</si>
  <si>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</si>
  <si>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</si>
  <si>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</si>
  <si>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</si>
  <si>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</si>
  <si>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</si>
  <si>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</si>
  <si>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</si>
  <si>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</si>
  <si>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</si>
  <si>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</si>
  <si>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</si>
  <si>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</si>
  <si>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</si>
  <si>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</si>
  <si>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</si>
  <si>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</si>
  <si>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</si>
  <si>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</si>
  <si>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</si>
  <si>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</si>
  <si>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</si>
  <si>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</si>
  <si>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</si>
  <si>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</si>
  <si>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</si>
  <si>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</si>
  <si>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</si>
  <si>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</si>
  <si>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</si>
  <si>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</si>
  <si>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</si>
  <si>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</si>
  <si>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</si>
  <si>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</si>
  <si>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</si>
  <si>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</si>
  <si>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</si>
  <si>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</si>
  <si>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</si>
  <si>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</si>
  <si>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</si>
  <si>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</si>
  <si>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</si>
  <si>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</si>
  <si>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</si>
  <si>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</si>
  <si>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</si>
  <si>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</si>
  <si>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</si>
  <si>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</si>
  <si>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</si>
  <si>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</si>
  <si>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</si>
  <si>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</si>
  <si>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</si>
  <si>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</si>
  <si>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</si>
  <si>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</si>
  <si>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</si>
  <si>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</si>
  <si>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</si>
  <si>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</si>
  <si>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</si>
  <si>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</si>
  <si>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</si>
  <si>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</si>
  <si>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</si>
  <si>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</si>
  <si>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</si>
  <si>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</si>
  <si>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</si>
  <si>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</si>
  <si>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</si>
  <si>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</si>
  <si>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</si>
  <si>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</si>
  <si>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</si>
  <si>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</si>
  <si>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</si>
  <si>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</si>
  <si>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</si>
  <si>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</si>
  <si>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</si>
  <si>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</si>
  <si>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</si>
  <si>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</si>
  <si>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</si>
  <si>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</si>
  <si>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</si>
  <si>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</si>
  <si>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</si>
  <si>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</si>
  <si>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</si>
  <si>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</si>
  <si>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</si>
  <si>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</si>
  <si>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</si>
  <si>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</si>
  <si>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</si>
  <si>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</si>
  <si>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</si>
  <si>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</si>
  <si>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</si>
  <si>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</si>
  <si>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</si>
  <si>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</si>
  <si>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</si>
  <si>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</si>
  <si>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</si>
  <si>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</si>
  <si>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</si>
  <si>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</si>
  <si>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</si>
  <si>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</si>
  <si>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</si>
  <si>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</si>
  <si>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</si>
  <si>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</si>
  <si>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</si>
  <si>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</si>
  <si>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</si>
  <si>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</si>
  <si>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</si>
  <si>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</si>
  <si>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</si>
  <si>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</si>
  <si>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</si>
  <si>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</si>
  <si>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</si>
  <si>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</si>
  <si>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</si>
  <si>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</si>
  <si>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</si>
  <si>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</si>
  <si>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</si>
  <si>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</si>
  <si>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</si>
  <si>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</si>
  <si>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</si>
  <si>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</si>
  <si>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</si>
  <si>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</si>
  <si>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</si>
  <si>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</si>
  <si>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</si>
  <si>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</si>
  <si>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</si>
  <si>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</si>
  <si>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</si>
  <si>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</si>
  <si>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</si>
  <si>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</si>
  <si>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</si>
  <si>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</si>
  <si>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</si>
  <si>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</si>
  <si>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</si>
  <si>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</si>
  <si>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</si>
  <si>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</si>
  <si>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</si>
  <si>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</si>
  <si>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</si>
  <si>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</si>
  <si>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</si>
  <si>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</si>
  <si>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</si>
  <si>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</si>
  <si>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</si>
  <si>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</si>
  <si>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</si>
  <si>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</si>
  <si>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</si>
  <si>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</si>
  <si>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</si>
  <si>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</si>
  <si>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</si>
  <si>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</si>
  <si>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</si>
  <si>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</si>
  <si>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</si>
  <si>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</si>
  <si>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</si>
  <si>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</si>
  <si>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</si>
  <si>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</si>
  <si>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</si>
  <si>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</si>
  <si>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</si>
  <si>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</si>
  <si>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</si>
  <si>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</si>
  <si>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</si>
  <si>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</si>
  <si>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</si>
  <si>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</si>
  <si>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</si>
  <si>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</si>
  <si>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</si>
  <si>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</si>
  <si>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</si>
  <si>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</si>
  <si>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</si>
  <si>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</si>
  <si>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</si>
  <si>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</si>
  <si>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</si>
  <si>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</si>
  <si>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</si>
  <si>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</si>
  <si>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</si>
  <si>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</si>
  <si>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</si>
  <si>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</si>
  <si>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</si>
  <si>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</si>
  <si>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</si>
  <si>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</si>
  <si>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</si>
  <si>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</si>
  <si>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</si>
  <si>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</si>
  <si>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</si>
  <si>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</si>
  <si>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</si>
  <si>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</si>
  <si>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</si>
  <si>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</si>
  <si>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</si>
  <si>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</si>
  <si>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</si>
  <si>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</si>
  <si>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</si>
  <si>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</si>
  <si>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</si>
  <si>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</si>
  <si>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</si>
  <si>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</si>
  <si>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</si>
  <si>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</si>
  <si>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</si>
  <si>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</si>
  <si>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</si>
  <si>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</si>
  <si>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</si>
  <si>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</si>
  <si>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</si>
  <si>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</si>
  <si>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</si>
  <si>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</si>
  <si>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</si>
  <si>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</si>
  <si>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</si>
  <si>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</si>
  <si>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</si>
  <si>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</si>
  <si>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</si>
  <si>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</si>
  <si>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</si>
  <si>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</si>
  <si>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</si>
  <si>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</si>
  <si>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</si>
  <si>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</si>
  <si>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</si>
  <si>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</si>
  <si>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</si>
  <si>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</si>
  <si>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</si>
  <si>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</si>
  <si>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</si>
  <si>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</si>
  <si>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</si>
  <si>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</si>
  <si>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</si>
  <si>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</si>
  <si>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</si>
  <si>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</si>
  <si>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</si>
  <si>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</si>
  <si>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</si>
  <si>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</si>
  <si>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</si>
  <si>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</si>
  <si>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</si>
  <si>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</si>
  <si>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</si>
  <si>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</si>
  <si>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</si>
  <si>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</si>
  <si>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</si>
  <si>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</si>
  <si>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</si>
  <si>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</si>
  <si>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</si>
  <si>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</si>
  <si>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</si>
  <si>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</si>
  <si>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</si>
  <si>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</si>
  <si>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</si>
  <si>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</si>
  <si>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</si>
  <si>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</si>
  <si>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</si>
  <si>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</si>
  <si>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</si>
  <si>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</si>
  <si>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</si>
  <si>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</si>
  <si>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</si>
  <si>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</si>
  <si>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</si>
  <si>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</si>
  <si>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</si>
  <si>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</si>
  <si>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</si>
  <si>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</si>
  <si>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</si>
  <si>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</si>
  <si>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</si>
  <si>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</si>
  <si>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</si>
  <si>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</si>
  <si>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</si>
  <si>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</si>
  <si>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</si>
  <si>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</si>
  <si>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</si>
  <si>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</si>
  <si>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</si>
  <si>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</si>
  <si>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</si>
  <si>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</si>
  <si>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</si>
  <si>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</si>
  <si>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</si>
  <si>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</si>
  <si>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</si>
  <si>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</si>
  <si>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</si>
  <si>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</si>
  <si>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</si>
  <si>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</si>
  <si>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</si>
  <si>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</si>
  <si>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</si>
  <si>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</si>
  <si>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</si>
  <si>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</si>
  <si>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</si>
  <si>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</si>
  <si>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</si>
  <si>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</si>
  <si>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</si>
  <si>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</si>
  <si>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</si>
  <si>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</si>
  <si>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</si>
  <si>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</si>
  <si>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</si>
  <si>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</si>
  <si>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</si>
  <si>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</si>
  <si>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</si>
  <si>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</si>
  <si>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</si>
  <si>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</si>
  <si>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</si>
  <si>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</si>
  <si>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</si>
  <si>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</si>
  <si>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</si>
  <si>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</si>
  <si>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</si>
  <si>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</si>
  <si>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</si>
  <si>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</si>
  <si>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</si>
  <si>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</si>
  <si>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</si>
  <si>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</si>
  <si>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</si>
  <si>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</si>
  <si>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</si>
  <si>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</si>
  <si>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</si>
  <si>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</si>
  <si>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</si>
  <si>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</si>
  <si>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</si>
  <si>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</si>
  <si>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</si>
  <si>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</si>
  <si>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</si>
  <si>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</si>
  <si>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</si>
  <si>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</si>
  <si>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</si>
  <si>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</si>
  <si>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</si>
  <si>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</si>
  <si>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</si>
  <si>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</si>
  <si>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</si>
  <si>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</si>
  <si>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</si>
  <si>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</si>
  <si>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</si>
  <si>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</si>
  <si>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</si>
  <si>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</si>
  <si>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</si>
  <si>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</si>
  <si>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</si>
  <si>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</si>
  <si>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</si>
  <si>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</si>
  <si>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</si>
  <si>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</si>
  <si>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</si>
  <si>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</si>
  <si>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</si>
  <si>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</si>
  <si>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</si>
  <si>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</si>
  <si>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</si>
  <si>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</si>
  <si>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</si>
  <si>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</si>
  <si>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</si>
  <si>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</si>
  <si>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</si>
  <si>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</si>
  <si>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</si>
  <si>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</si>
  <si>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</si>
  <si>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</si>
  <si>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</si>
  <si>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</si>
  <si>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</si>
  <si>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</si>
  <si>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</si>
  <si>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</si>
  <si>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</si>
  <si>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</si>
  <si>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</si>
  <si>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</si>
  <si>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</si>
  <si>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</si>
  <si>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</si>
  <si>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</si>
  <si>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</si>
  <si>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</si>
  <si>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</si>
  <si>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</si>
  <si>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</si>
  <si>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</si>
  <si>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</si>
  <si>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</si>
  <si>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</si>
  <si>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</si>
  <si>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</si>
  <si>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</si>
  <si>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</si>
  <si>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</si>
  <si>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</si>
  <si>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</si>
  <si>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</si>
  <si>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</si>
  <si>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</si>
  <si>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</si>
  <si>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</si>
  <si>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</si>
  <si>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</si>
  <si>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</si>
  <si>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</si>
  <si>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</si>
  <si>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</si>
  <si>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</si>
  <si>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</si>
  <si>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</si>
  <si>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</si>
  <si>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</si>
  <si>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</si>
  <si>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</si>
  <si>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</si>
  <si>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</si>
  <si>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</si>
  <si>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</si>
  <si>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</si>
  <si>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</si>
  <si>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</si>
  <si>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</si>
  <si>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</si>
  <si>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</si>
  <si>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</si>
  <si>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</si>
  <si>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</si>
  <si>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</si>
  <si>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</si>
  <si>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</si>
  <si>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</si>
  <si>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</si>
  <si>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</si>
  <si>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</si>
  <si>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</si>
  <si>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</si>
  <si>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</si>
  <si>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</si>
  <si>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</si>
  <si>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</si>
  <si>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</si>
  <si>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</si>
  <si>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</si>
  <si>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</si>
  <si>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</si>
  <si>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</si>
  <si>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</si>
  <si>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</si>
  <si>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</si>
  <si>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</si>
  <si>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</si>
  <si>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</si>
  <si>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</si>
  <si>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</si>
  <si>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</si>
  <si>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</si>
  <si>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</si>
  <si>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</si>
  <si>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</si>
  <si>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</si>
  <si>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</si>
  <si>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</si>
  <si>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</si>
  <si>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</si>
  <si>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</si>
  <si>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</si>
  <si>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</si>
  <si>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</si>
  <si>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</si>
  <si>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</si>
  <si>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</si>
  <si>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</si>
  <si>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</si>
  <si>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</si>
  <si>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</si>
  <si>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</si>
  <si>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</si>
  <si>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</si>
  <si>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</si>
  <si>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</si>
  <si>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</si>
  <si>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</si>
  <si>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</si>
  <si>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</si>
  <si>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</si>
  <si>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</si>
  <si>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</si>
  <si>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</si>
  <si>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</si>
  <si>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</si>
  <si>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</si>
  <si>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</si>
  <si>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</si>
  <si>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</si>
  <si>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</si>
  <si>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</si>
  <si>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</si>
  <si>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</si>
  <si>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</si>
  <si>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</si>
  <si>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</si>
  <si>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</si>
  <si>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</si>
  <si>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</si>
  <si>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</si>
  <si>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</si>
  <si>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</si>
  <si>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</si>
  <si>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</si>
  <si>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</si>
  <si>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</si>
  <si>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</si>
  <si>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</si>
  <si>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</si>
  <si>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</si>
  <si>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</si>
  <si>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</si>
  <si>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</si>
  <si>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</si>
  <si>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</si>
  <si>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</si>
  <si>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</si>
  <si>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</si>
  <si>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</si>
  <si>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</si>
  <si>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</si>
  <si>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</si>
  <si>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</si>
  <si>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</si>
  <si>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</si>
  <si>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</si>
  <si>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</si>
  <si>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</si>
  <si>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</si>
  <si>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</si>
  <si>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</si>
  <si>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</si>
  <si>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</si>
  <si>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</si>
  <si>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</si>
  <si>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</si>
  <si>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</si>
  <si>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</si>
  <si>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</si>
  <si>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</si>
  <si>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</si>
  <si>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</si>
  <si>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</si>
  <si>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</si>
  <si>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</si>
  <si>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</si>
  <si>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</si>
  <si>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</si>
  <si>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</si>
  <si>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</si>
  <si>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</si>
  <si>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</si>
  <si>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</si>
  <si>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</si>
  <si>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</si>
  <si>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</si>
  <si>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</si>
  <si>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</si>
  <si>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</si>
  <si>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</si>
  <si>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</si>
  <si>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</si>
  <si>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</si>
  <si>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</si>
  <si>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</si>
  <si>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</si>
  <si>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</si>
  <si>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</si>
  <si>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</si>
  <si>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</si>
  <si>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</si>
  <si>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</si>
  <si>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</si>
  <si>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</si>
  <si>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</si>
  <si>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</si>
  <si>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</si>
  <si>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</si>
  <si>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</si>
  <si>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</si>
  <si>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</si>
  <si>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</si>
  <si>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</si>
  <si>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</si>
  <si>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</si>
  <si>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</si>
  <si>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</si>
  <si>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</si>
  <si>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</si>
  <si>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</si>
  <si>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</si>
  <si>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</si>
  <si>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</si>
  <si>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</si>
  <si>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</si>
  <si>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</si>
  <si>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</si>
  <si>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</si>
  <si>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</si>
  <si>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</si>
  <si>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</si>
  <si>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</si>
  <si>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</si>
  <si>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</si>
  <si>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</si>
  <si>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</si>
  <si>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</si>
  <si>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</si>
  <si>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</si>
  <si>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</si>
  <si>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</si>
  <si>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</si>
  <si>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</si>
  <si>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</si>
  <si>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</si>
  <si>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</si>
  <si>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</si>
  <si>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</si>
  <si>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</si>
  <si>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</si>
  <si>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</si>
  <si>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</si>
  <si>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</si>
  <si>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</si>
  <si>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</si>
  <si>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</si>
  <si>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</si>
  <si>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</si>
  <si>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</si>
  <si>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</si>
  <si>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</si>
  <si>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</si>
  <si>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</si>
  <si>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</si>
  <si>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</si>
  <si>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</si>
  <si>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</si>
  <si>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</si>
  <si>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</si>
  <si>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</si>
  <si>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</si>
  <si>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</si>
  <si>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</si>
  <si>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</si>
  <si>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</si>
  <si>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</si>
  <si>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</si>
  <si>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</si>
  <si>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</si>
  <si>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</si>
  <si>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</si>
  <si>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</si>
  <si>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</si>
  <si>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</si>
  <si>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</si>
  <si>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</si>
  <si>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</si>
  <si>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</si>
  <si>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</si>
  <si>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</si>
  <si>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</si>
  <si>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</si>
  <si>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</si>
  <si>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</si>
  <si>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</si>
  <si>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</si>
  <si>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</si>
  <si>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</si>
  <si>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</si>
  <si>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</si>
  <si>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</si>
  <si>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</si>
  <si>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</si>
  <si>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</si>
  <si>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</si>
  <si>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</si>
  <si>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</si>
  <si>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</si>
  <si>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</si>
  <si>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</si>
  <si>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</si>
  <si>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</si>
  <si>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</si>
  <si>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</si>
  <si>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</si>
  <si>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</si>
  <si>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</si>
  <si>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</si>
  <si>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</si>
  <si>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</si>
  <si>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</si>
  <si>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</si>
  <si>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</si>
  <si>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</si>
  <si>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</si>
  <si>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</si>
  <si>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</si>
  <si>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</si>
  <si>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</si>
  <si>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</si>
  <si>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</si>
  <si>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</si>
  <si>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</si>
  <si>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</si>
  <si>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</si>
  <si>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</si>
  <si>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</si>
  <si>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</si>
  <si>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</si>
  <si>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</si>
  <si>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</si>
  <si>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</si>
  <si>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</si>
  <si>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</si>
  <si>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</si>
  <si>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</si>
  <si>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</si>
  <si>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</si>
  <si>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</si>
  <si>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</si>
  <si>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</si>
  <si>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</si>
  <si>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</si>
  <si>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</si>
  <si>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</si>
  <si>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</si>
  <si>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</si>
  <si>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</si>
  <si>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</si>
  <si>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</si>
  <si>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</si>
  <si>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</si>
  <si>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</si>
  <si>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</si>
  <si>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</si>
  <si>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</si>
  <si>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</si>
  <si>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</si>
  <si>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</si>
  <si>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</si>
  <si>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</si>
  <si>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</si>
  <si>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</si>
  <si>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</si>
  <si>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</si>
  <si>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</si>
  <si>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</si>
  <si>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</si>
  <si>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</si>
  <si>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</si>
  <si>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</si>
  <si>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</si>
  <si>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</si>
  <si>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</si>
  <si>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</si>
  <si>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</si>
  <si>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</si>
  <si>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</si>
  <si>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</si>
  <si>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</si>
  <si>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</si>
  <si>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</si>
  <si>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</si>
  <si>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</si>
  <si>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</si>
  <si>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</si>
  <si>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</si>
  <si>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</si>
  <si>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</si>
  <si>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</si>
  <si>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</si>
  <si>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</si>
  <si>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</si>
  <si>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</si>
  <si>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</si>
  <si>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</si>
  <si>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</si>
  <si>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</si>
  <si>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</si>
  <si>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</si>
  <si>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</si>
  <si>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</si>
  <si>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</si>
  <si>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</si>
  <si>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</si>
  <si>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</si>
  <si>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</si>
  <si>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</si>
  <si>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</si>
  <si>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</si>
  <si>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</si>
  <si>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</si>
  <si>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</si>
  <si>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</si>
  <si>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</si>
  <si>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</si>
  <si>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</si>
  <si>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</si>
  <si>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</si>
  <si>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</si>
  <si>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</si>
  <si>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</si>
  <si>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</si>
  <si>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</si>
  <si>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</si>
  <si>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</si>
  <si>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</si>
  <si>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</si>
  <si>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</si>
  <si>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</si>
  <si>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</si>
  <si>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</si>
  <si>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</si>
  <si>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</si>
  <si>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</si>
  <si>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</si>
  <si>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</si>
  <si>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</si>
  <si>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</si>
  <si>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</si>
  <si>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</si>
  <si>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</si>
  <si>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</si>
  <si>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</si>
  <si>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</si>
  <si>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</si>
  <si>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</si>
  <si>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</si>
  <si>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</si>
  <si>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</si>
  <si>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</si>
  <si>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</si>
  <si>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</si>
  <si>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</si>
  <si>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</si>
  <si>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</si>
  <si>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</si>
  <si>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</si>
  <si>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</si>
  <si>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</si>
  <si>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</si>
  <si>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</si>
  <si>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</si>
  <si>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</si>
  <si>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</si>
  <si>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</si>
  <si>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</si>
  <si>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</si>
  <si>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</si>
  <si>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</si>
  <si>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</si>
  <si>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</si>
  <si>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</si>
  <si>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</si>
  <si>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</si>
  <si>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</si>
  <si>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</si>
  <si>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</si>
  <si>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</si>
  <si>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</si>
  <si>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</si>
  <si>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</si>
  <si>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</si>
  <si>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</si>
  <si>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</si>
  <si>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</si>
  <si>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</si>
  <si>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</si>
  <si>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</si>
  <si>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</si>
  <si>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</si>
  <si>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</si>
  <si>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</si>
  <si>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</si>
  <si>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</si>
  <si>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</si>
  <si>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</si>
  <si>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</si>
  <si>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</si>
  <si>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</si>
  <si>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</si>
  <si>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</si>
  <si>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</si>
  <si>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</si>
  <si>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</si>
  <si>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</si>
  <si>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</si>
  <si>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</si>
  <si>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</si>
  <si>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</si>
  <si>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</si>
  <si>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</si>
  <si>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</si>
  <si>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</si>
  <si>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</si>
  <si>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</si>
  <si>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</si>
  <si>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</si>
  <si>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</si>
  <si>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</si>
  <si>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</si>
  <si>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</si>
  <si>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</si>
  <si>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</si>
  <si>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</si>
  <si>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</si>
  <si>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</si>
  <si>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</si>
  <si>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</si>
  <si>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</si>
  <si>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</si>
  <si>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</si>
  <si>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</si>
  <si>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</si>
  <si>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</si>
  <si>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</si>
  <si>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</si>
  <si>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</si>
  <si>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</si>
  <si>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</si>
  <si>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</si>
  <si>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</si>
  <si>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</si>
  <si>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</si>
  <si>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</si>
  <si>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</si>
  <si>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</si>
  <si>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</si>
  <si>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</si>
  <si>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</si>
  <si>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</si>
  <si>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</si>
  <si>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</si>
  <si>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</si>
  <si>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</si>
  <si>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</si>
  <si>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</si>
  <si>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</si>
  <si>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</si>
  <si>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</si>
  <si>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</si>
  <si>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</si>
  <si>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</si>
  <si>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</si>
  <si>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</si>
  <si>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</si>
  <si>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</si>
  <si>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</si>
  <si>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</si>
  <si>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</si>
  <si>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</si>
  <si>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</si>
  <si>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</si>
  <si>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</si>
  <si>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</si>
  <si>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</si>
  <si>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</si>
  <si>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</si>
  <si>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</si>
  <si>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</si>
  <si>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</si>
  <si>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</si>
  <si>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</si>
  <si>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</si>
  <si>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</si>
  <si>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</si>
  <si>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</si>
  <si>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</si>
  <si>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</si>
  <si>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</si>
  <si>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</si>
  <si>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</si>
  <si>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</si>
  <si>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</si>
  <si>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</si>
  <si>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</si>
  <si>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</si>
  <si>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</si>
  <si>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</si>
  <si>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</si>
  <si>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</si>
  <si>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</si>
  <si>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</si>
  <si>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</si>
  <si>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</si>
  <si>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</si>
  <si>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</si>
  <si>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</si>
  <si>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</si>
  <si>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</si>
  <si>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</si>
  <si>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</si>
  <si>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</si>
  <si>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</si>
  <si>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</si>
  <si>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</si>
  <si>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</si>
  <si>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</si>
  <si>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</si>
  <si>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</si>
  <si>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</si>
  <si>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</si>
  <si>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</si>
  <si>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</si>
  <si>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</si>
  <si>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</si>
  <si>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</si>
  <si>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</si>
  <si>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</si>
  <si>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</si>
  <si>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</si>
  <si>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</si>
  <si>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</si>
  <si>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</si>
  <si>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</si>
  <si>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</si>
  <si>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</si>
  <si>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</si>
  <si>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</si>
  <si>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</si>
  <si>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</si>
  <si>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</si>
  <si>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</si>
  <si>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</si>
  <si>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</si>
  <si>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</si>
  <si>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</si>
  <si>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</si>
  <si>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</si>
  <si>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</si>
  <si>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</si>
  <si>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</si>
  <si>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</si>
  <si>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</si>
  <si>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</si>
  <si>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</si>
  <si>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</si>
  <si>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</si>
  <si>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</si>
  <si>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</si>
  <si>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</si>
  <si>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</si>
  <si>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</si>
  <si>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</si>
  <si>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</si>
  <si>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</si>
  <si>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</si>
  <si>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</si>
  <si>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</si>
  <si>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</si>
  <si>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</si>
  <si>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</si>
  <si>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</si>
  <si>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</si>
  <si>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</si>
  <si>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</si>
  <si>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</si>
  <si>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</si>
  <si>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</si>
  <si>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</si>
  <si>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</si>
  <si>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</si>
  <si>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</si>
  <si>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</si>
  <si>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</si>
  <si>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</si>
  <si>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</si>
  <si>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</si>
  <si>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</si>
  <si>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</si>
  <si>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</si>
  <si>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</si>
  <si>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</si>
  <si>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</si>
  <si>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</si>
  <si>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</si>
  <si>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</si>
  <si>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</si>
  <si>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</si>
  <si>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</si>
  <si>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</si>
  <si>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</si>
  <si>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</si>
  <si>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</si>
  <si>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</si>
  <si>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</si>
  <si>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</si>
  <si>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</si>
  <si>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</si>
  <si>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</si>
  <si>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</si>
  <si>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</si>
  <si>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</si>
  <si>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</si>
  <si>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</si>
  <si>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</si>
  <si>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</si>
  <si>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</si>
  <si>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</si>
  <si>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</si>
  <si>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</si>
  <si>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</si>
  <si>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</si>
  <si>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</si>
  <si>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</si>
  <si>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</si>
  <si>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</si>
  <si>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</si>
  <si>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</si>
  <si>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</si>
  <si>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</si>
  <si>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</si>
  <si>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</si>
  <si>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</si>
  <si>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</si>
  <si>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</si>
  <si>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</si>
  <si>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</si>
  <si>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</si>
  <si>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</si>
  <si>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</si>
  <si>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</si>
  <si>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</si>
  <si>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</si>
  <si>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</si>
  <si>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</si>
  <si>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</si>
  <si>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</si>
  <si>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</si>
  <si>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</si>
  <si>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</si>
  <si>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</si>
  <si>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</si>
  <si>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</si>
  <si>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</si>
  <si>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</si>
  <si>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</si>
  <si>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</si>
  <si>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</si>
  <si>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</si>
  <si>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</si>
  <si>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</si>
  <si>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</si>
  <si>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</si>
  <si>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</si>
  <si>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</si>
  <si>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</si>
  <si>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</si>
  <si>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</si>
  <si>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</si>
  <si>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</si>
  <si>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</si>
  <si>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</si>
  <si>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</si>
  <si>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</si>
  <si>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</si>
  <si>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</si>
  <si>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</si>
  <si>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</si>
  <si>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</si>
  <si>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</si>
  <si>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</si>
  <si>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</si>
  <si>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</si>
  <si>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</si>
  <si>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</si>
  <si>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</si>
  <si>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</si>
  <si>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</si>
  <si>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</si>
  <si>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</si>
  <si>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</si>
  <si>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</si>
  <si>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</si>
  <si>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</si>
  <si>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</si>
  <si>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</si>
  <si>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</si>
  <si>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</si>
  <si>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</si>
  <si>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</si>
  <si>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</si>
  <si>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</si>
  <si>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</si>
  <si>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</si>
  <si>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</si>
  <si>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</si>
  <si>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</si>
  <si>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</si>
  <si>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</si>
  <si>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</si>
  <si>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</si>
  <si>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</si>
  <si>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</si>
  <si>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</si>
  <si>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</si>
  <si>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</si>
  <si>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</si>
  <si>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</si>
  <si>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</si>
  <si>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</si>
  <si>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</si>
  <si>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</si>
  <si>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</si>
  <si>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</si>
  <si>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</si>
  <si>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</si>
  <si>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</si>
  <si>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</si>
  <si>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</si>
  <si>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</si>
  <si>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</si>
  <si>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</si>
  <si>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</si>
  <si>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</si>
  <si>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</si>
  <si>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</si>
  <si>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</si>
  <si>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</si>
  <si>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</si>
  <si>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</si>
  <si>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</si>
  <si>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</si>
  <si>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</si>
  <si>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</si>
  <si>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</si>
  <si>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</si>
  <si>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</si>
  <si>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</si>
  <si>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</si>
  <si>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</si>
  <si>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</si>
  <si>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</si>
  <si>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</si>
  <si>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</si>
  <si>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</si>
  <si>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</si>
  <si>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</si>
  <si>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</si>
  <si>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</si>
  <si>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</si>
  <si>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</si>
  <si>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</si>
  <si>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</si>
  <si>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</si>
  <si>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</si>
  <si>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</si>
  <si>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</si>
  <si>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</si>
  <si>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</si>
  <si>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</si>
  <si>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</si>
  <si>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</si>
  <si>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</si>
  <si>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</si>
  <si>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</si>
  <si>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</si>
  <si>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</si>
  <si>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</si>
  <si>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</si>
  <si>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</si>
  <si>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</si>
  <si>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</si>
  <si>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</si>
  <si>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</si>
  <si>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</si>
  <si>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</si>
  <si>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</si>
  <si>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</si>
  <si>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</si>
  <si>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</si>
  <si>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</si>
  <si>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</si>
  <si>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</si>
  <si>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</si>
  <si>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</si>
  <si>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</si>
  <si>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</si>
  <si>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</si>
  <si>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</si>
  <si>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</si>
  <si>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</si>
  <si>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</si>
  <si>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</si>
  <si>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</si>
  <si>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</si>
  <si>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</si>
  <si>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</si>
  <si>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</si>
  <si>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</si>
  <si>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</si>
  <si>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</si>
  <si>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</si>
  <si>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</si>
  <si>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</si>
  <si>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</si>
  <si>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</si>
  <si>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</si>
  <si>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</si>
  <si>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</si>
  <si>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</si>
  <si>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</si>
  <si>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</si>
  <si>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</si>
  <si>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</si>
  <si>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</si>
  <si>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</si>
  <si>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</si>
  <si>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</si>
  <si>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</si>
  <si>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</si>
  <si>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</si>
  <si>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</si>
  <si>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</si>
  <si>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</si>
  <si>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</si>
  <si>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</si>
  <si>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</si>
  <si>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</si>
  <si>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</si>
  <si>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</si>
  <si>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</si>
  <si>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</si>
  <si>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</si>
  <si>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</si>
  <si>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</si>
  <si>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</si>
  <si>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</si>
  <si>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</si>
  <si>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</si>
  <si>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</si>
  <si>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</si>
  <si>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</si>
  <si>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</si>
  <si>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</si>
  <si>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</si>
  <si>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</si>
  <si>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</si>
  <si>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</si>
  <si>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</si>
  <si>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</si>
  <si>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</si>
  <si>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</si>
  <si>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</si>
  <si>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</si>
  <si>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</si>
  <si>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</si>
  <si>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</si>
  <si>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</si>
  <si>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</si>
  <si>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</si>
  <si>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</si>
  <si>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</si>
  <si>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</si>
  <si>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</si>
  <si>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</si>
  <si>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</si>
  <si>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</si>
  <si>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</si>
  <si>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</si>
  <si>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</si>
  <si>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</si>
  <si>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</si>
  <si>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</si>
  <si>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</si>
  <si>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</si>
  <si>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</si>
  <si>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</si>
  <si>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</si>
  <si>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</si>
  <si>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</si>
  <si>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</si>
  <si>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</si>
  <si>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</si>
  <si>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</si>
  <si>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</si>
  <si>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</si>
  <si>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</si>
  <si>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</si>
  <si>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</si>
  <si>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</si>
  <si>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</si>
  <si>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</si>
  <si>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</si>
  <si>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</si>
  <si>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</si>
  <si>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</si>
  <si>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</si>
  <si>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</si>
  <si>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</si>
  <si>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</si>
  <si>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</si>
  <si>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</si>
  <si>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</si>
  <si>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</si>
  <si>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</si>
  <si>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</si>
  <si>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</si>
  <si>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</si>
  <si>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</si>
  <si>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</si>
  <si>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</si>
  <si>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</si>
  <si>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</si>
  <si>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</si>
  <si>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</si>
  <si>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</si>
  <si>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</si>
  <si>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</si>
  <si>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</si>
  <si>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</si>
  <si>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</si>
  <si>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</si>
  <si>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</si>
  <si>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</si>
  <si>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</si>
  <si>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</si>
  <si>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</si>
  <si>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</si>
  <si>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</si>
  <si>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</si>
  <si>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</si>
  <si>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</si>
  <si>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</si>
  <si>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</si>
  <si>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</si>
  <si>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</si>
  <si>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</si>
  <si>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</si>
  <si>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</si>
  <si>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</si>
  <si>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</si>
  <si>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</si>
  <si>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</si>
  <si>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</si>
  <si>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</si>
  <si>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</si>
  <si>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</si>
  <si>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</si>
  <si>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</si>
  <si>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</si>
  <si>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</si>
  <si>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</si>
  <si>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</si>
  <si>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</si>
  <si>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</si>
  <si>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</si>
  <si>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</si>
  <si>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</si>
  <si>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</si>
  <si>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</si>
  <si>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</si>
  <si>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</si>
  <si>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</si>
  <si>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</si>
  <si>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</si>
  <si>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</si>
  <si>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</si>
  <si>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</si>
  <si>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</si>
  <si>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</si>
  <si>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</si>
  <si>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</si>
  <si>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</si>
  <si>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</si>
  <si>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</si>
  <si>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</si>
  <si>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</si>
  <si>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</si>
  <si>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</si>
  <si>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</si>
  <si>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</si>
  <si>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</si>
  <si>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</si>
  <si>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</si>
  <si>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</si>
  <si>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</si>
  <si>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</si>
  <si>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</si>
  <si>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</si>
  <si>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</si>
  <si>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</si>
  <si>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</si>
  <si>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</si>
  <si>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</si>
  <si>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</si>
  <si>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</si>
  <si>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</si>
  <si>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</si>
  <si>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</si>
  <si>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</si>
  <si>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</si>
  <si>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</si>
  <si>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</si>
  <si>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</si>
  <si>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</si>
  <si>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</si>
  <si>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</si>
  <si>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</si>
  <si>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</si>
  <si>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</si>
  <si>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</si>
  <si>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</si>
  <si>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</si>
  <si>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</si>
  <si>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</si>
  <si>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</si>
  <si>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</si>
  <si>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</si>
  <si>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</si>
  <si>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</si>
  <si>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</si>
  <si>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</si>
  <si>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</si>
  <si>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</si>
  <si>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</si>
  <si>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</si>
  <si>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</si>
  <si>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</si>
  <si>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</si>
  <si>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</si>
  <si>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</si>
  <si>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</si>
  <si>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</si>
  <si>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</si>
  <si>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</si>
  <si>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</si>
  <si>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</si>
  <si>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</si>
  <si>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</si>
  <si>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</si>
  <si>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</si>
  <si>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</si>
  <si>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</si>
  <si>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</si>
  <si>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</si>
  <si>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</si>
  <si>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</si>
  <si>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</si>
  <si>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</si>
  <si>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</si>
  <si>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</si>
  <si>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</si>
  <si>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</si>
  <si>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</si>
  <si>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</si>
  <si>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</si>
  <si>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</si>
  <si>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</si>
  <si>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</si>
  <si>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</si>
  <si>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</si>
  <si>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</si>
  <si>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</si>
  <si>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</si>
  <si>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</si>
  <si>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</si>
  <si>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</si>
  <si>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</si>
  <si>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</si>
  <si>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</si>
  <si>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</si>
  <si>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</si>
  <si>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</si>
  <si>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</si>
  <si>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</si>
  <si>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</si>
  <si>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</si>
  <si>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</si>
  <si>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</si>
  <si>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</si>
  <si>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</si>
  <si>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</si>
  <si>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</si>
  <si>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</si>
  <si>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</si>
  <si>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</si>
  <si>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</si>
  <si>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</si>
  <si>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</si>
  <si>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</si>
  <si>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</si>
  <si>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</si>
  <si>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</si>
  <si>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</si>
  <si>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</si>
  <si>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</si>
  <si>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</si>
  <si>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</si>
  <si>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</si>
  <si>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</si>
  <si>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</si>
  <si>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</si>
  <si>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</si>
  <si>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</si>
  <si>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</si>
  <si>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</si>
  <si>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</si>
  <si>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</si>
  <si>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</si>
  <si>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</si>
  <si>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</si>
  <si>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</si>
  <si>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</si>
  <si>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</si>
  <si>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</si>
  <si>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</si>
  <si>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</si>
  <si>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</si>
  <si>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</si>
  <si>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</si>
  <si>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</si>
  <si>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</si>
  <si>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</si>
  <si>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</si>
  <si>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</si>
  <si>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</si>
  <si>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</si>
  <si>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</si>
  <si>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</si>
  <si>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</si>
  <si>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</si>
  <si>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</si>
  <si>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</si>
  <si>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</si>
  <si>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</si>
  <si>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</si>
  <si>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</si>
  <si>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</si>
  <si>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</si>
  <si>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</si>
  <si>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</si>
  <si>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</si>
  <si>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</si>
  <si>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</si>
  <si>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</si>
  <si>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</si>
  <si>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</si>
  <si>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</si>
  <si>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</si>
  <si>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</si>
  <si>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</si>
  <si>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</si>
  <si>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</si>
  <si>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</si>
  <si>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</si>
  <si>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</si>
  <si>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</si>
  <si>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</si>
  <si>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</si>
  <si>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</si>
  <si>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</si>
  <si>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</si>
  <si>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</si>
  <si>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</si>
  <si>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</si>
  <si>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</si>
  <si>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</si>
  <si>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</si>
  <si>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</si>
  <si>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</si>
  <si>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</si>
  <si>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</si>
  <si>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</si>
  <si>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</si>
  <si>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</si>
  <si>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</si>
  <si>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</si>
  <si>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</si>
  <si>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</si>
  <si>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</si>
  <si>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</si>
  <si>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</si>
  <si>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</si>
  <si>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</si>
  <si>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</si>
  <si>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</si>
  <si>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</si>
  <si>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</si>
  <si>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</si>
  <si>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</si>
  <si>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</si>
  <si>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</si>
  <si>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</si>
  <si>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</si>
  <si>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</si>
  <si>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</si>
  <si>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</si>
  <si>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</si>
  <si>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</si>
  <si>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</si>
  <si>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</si>
  <si>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</si>
  <si>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</si>
  <si>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</si>
  <si>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</si>
  <si>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</si>
  <si>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</si>
  <si>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</si>
  <si>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</si>
  <si>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</si>
  <si>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</si>
  <si>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</si>
  <si>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</si>
  <si>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</si>
  <si>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</si>
  <si>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</si>
  <si>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</si>
  <si>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</si>
  <si>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</si>
  <si>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</si>
  <si>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</si>
  <si>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</si>
  <si>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</si>
  <si>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</si>
  <si>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</si>
  <si>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</si>
  <si>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</si>
  <si>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</si>
  <si>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</si>
  <si>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</si>
  <si>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</si>
  <si>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</si>
  <si>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</si>
  <si>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</si>
  <si>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</si>
  <si>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</si>
  <si>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</si>
  <si>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</si>
  <si>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</si>
  <si>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</si>
  <si>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</si>
  <si>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</si>
  <si>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</si>
  <si>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</si>
  <si>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</si>
  <si>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</si>
  <si>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</si>
  <si>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</si>
  <si>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</si>
  <si>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</si>
  <si>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</si>
  <si>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</si>
  <si>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</si>
  <si>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</si>
  <si>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</si>
  <si>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</si>
  <si>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</si>
  <si>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</si>
  <si>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</si>
  <si>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</si>
  <si>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</si>
  <si>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</si>
  <si>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</si>
  <si>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</si>
  <si>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</si>
  <si>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</si>
  <si>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</si>
  <si>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</si>
  <si>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</si>
  <si>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</si>
  <si>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</si>
  <si>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</si>
  <si>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</si>
  <si>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</si>
  <si>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</si>
  <si>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</si>
  <si>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</si>
  <si>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</si>
  <si>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</si>
  <si>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</si>
  <si>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</si>
  <si>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</si>
  <si>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</si>
  <si>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</si>
  <si>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</si>
  <si>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</si>
  <si>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</si>
  <si>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</si>
  <si>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</si>
  <si>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</si>
  <si>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</si>
  <si>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</si>
  <si>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</si>
  <si>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</si>
  <si>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</si>
  <si>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</si>
  <si>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</si>
  <si>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</si>
  <si>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</si>
  <si>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</si>
  <si>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</si>
  <si>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</si>
  <si>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</si>
  <si>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</si>
  <si>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</si>
  <si>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</si>
  <si>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</si>
  <si>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</si>
  <si>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</si>
  <si>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</si>
  <si>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</si>
  <si>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</si>
  <si>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</si>
  <si>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</si>
  <si>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</si>
  <si>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</si>
  <si>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</si>
  <si>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</si>
  <si>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</si>
  <si>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</si>
  <si>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</si>
  <si>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</si>
  <si>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</si>
  <si>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</si>
  <si>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</si>
  <si>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</si>
  <si>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</si>
  <si>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</si>
  <si>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</si>
  <si>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</si>
  <si>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</si>
  <si>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</si>
  <si>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</si>
  <si>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</si>
  <si>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</si>
  <si>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</si>
  <si>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</si>
  <si>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</si>
  <si>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</si>
  <si>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</si>
  <si>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</si>
  <si>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</si>
  <si>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</si>
  <si>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</si>
  <si>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</si>
  <si>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</si>
  <si>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</si>
  <si>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</si>
  <si>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</si>
  <si>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</si>
  <si>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</si>
  <si>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</si>
  <si>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</si>
  <si>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</si>
  <si>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</si>
  <si>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</si>
  <si>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</si>
  <si>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</si>
  <si>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</si>
  <si>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</si>
  <si>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</si>
  <si>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</si>
  <si>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</si>
  <si>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</si>
  <si>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</si>
  <si>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</si>
  <si>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</si>
  <si>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</si>
  <si>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</si>
  <si>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</si>
  <si>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</si>
  <si>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</si>
  <si>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</si>
  <si>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</si>
  <si>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</si>
  <si>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</si>
  <si>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</si>
  <si>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</si>
  <si>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</si>
  <si>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</si>
  <si>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</si>
  <si>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</si>
  <si>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</si>
  <si>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</si>
  <si>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</si>
  <si>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</si>
  <si>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</si>
  <si>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</si>
  <si>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</si>
  <si>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</si>
  <si>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</si>
  <si>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</si>
  <si>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</si>
  <si>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</si>
  <si>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</si>
  <si>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</si>
  <si>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</si>
  <si>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</si>
  <si>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</si>
  <si>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</si>
  <si>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</si>
  <si>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</si>
  <si>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</si>
  <si>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</si>
  <si>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</si>
  <si>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</si>
  <si>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</si>
  <si>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</si>
  <si>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</si>
  <si>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</si>
  <si>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</si>
  <si>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</si>
  <si>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</si>
  <si>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</si>
  <si>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</si>
  <si>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</si>
  <si>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</si>
  <si>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</si>
  <si>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</si>
  <si>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</si>
  <si>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</si>
  <si>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</si>
  <si>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</si>
  <si>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</si>
  <si>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</si>
  <si>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</si>
  <si>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</si>
  <si>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</si>
  <si>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</si>
  <si>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</si>
  <si>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</si>
  <si>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</si>
  <si>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</si>
  <si>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</si>
  <si>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</si>
  <si>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</si>
  <si>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</si>
  <si>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</si>
  <si>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</si>
  <si>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</si>
  <si>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</si>
  <si>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</si>
  <si>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</si>
  <si>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</si>
  <si>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</si>
  <si>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</si>
  <si>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</si>
  <si>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</si>
  <si>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</si>
  <si>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</si>
  <si>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</si>
  <si>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</si>
  <si>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</si>
  <si>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</si>
  <si>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</si>
  <si>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</si>
  <si>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</si>
  <si>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</si>
  <si>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</si>
  <si>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</si>
  <si>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</si>
  <si>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</si>
  <si>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</si>
  <si>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</si>
  <si>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</si>
  <si>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</si>
  <si>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</si>
  <si>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</si>
  <si>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</si>
  <si>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</si>
  <si>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</si>
  <si>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</si>
  <si>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</si>
  <si>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</si>
  <si>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</si>
  <si>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</si>
  <si>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</si>
  <si>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</si>
  <si>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</si>
  <si>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</si>
  <si>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</si>
  <si>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</si>
  <si>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</si>
  <si>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</si>
  <si>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</si>
  <si>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</si>
  <si>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</si>
  <si>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</si>
  <si>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</si>
  <si>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</si>
  <si>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</si>
  <si>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</si>
  <si>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</si>
  <si>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</si>
  <si>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</si>
  <si>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</si>
  <si>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</si>
  <si>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</si>
  <si>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</si>
  <si>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</si>
  <si>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</si>
  <si>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</si>
  <si>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</si>
  <si>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</si>
  <si>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</si>
  <si>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</si>
  <si>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</si>
  <si>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</si>
  <si>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</si>
  <si>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</si>
  <si>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</si>
  <si>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</si>
  <si>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</si>
  <si>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</si>
  <si>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</si>
  <si>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</si>
  <si>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</si>
  <si>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</si>
  <si>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</si>
  <si>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</si>
  <si>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</si>
  <si>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</si>
  <si>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</si>
  <si>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</si>
  <si>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</si>
  <si>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</si>
  <si>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</si>
  <si>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</si>
  <si>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</si>
  <si>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</si>
  <si>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</si>
  <si>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</si>
  <si>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</si>
  <si>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</si>
  <si>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</si>
  <si>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</si>
  <si>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</si>
  <si>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</si>
  <si>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</si>
  <si>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</si>
  <si>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</si>
  <si>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</si>
  <si>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</si>
  <si>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</si>
  <si>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</si>
  <si>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</si>
  <si>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</si>
  <si>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</si>
  <si>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</si>
  <si>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</si>
  <si>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</si>
  <si>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</si>
  <si>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</si>
  <si>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</si>
  <si>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</si>
  <si>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</si>
  <si>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</si>
  <si>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</si>
  <si>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</si>
  <si>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</si>
  <si>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</si>
  <si>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</si>
  <si>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</si>
  <si>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</si>
  <si>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</si>
  <si>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</si>
  <si>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</si>
  <si>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</si>
  <si>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</si>
  <si>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</si>
  <si>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</si>
  <si>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</si>
  <si>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</si>
  <si>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</si>
  <si>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</si>
  <si>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</si>
  <si>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</si>
  <si>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</si>
  <si>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</si>
  <si>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</si>
  <si>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</si>
  <si>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</si>
  <si>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</si>
  <si>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</si>
  <si>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</si>
  <si>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</si>
  <si>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</si>
  <si>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</si>
  <si>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</si>
  <si>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</si>
  <si>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</si>
  <si>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</si>
  <si>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</si>
  <si>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</si>
  <si>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</si>
  <si>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</si>
  <si>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</si>
  <si>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</si>
  <si>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</si>
  <si>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</si>
  <si>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</si>
  <si>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</si>
  <si>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</si>
  <si>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</si>
  <si>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</si>
  <si>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</si>
  <si>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</si>
  <si>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</si>
  <si>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</si>
  <si>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</si>
  <si>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</si>
  <si>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</si>
  <si>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</si>
  <si>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</si>
  <si>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</si>
  <si>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</si>
  <si>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</si>
  <si>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</si>
  <si>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</si>
  <si>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</si>
  <si>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</si>
  <si>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</si>
  <si>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</si>
  <si>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</si>
  <si>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</si>
  <si>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</si>
  <si>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</si>
  <si>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</si>
  <si>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</si>
  <si>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</si>
  <si>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</si>
  <si>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</si>
  <si>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</si>
  <si>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</si>
  <si>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</si>
  <si>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</si>
  <si>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</si>
  <si>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</si>
  <si>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</si>
  <si>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</si>
  <si>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</si>
  <si>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</si>
  <si>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</si>
  <si>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</si>
  <si>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</si>
  <si>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</si>
  <si>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</si>
  <si>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</si>
  <si>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</si>
  <si>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</si>
  <si>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</si>
  <si>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</si>
  <si>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</si>
  <si>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</si>
  <si>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</si>
  <si>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</si>
  <si>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</si>
  <si>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</si>
  <si>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</si>
  <si>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</si>
  <si>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</si>
  <si>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</si>
  <si>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</si>
  <si>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</si>
  <si>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</si>
  <si>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</si>
  <si>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</si>
  <si>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</si>
  <si>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</si>
  <si>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</si>
  <si>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</si>
  <si>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</si>
  <si>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</si>
  <si>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</si>
  <si>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</si>
  <si>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</si>
  <si>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</si>
  <si>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</si>
  <si>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</si>
  <si>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</si>
  <si>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</si>
  <si>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</si>
  <si>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</si>
  <si>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</si>
  <si>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</si>
  <si>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</si>
  <si>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</si>
  <si>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</si>
  <si>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</si>
  <si>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</si>
  <si>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</si>
  <si>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</si>
  <si>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</si>
  <si>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</si>
  <si>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</si>
  <si>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</si>
  <si>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</si>
  <si>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</si>
  <si>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</si>
  <si>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</si>
  <si>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</si>
  <si>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</si>
  <si>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</si>
  <si>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</si>
  <si>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</si>
  <si>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</si>
  <si>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</si>
  <si>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</si>
  <si>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</si>
  <si>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</si>
  <si>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</si>
  <si>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</si>
  <si>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</si>
  <si>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</si>
  <si>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</si>
  <si>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</si>
  <si>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</si>
  <si>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</si>
  <si>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</si>
  <si>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</si>
  <si>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</si>
  <si>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</si>
  <si>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</si>
  <si>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</si>
  <si>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</si>
  <si>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</si>
  <si>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</si>
  <si>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</si>
  <si>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</si>
  <si>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</si>
  <si>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</si>
  <si>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</si>
  <si>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</si>
  <si>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</si>
  <si>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</si>
  <si>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</si>
  <si>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</si>
  <si>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</si>
  <si>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</si>
  <si>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</si>
  <si>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</si>
  <si>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</si>
  <si>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</si>
  <si>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</si>
  <si>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</si>
  <si>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</si>
  <si>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</si>
  <si>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</si>
  <si>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</si>
  <si>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</si>
  <si>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</si>
  <si>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</si>
  <si>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</si>
  <si>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</si>
  <si>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</si>
  <si>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</si>
  <si>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</si>
  <si>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</si>
  <si>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</si>
  <si>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</si>
  <si>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</si>
  <si>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</si>
  <si>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</si>
  <si>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</si>
  <si>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</si>
  <si>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</si>
  <si>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</si>
  <si>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</si>
  <si>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</si>
  <si>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</si>
  <si>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</si>
  <si>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</si>
  <si>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</si>
  <si>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</si>
  <si>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</si>
  <si>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</si>
  <si>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</si>
  <si>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</si>
  <si>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</si>
  <si>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</si>
  <si>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</si>
  <si>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</si>
  <si>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</si>
  <si>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</si>
  <si>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</si>
  <si>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</si>
  <si>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</si>
  <si>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</si>
  <si>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</si>
  <si>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</si>
  <si>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</si>
  <si>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</si>
  <si>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</si>
  <si>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</si>
  <si>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</si>
  <si>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</si>
  <si>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</si>
  <si>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</si>
  <si>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</si>
  <si>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</si>
  <si>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</si>
  <si>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</si>
  <si>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</si>
  <si>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</si>
  <si>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</si>
  <si>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</si>
  <si>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</si>
  <si>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</si>
  <si>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</si>
  <si>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</si>
  <si>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</si>
  <si>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</si>
  <si>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</si>
  <si>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</si>
  <si>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</si>
  <si>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</si>
  <si>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</si>
  <si>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</si>
  <si>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</si>
  <si>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</si>
  <si>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</si>
  <si>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</si>
  <si>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</si>
  <si>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</si>
  <si>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</si>
  <si>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</si>
  <si>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</si>
  <si>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</si>
  <si>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</si>
  <si>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</si>
  <si>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</si>
  <si>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</si>
  <si>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</si>
  <si>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</si>
  <si>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</si>
  <si>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</si>
  <si>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</si>
  <si>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</si>
  <si>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</si>
  <si>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</si>
  <si>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</si>
  <si>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</si>
  <si>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</si>
  <si>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</si>
  <si>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</si>
  <si>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</si>
  <si>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</si>
  <si>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</si>
  <si>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</si>
  <si>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</si>
  <si>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</si>
  <si>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</si>
  <si>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</si>
  <si>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</si>
  <si>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</si>
  <si>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</si>
  <si>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</si>
  <si>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</si>
  <si>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</si>
  <si>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</si>
  <si>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</si>
  <si>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</si>
  <si>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</si>
  <si>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</si>
  <si>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</si>
  <si>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</si>
  <si>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</si>
  <si>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</si>
  <si>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</si>
  <si>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</si>
  <si>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</si>
  <si>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</si>
  <si>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</si>
  <si>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</si>
  <si>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</si>
  <si>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</si>
  <si>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</si>
  <si>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</si>
  <si>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</si>
  <si>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</si>
  <si>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</si>
  <si>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</si>
  <si>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</si>
  <si>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</si>
  <si>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</si>
  <si>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</si>
  <si>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</si>
  <si>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</si>
  <si>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</si>
  <si>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</si>
  <si>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</si>
  <si>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</si>
  <si>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</si>
  <si>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</si>
  <si>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</si>
  <si>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</si>
  <si>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</si>
  <si>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</si>
  <si>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</si>
  <si>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</si>
  <si>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</si>
  <si>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</si>
  <si>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</si>
  <si>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</si>
  <si>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</si>
  <si>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</si>
  <si>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</si>
  <si>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</si>
  <si>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</si>
  <si>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</si>
  <si>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</si>
  <si>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</si>
  <si>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</si>
  <si>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</si>
  <si>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</si>
  <si>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</si>
  <si>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</si>
  <si>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</si>
  <si>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</si>
  <si>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</si>
  <si>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</si>
  <si>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</si>
  <si>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</si>
  <si>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</si>
  <si>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</si>
  <si>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</si>
  <si>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</si>
  <si>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</si>
  <si>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</si>
  <si>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</si>
  <si>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</si>
  <si>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</si>
  <si>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</si>
  <si>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</si>
  <si>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</si>
  <si>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</si>
  <si>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</si>
  <si>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</si>
  <si>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</si>
  <si>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</si>
  <si>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</si>
  <si>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</si>
  <si>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</si>
  <si>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</si>
  <si>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</si>
  <si>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</si>
  <si>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</si>
  <si>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</si>
  <si>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</si>
  <si>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</si>
  <si>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</si>
  <si>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</si>
  <si>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</si>
  <si>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</si>
  <si>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</si>
  <si>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</si>
  <si>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</si>
  <si>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</si>
  <si>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</si>
  <si>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</si>
  <si>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</si>
  <si>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</si>
  <si>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</si>
  <si>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</si>
  <si>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</si>
  <si>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</si>
  <si>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</si>
  <si>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</si>
  <si>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</si>
  <si>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</si>
  <si>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</si>
  <si>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</si>
  <si>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</si>
  <si>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</si>
  <si>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</si>
  <si>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</si>
  <si>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</si>
  <si>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</si>
  <si>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</si>
  <si>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</si>
  <si>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</si>
  <si>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</si>
  <si>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</si>
  <si>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</si>
  <si>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</si>
  <si>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</si>
  <si>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</si>
  <si>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</si>
  <si>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</si>
  <si>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</si>
  <si>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</si>
  <si>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</si>
  <si>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</si>
  <si>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</si>
  <si>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</si>
  <si>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</si>
  <si>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</si>
  <si>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</si>
  <si>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</si>
  <si>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</si>
  <si>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</si>
  <si>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</si>
  <si>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</si>
  <si>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</si>
  <si>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</si>
  <si>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</si>
  <si>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</si>
  <si>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</si>
  <si>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</si>
  <si>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</si>
  <si>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</si>
  <si>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</si>
  <si>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</si>
  <si>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</si>
  <si>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</si>
  <si>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</si>
  <si>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</si>
  <si>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</si>
  <si>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</si>
  <si>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</si>
  <si>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</si>
  <si>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</si>
  <si>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</si>
  <si>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</si>
  <si>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</si>
  <si>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</si>
  <si>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</si>
  <si>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</si>
  <si>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</si>
  <si>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</si>
  <si>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</si>
  <si>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</si>
  <si>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</si>
  <si>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</si>
  <si>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</si>
  <si>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</si>
  <si>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</si>
  <si>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</si>
  <si>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</si>
  <si>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</si>
  <si>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</si>
  <si>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</si>
  <si>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</si>
  <si>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</si>
  <si>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</si>
  <si>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</si>
  <si>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</si>
  <si>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</si>
  <si>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</si>
  <si>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</si>
  <si>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</si>
  <si>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</si>
  <si>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</si>
  <si>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</si>
  <si>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</si>
  <si>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</si>
  <si>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</si>
  <si>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2023-3</t>
    <phoneticPr fontId="4" type="noConversion"/>
  </si>
  <si>
    <t>2023-4</t>
    <phoneticPr fontId="4" type="noConversion"/>
  </si>
  <si>
    <t>2023-4</t>
    <phoneticPr fontId="4" type="noConversion"/>
  </si>
  <si>
    <t>2024-3</t>
    <phoneticPr fontId="4" type="noConversion"/>
  </si>
  <si>
    <t>2024-2</t>
    <phoneticPr fontId="4" type="noConversion"/>
  </si>
  <si>
    <t>2024-1</t>
    <phoneticPr fontId="4" type="noConversion"/>
  </si>
  <si>
    <t>2024-1</t>
    <phoneticPr fontId="4" type="noConversion"/>
  </si>
  <si>
    <t>抵押</t>
  </si>
  <si>
    <t>房地产抵押价值</t>
  </si>
  <si>
    <t>其他：</t>
  </si>
  <si>
    <t>企业</t>
  </si>
  <si>
    <t>是</t>
  </si>
  <si>
    <t>商业项目</t>
  </si>
  <si>
    <t>无</t>
  </si>
  <si>
    <t>否</t>
  </si>
  <si>
    <t>现房</t>
  </si>
  <si>
    <t>地上</t>
  </si>
  <si>
    <t>商业</t>
    <phoneticPr fontId="8" type="noConversion"/>
  </si>
  <si>
    <t>成新度</t>
  </si>
  <si>
    <t>收益法 (元)</t>
  </si>
  <si>
    <r>
      <t>1</t>
    </r>
    <r>
      <rPr>
        <sz val="10"/>
        <color indexed="8"/>
        <rFont val="宋体"/>
        <family val="3"/>
        <charset val="134"/>
      </rPr>
      <t>层</t>
    </r>
    <phoneticPr fontId="25"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</si>
  <si>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</si>
  <si>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</si>
  <si>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</si>
  <si>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</si>
  <si>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</si>
  <si>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</si>
  <si>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</si>
  <si>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</si>
  <si>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1" type="noConversion"/>
  </si>
  <si>
    <t>正常</t>
  </si>
  <si>
    <t>较好</t>
  </si>
  <si>
    <t>七通</t>
  </si>
  <si>
    <t>比较法-商业</t>
  </si>
  <si>
    <t>押一</t>
  </si>
  <si>
    <t>楼面单价</t>
  </si>
  <si>
    <t>办公</t>
    <phoneticPr fontId="31" type="noConversion"/>
  </si>
  <si>
    <t>正评单价</t>
    <phoneticPr fontId="135" type="noConversion"/>
  </si>
  <si>
    <r>
      <t>2</t>
    </r>
    <r>
      <rPr>
        <sz val="11"/>
        <color theme="1"/>
        <rFont val="宋体"/>
        <family val="3"/>
        <charset val="134"/>
        <scheme val="minor"/>
      </rPr>
      <t>1-1</t>
    </r>
    <phoneticPr fontId="135" type="noConversion"/>
  </si>
  <si>
    <r>
      <t>2</t>
    </r>
    <r>
      <rPr>
        <sz val="11"/>
        <color theme="1"/>
        <rFont val="宋体"/>
        <family val="3"/>
        <charset val="134"/>
        <scheme val="minor"/>
      </rPr>
      <t>1-2</t>
    </r>
    <r>
      <rPr>
        <sz val="11"/>
        <color theme="1"/>
        <rFont val="宋体"/>
        <family val="2"/>
        <charset val="134"/>
        <scheme val="minor"/>
      </rPr>
      <t/>
    </r>
  </si>
  <si>
    <t>21-5</t>
    <phoneticPr fontId="135" type="noConversion"/>
  </si>
  <si>
    <t>21-4</t>
    <phoneticPr fontId="135" type="noConversion"/>
  </si>
  <si>
    <t>1</t>
    <phoneticPr fontId="135" type="noConversion"/>
  </si>
  <si>
    <t>1</t>
    <phoneticPr fontId="135" type="noConversion"/>
  </si>
  <si>
    <t>2</t>
    <phoneticPr fontId="135" type="noConversion"/>
  </si>
  <si>
    <t>3</t>
    <phoneticPr fontId="135" type="noConversion"/>
  </si>
  <si>
    <t>4</t>
    <phoneticPr fontId="135" type="noConversion"/>
  </si>
  <si>
    <t>房号</t>
    <phoneticPr fontId="135" type="noConversion"/>
  </si>
  <si>
    <t>楼层</t>
    <phoneticPr fontId="135" type="noConversion"/>
  </si>
  <si>
    <r>
      <t>2</t>
    </r>
    <r>
      <rPr>
        <sz val="11"/>
        <color theme="1"/>
        <rFont val="宋体"/>
        <family val="3"/>
        <charset val="134"/>
        <scheme val="minor"/>
      </rPr>
      <t>7.28</t>
    </r>
    <phoneticPr fontId="135" type="noConversion"/>
  </si>
  <si>
    <r>
      <t>9</t>
    </r>
    <r>
      <rPr>
        <sz val="11"/>
        <color theme="1"/>
        <rFont val="宋体"/>
        <family val="3"/>
        <charset val="134"/>
        <scheme val="minor"/>
      </rPr>
      <t>9.38</t>
    </r>
    <phoneticPr fontId="135" type="noConversion"/>
  </si>
  <si>
    <r>
      <t>2</t>
    </r>
    <r>
      <rPr>
        <sz val="11"/>
        <color theme="1"/>
        <rFont val="宋体"/>
        <family val="3"/>
        <charset val="134"/>
        <scheme val="minor"/>
      </rPr>
      <t>1013</t>
    </r>
    <phoneticPr fontId="135" type="noConversion"/>
  </si>
  <si>
    <r>
      <t>1</t>
    </r>
    <r>
      <rPr>
        <sz val="11"/>
        <color theme="1"/>
        <rFont val="宋体"/>
        <family val="3"/>
        <charset val="134"/>
        <scheme val="minor"/>
      </rPr>
      <t>7147</t>
    </r>
    <phoneticPr fontId="135" type="noConversion"/>
  </si>
  <si>
    <r>
      <t>1</t>
    </r>
    <r>
      <rPr>
        <sz val="11"/>
        <color theme="1"/>
        <rFont val="宋体"/>
        <family val="3"/>
        <charset val="134"/>
        <scheme val="minor"/>
      </rPr>
      <t>6804</t>
    </r>
    <phoneticPr fontId="135" type="noConversion"/>
  </si>
  <si>
    <r>
      <t>1</t>
    </r>
    <r>
      <rPr>
        <sz val="11"/>
        <color theme="1"/>
        <rFont val="宋体"/>
        <family val="3"/>
        <charset val="134"/>
        <scheme val="minor"/>
      </rPr>
      <t>4703</t>
    </r>
    <phoneticPr fontId="135" type="noConversion"/>
  </si>
  <si>
    <r>
      <t>1</t>
    </r>
    <r>
      <rPr>
        <sz val="11"/>
        <color theme="1"/>
        <rFont val="宋体"/>
        <family val="3"/>
        <charset val="134"/>
        <scheme val="minor"/>
      </rPr>
      <t>2860</t>
    </r>
    <phoneticPr fontId="135" type="noConversion"/>
  </si>
  <si>
    <t>正评</t>
    <phoneticPr fontId="135" type="noConversion"/>
  </si>
  <si>
    <t>复评</t>
    <phoneticPr fontId="135" type="noConversion"/>
  </si>
  <si>
    <t>单价</t>
    <phoneticPr fontId="135" type="noConversion"/>
  </si>
  <si>
    <t>总价</t>
    <phoneticPr fontId="135" type="noConversion"/>
  </si>
  <si>
    <t>正平总价</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</si>
</sst>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79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96" fillId="0" borderId="0" xfId="0" applyFont="1">
      <alignment vertical="center"/>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10" fontId="160" fillId="12" borderId="0" xfId="17" applyNumberFormat="1" applyFont="1" applyFill="1" applyAlignment="1" applyProtection="1">
      <alignment horizontal="left"/>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49" fontId="0" fillId="0" borderId="0" xfId="0" applyNumberFormat="1">
      <alignment vertical="center"/>
    </xf>
    <xf numFmtId="49" fontId="96" fillId="0" borderId="0" xfId="0" applyNumberFormat="1" applyFont="1">
      <alignment vertical="center"/>
    </xf>
    <xf numFmtId="10" fontId="0" fillId="0" borderId="0" xfId="17" applyNumberFormat="1" applyFont="1">
      <alignment vertical="center"/>
    </xf>
    <xf numFmtId="0" fontId="0" fillId="0" borderId="0" xfId="0" applyNumberFormat="1" applyAlignment="1">
      <alignment horizontal="center" vertical="center"/>
    </xf>
    <xf numFmtId="49" fontId="96" fillId="0" borderId="0" xfId="0" applyNumberFormat="1" applyFont="1" applyAlignment="1">
      <alignment horizontal="center" vertical="center"/>
    </xf>
    <xf numFmtId="0" fontId="96" fillId="0" borderId="0" xfId="0" applyNumberFormat="1" applyFont="1" applyAlignment="1">
      <alignment horizontal="center" vertical="center"/>
    </xf>
    <xf numFmtId="0" fontId="96" fillId="0" borderId="0" xfId="0" applyNumberFormat="1" applyFont="1" applyAlignment="1">
      <alignment horizontal="center" vertical="center"/>
    </xf>
    <xf numFmtId="0" fontId="161" fillId="0" borderId="13" xfId="12" applyNumberFormat="1" applyFont="1" applyFill="1" applyBorder="1" applyAlignment="1" applyProtection="1">
      <alignment horizontal="left" vertical="center" wrapText="1"/>
      <protection locked="0"/>
    </xf>
    <xf numFmtId="0" fontId="160" fillId="0" borderId="1" xfId="12" applyNumberFormat="1" applyBorder="1" applyAlignment="1" applyProtection="1">
      <alignment horizontal="left"/>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2025年8月20日（评估专业人员实地查勘之日）</v>
      </c>
    </row>
    <row r="13" spans="1:2" s="1201" customFormat="1">
      <c r="A13" s="1199" t="s">
        <v>529</v>
      </c>
      <c r="B13" s="1200" t="str">
        <f>'预评函-1'!A18</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45889</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1.33</v>
      </c>
      <c r="D5" s="3023">
        <f>IF(ISERROR(ROUND(POWER(1+E5,A5-C5)*(POWER(1+E5,C5)-1)/(POWER(1+E5,A5)-1),3)),0,ROUND(POWER(1+E5,A5-C5)*(POWER(1+E5,C5)-1)/(POWER(1+E5,A5)-1),4))</f>
        <v>6.4199999999999993E-2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11.33</v>
      </c>
      <c r="D6" s="3023">
        <f>IF(ISERROR(ROUND(POWER(1+E6,A6-C6)*(POWER(1+E6,C6)-1)/(POWER(1+E6,A6)-1),3)),0,ROUND(POWER(1+E6,A6-C6)*(POWER(1+E6,C6)-1)/(POWER(1+E6,A6)-1),4))</f>
        <v>0.41749999999999998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31.35</v>
      </c>
      <c r="D7" s="3023">
        <f>IF(ISERROR(ROUND(POWER(1+E7,A7-C7)*(POWER(1+E7,C7)-1)/(POWER(1+E7,A7)-1),3)),0,ROUND(POWER(1+E7,A7-C7)*(POWER(1+E7,C7)-1)/(POWER(1+E7,A7)-1),4))</f>
        <v>0.75609999999999999</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45889</v>
      </c>
      <c r="C3" s="2372" t="s">
        <v>2170</v>
      </c>
      <c r="D3" s="2371">
        <f>B3</f>
        <v>45889</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c r="F13" s="854"/>
      <c r="G13" s="854"/>
      <c r="H13" s="854"/>
      <c r="I13" s="854"/>
      <c r="J13" s="3060"/>
      <c r="K13" s="2611"/>
      <c r="L13" s="2611"/>
      <c r="M13" s="2437"/>
      <c r="N13" s="2448"/>
      <c r="O13" s="2437"/>
      <c r="P13" s="2437"/>
      <c r="Q13" s="2437"/>
      <c r="AD13" s="1743"/>
    </row>
    <row r="14" spans="1:30">
      <c r="A14" s="1079"/>
      <c r="B14" s="2405" t="s">
        <v>2190</v>
      </c>
      <c r="C14" s="2406"/>
      <c r="D14" s="2406"/>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45889</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0</v>
      </c>
      <c r="E6" s="855">
        <f>IF(B6="","",SUMIF(项目基本情况!C$12:I$12,C6,项目基本情况!C$13:I$13))</f>
        <v>0</v>
      </c>
      <c r="F6" s="64">
        <f>SUMIF(项目基本情况!C$12:I$12,C6,项目基本情况!C$15:I$15)</f>
        <v>0</v>
      </c>
      <c r="G6" s="65">
        <f>IF(ISERROR(ROUND(POWER(1+H6,D6-F6)*(POWER(1+H6,F6)-1)/(POWER(1+H6,D6)-1),3)),0,ROUND(POWER(1+H6,D6-F6)*(POWER(1+H6,F6)-1)/(POWER(1+H6,D6)-1),3))</f>
        <v>0</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0</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26.086500000000001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t="e">
        <f>ROUND(SUMPRODUCT(G6:G13,K6:K13)/SUMPRODUCT((G6:G13&gt;0)*(K6:K13)),3)</f>
        <v>#DIV/0!</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F23" sqref="F23"/>
    </sheetView>
  </sheetViews>
  <sheetFormatPr defaultColWidth="9" defaultRowHeight="13.5"/>
  <cols>
    <col min="1" max="1" width="25" style="2511" customWidth="1"/>
    <col min="2" max="9" width="15.75" style="2511" customWidth="1"/>
    <col min="10" max="16384" width="9" style="2511"/>
  </cols>
  <sheetData>
    <row r="1" spans="1:11" ht="16.5">
      <c r="A1" s="2510" t="s">
        <v>665</v>
      </c>
      <c r="B1" s="2510">
        <f>B14+B15+B16+B17+B18</f>
        <v>1288.6199999999999</v>
      </c>
      <c r="C1" s="2684"/>
      <c r="D1" s="2684"/>
      <c r="E1" s="2684"/>
      <c r="F1" s="2684"/>
      <c r="G1" s="2685"/>
      <c r="H1" s="2686"/>
      <c r="I1" s="2686"/>
      <c r="J1" s="2686"/>
      <c r="K1" s="2686"/>
    </row>
    <row r="2" spans="1:11" ht="16.5">
      <c r="A2" s="2510" t="s">
        <v>653</v>
      </c>
      <c r="B2" s="2510">
        <v>0</v>
      </c>
      <c r="C2" s="2684"/>
      <c r="D2" s="2684"/>
      <c r="E2" s="2684"/>
      <c r="F2" s="2684"/>
      <c r="G2" s="2685"/>
      <c r="H2" s="2686"/>
      <c r="I2" s="2686"/>
      <c r="J2" s="2686"/>
      <c r="K2" s="2686"/>
    </row>
    <row r="3" spans="1:11" ht="16.5">
      <c r="A3" s="2510" t="s">
        <v>662</v>
      </c>
      <c r="B3" s="2512">
        <f>项目基本情况!D3</f>
        <v>45889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1830</v>
      </c>
      <c r="C5" s="2510" t="e">
        <f ca="1">IF(B5=D14,结果表!H102,ROUND(B5*10000/$B$1,0))</f>
        <v>#DIV/0!</v>
      </c>
      <c r="D5" s="2510" t="e">
        <f>ROUND(B5*10000/$B$2,0)</f>
        <v>#DIV/0!</v>
      </c>
      <c r="E5" s="2684"/>
      <c r="F5" s="2685"/>
      <c r="G5" s="2685"/>
      <c r="H5" s="2686"/>
      <c r="I5" s="2686"/>
      <c r="J5" s="2686"/>
      <c r="K5" s="2686"/>
    </row>
    <row r="6" spans="1:11" ht="16.5">
      <c r="A6" s="2510" t="s">
        <v>656</v>
      </c>
      <c r="B6" s="2510">
        <f>SUM(G14:G23)</f>
        <v>1830</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f>ROUND(H11*B1/10000,2)</f>
        <v>2008.31</v>
      </c>
      <c r="I9" s="3450">
        <f>H9/B6</f>
        <v>1.0974371584699454</v>
      </c>
      <c r="J9" s="2686"/>
      <c r="K9" s="2686"/>
    </row>
    <row r="10" spans="1:11" ht="16.5">
      <c r="A10" s="2510" t="s">
        <v>654</v>
      </c>
      <c r="B10" s="2510">
        <f>IF(E10="",0,ROUND(B1*(E10*365/G10)/10000,0))</f>
        <v>0</v>
      </c>
      <c r="C10" s="2510" t="s">
        <v>3359</v>
      </c>
      <c r="D10" s="2510" t="s">
        <v>3360</v>
      </c>
      <c r="E10" s="3439"/>
      <c r="F10" s="3443" t="s">
        <v>3361</v>
      </c>
      <c r="G10" s="3440"/>
      <c r="H10" s="2686">
        <f>H11</f>
        <v>15585</v>
      </c>
      <c r="I10" s="3450">
        <f>H11/E14</f>
        <v>1.0975352112676056</v>
      </c>
      <c r="J10" s="2686"/>
      <c r="K10" s="2686"/>
    </row>
    <row r="11" spans="1:11" ht="16.5">
      <c r="A11" s="2510" t="s">
        <v>670</v>
      </c>
      <c r="B11" s="2518"/>
      <c r="C11" s="2684"/>
      <c r="D11" s="2684"/>
      <c r="E11" s="2684"/>
      <c r="F11" s="2685"/>
      <c r="G11" s="2685" t="s">
        <v>3414</v>
      </c>
      <c r="H11" s="2686">
        <v>15585</v>
      </c>
      <c r="I11" s="2686">
        <f>H10/1.1</f>
        <v>14168.181818181816</v>
      </c>
      <c r="J11" s="2686"/>
      <c r="K11" s="2686"/>
    </row>
    <row r="12" spans="1:11" ht="16.5">
      <c r="A12" s="2684"/>
      <c r="B12" s="2684"/>
      <c r="C12" s="2684"/>
      <c r="D12" s="2684"/>
      <c r="E12" s="2684"/>
      <c r="F12" s="2685"/>
      <c r="G12" s="2685" t="s">
        <v>3437</v>
      </c>
      <c r="H12" s="2686">
        <f>Sheet2!H14</f>
        <v>2008.3400000000001</v>
      </c>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3797">
        <v>1288.6199999999999</v>
      </c>
      <c r="C14" s="2516"/>
      <c r="D14" s="2516">
        <f>ROUND(E14*B14/10000,0)</f>
        <v>1830</v>
      </c>
      <c r="E14" s="2516">
        <v>14200</v>
      </c>
      <c r="F14" s="2516" t="e">
        <f>ROUND(D14*10000/C14,0)</f>
        <v>#DIV/0!</v>
      </c>
      <c r="G14" s="2516">
        <f>D14</f>
        <v>1830</v>
      </c>
      <c r="H14" s="2516"/>
      <c r="I14" s="2516"/>
      <c r="J14" s="2685"/>
      <c r="K14" s="2686"/>
    </row>
    <row r="15" spans="1:11" ht="16.5">
      <c r="A15" s="2515" t="s">
        <v>649</v>
      </c>
      <c r="B15" s="3797"/>
      <c r="C15" s="2517"/>
      <c r="D15" s="2516"/>
      <c r="E15" s="2516"/>
      <c r="F15" s="2516" t="e">
        <f t="shared" ref="F15:F23" si="0">ROUND(D15*10000/C15,0)</f>
        <v>#DIV/0!</v>
      </c>
      <c r="G15" s="2516"/>
      <c r="H15" s="1329"/>
      <c r="I15" s="2517"/>
      <c r="J15" s="2685"/>
      <c r="K15" s="2686"/>
    </row>
    <row r="16" spans="1:11" ht="16.5">
      <c r="A16" s="2515" t="s">
        <v>648</v>
      </c>
      <c r="B16" s="3797"/>
      <c r="C16" s="2517"/>
      <c r="D16" s="2516"/>
      <c r="E16" s="2516"/>
      <c r="F16" s="2516" t="e">
        <f t="shared" si="0"/>
        <v>#DIV/0!</v>
      </c>
      <c r="G16" s="2516"/>
      <c r="H16" s="1329"/>
      <c r="I16" s="2517"/>
      <c r="J16" s="2686"/>
      <c r="K16" s="2686"/>
    </row>
    <row r="17" spans="1:11" ht="16.5">
      <c r="A17" s="2515" t="s">
        <v>647</v>
      </c>
      <c r="B17" s="3797"/>
      <c r="C17" s="2517"/>
      <c r="D17" s="2516"/>
      <c r="E17" s="2516"/>
      <c r="F17" s="2516" t="e">
        <f t="shared" si="0"/>
        <v>#DIV/0!</v>
      </c>
      <c r="G17" s="2516"/>
      <c r="H17" s="1329"/>
      <c r="I17" s="2517"/>
      <c r="J17" s="2686"/>
      <c r="K17" s="2686"/>
    </row>
    <row r="18" spans="1:11" ht="16.5">
      <c r="A18" s="2515" t="s">
        <v>646</v>
      </c>
      <c r="B18" s="3797"/>
      <c r="C18" s="2517"/>
      <c r="D18" s="2516"/>
      <c r="E18" s="2516"/>
      <c r="F18" s="2516" t="e">
        <f t="shared" si="0"/>
        <v>#DIV/0!</v>
      </c>
      <c r="G18" s="2516"/>
      <c r="H18" s="2517"/>
      <c r="I18" s="2517"/>
      <c r="J18" s="2686"/>
      <c r="K18" s="2686"/>
    </row>
    <row r="19" spans="1:11" ht="16.5">
      <c r="A19" s="2515" t="s">
        <v>645</v>
      </c>
      <c r="B19" s="3797"/>
      <c r="C19" s="2517"/>
      <c r="D19" s="2517"/>
      <c r="E19" s="2516" t="e">
        <f t="shared" ref="E15:E23" si="1">ROUND(D19*10000/B19,0)</f>
        <v>#DIV/0!</v>
      </c>
      <c r="F19" s="2516" t="e">
        <f t="shared" si="0"/>
        <v>#DIV/0!</v>
      </c>
      <c r="G19" s="2517"/>
      <c r="H19" s="2517"/>
      <c r="I19" s="2517"/>
      <c r="J19" s="2686"/>
      <c r="K19" s="2686"/>
    </row>
    <row r="20" spans="1:11" ht="16.5">
      <c r="A20" s="2515" t="s">
        <v>644</v>
      </c>
      <c r="B20" s="3798"/>
      <c r="C20" s="2517"/>
      <c r="D20" s="2517"/>
      <c r="E20" s="2516" t="e">
        <f t="shared" si="1"/>
        <v>#DIV/0!</v>
      </c>
      <c r="F20" s="2516" t="e">
        <f t="shared" si="0"/>
        <v>#DIV/0!</v>
      </c>
      <c r="G20" s="2517"/>
      <c r="H20" s="2517"/>
      <c r="I20" s="2517"/>
      <c r="J20" s="2686"/>
      <c r="K20" s="2686"/>
    </row>
    <row r="21" spans="1:11" ht="16.5">
      <c r="A21" s="2515" t="s">
        <v>643</v>
      </c>
      <c r="B21" s="3798"/>
      <c r="C21" s="2517"/>
      <c r="D21" s="2517"/>
      <c r="E21" s="2516" t="e">
        <f t="shared" si="1"/>
        <v>#DIV/0!</v>
      </c>
      <c r="F21" s="2516" t="e">
        <f t="shared" si="0"/>
        <v>#DIV/0!</v>
      </c>
      <c r="G21" s="2517"/>
      <c r="H21" s="2517"/>
      <c r="I21" s="2517"/>
      <c r="J21" s="2686"/>
      <c r="K21" s="2686"/>
    </row>
    <row r="22" spans="1:11" ht="16.5">
      <c r="A22" s="2515" t="s">
        <v>642</v>
      </c>
      <c r="B22" s="3798"/>
      <c r="C22" s="2517"/>
      <c r="D22" s="2517"/>
      <c r="E22" s="2516" t="e">
        <f t="shared" si="1"/>
        <v>#DIV/0!</v>
      </c>
      <c r="F22" s="2516" t="e">
        <f t="shared" si="0"/>
        <v>#DIV/0!</v>
      </c>
      <c r="G22" s="2517"/>
      <c r="H22" s="2517"/>
      <c r="I22" s="2517"/>
      <c r="J22" s="2686"/>
      <c r="K22" s="2686"/>
    </row>
    <row r="23" spans="1:11" ht="16.5">
      <c r="A23" s="2515" t="s">
        <v>641</v>
      </c>
      <c r="B23" s="3798"/>
      <c r="C23" s="2517"/>
      <c r="D23" s="2517"/>
      <c r="E23" s="2518" t="e">
        <f t="shared" si="1"/>
        <v>#DIV/0!</v>
      </c>
      <c r="F23" s="2518" t="e">
        <f t="shared" si="0"/>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45889</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26.086500000000001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4789</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26.086500000000001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45889</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2025-8</v>
      </c>
      <c r="D58" s="1183">
        <f>EDATE(C58,-1)</f>
        <v>45839</v>
      </c>
      <c r="E58" s="1183">
        <f>EDATE(D58,-1)</f>
        <v>45809</v>
      </c>
      <c r="F58" s="1183">
        <f t="shared" ref="F58:O58" si="19">EDATE(E58,-1)</f>
        <v>45778</v>
      </c>
      <c r="G58" s="1183">
        <f t="shared" si="19"/>
        <v>45748</v>
      </c>
      <c r="H58" s="1183">
        <f t="shared" si="19"/>
        <v>45717</v>
      </c>
      <c r="I58" s="1183">
        <f t="shared" si="19"/>
        <v>45689</v>
      </c>
      <c r="J58" s="1183">
        <f t="shared" si="19"/>
        <v>45658</v>
      </c>
      <c r="K58" s="1183">
        <f t="shared" si="19"/>
        <v>45627</v>
      </c>
      <c r="L58" s="1183">
        <f t="shared" si="19"/>
        <v>45597</v>
      </c>
      <c r="M58" s="1183">
        <f t="shared" si="19"/>
        <v>45566</v>
      </c>
      <c r="N58" s="1183">
        <f t="shared" si="19"/>
        <v>45536</v>
      </c>
      <c r="O58" s="1183">
        <f t="shared" si="19"/>
        <v>45505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45889</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2025-8</v>
      </c>
      <c r="D58" s="1183">
        <f>EDATE(C58,-1)</f>
        <v>45839</v>
      </c>
      <c r="E58" s="1183">
        <f t="shared" ref="E58:N58" si="16">EDATE(D58,-1)</f>
        <v>45809</v>
      </c>
      <c r="F58" s="1183">
        <f t="shared" si="16"/>
        <v>45778</v>
      </c>
      <c r="G58" s="1183">
        <f t="shared" si="16"/>
        <v>45748</v>
      </c>
      <c r="H58" s="1183">
        <f t="shared" si="16"/>
        <v>45717</v>
      </c>
      <c r="I58" s="1183">
        <f t="shared" si="16"/>
        <v>45689</v>
      </c>
      <c r="J58" s="1183">
        <f t="shared" si="16"/>
        <v>45658</v>
      </c>
      <c r="K58" s="1183">
        <f t="shared" si="16"/>
        <v>45627</v>
      </c>
      <c r="L58" s="1183">
        <f t="shared" si="16"/>
        <v>45597</v>
      </c>
      <c r="M58" s="1183">
        <f t="shared" si="16"/>
        <v>45566</v>
      </c>
      <c r="N58" s="1183">
        <f t="shared" si="16"/>
        <v>45536</v>
      </c>
      <c r="O58" s="1183">
        <f>EDATE(N58,-1)</f>
        <v>45505</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45889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2025-8</v>
      </c>
      <c r="D59" s="1183">
        <f>EDATE(C59,-1)</f>
        <v>45839</v>
      </c>
      <c r="E59" s="1183">
        <f>EDATE(D59,-1)</f>
        <v>45809</v>
      </c>
      <c r="F59" s="1183">
        <f t="shared" ref="F59:O59" si="16">EDATE(E59,-1)</f>
        <v>45778</v>
      </c>
      <c r="G59" s="1183">
        <f t="shared" si="16"/>
        <v>45748</v>
      </c>
      <c r="H59" s="1183">
        <f t="shared" si="16"/>
        <v>45717</v>
      </c>
      <c r="I59" s="1183">
        <f t="shared" si="16"/>
        <v>45689</v>
      </c>
      <c r="J59" s="1183">
        <f t="shared" si="16"/>
        <v>45658</v>
      </c>
      <c r="K59" s="1183">
        <f t="shared" si="16"/>
        <v>45627</v>
      </c>
      <c r="L59" s="1183">
        <f t="shared" si="16"/>
        <v>45597</v>
      </c>
      <c r="M59" s="1183">
        <f t="shared" si="16"/>
        <v>45566</v>
      </c>
      <c r="N59" s="1183">
        <f t="shared" si="16"/>
        <v>45536</v>
      </c>
      <c r="O59" s="1183">
        <f t="shared" si="16"/>
        <v>45505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45889</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2025-8</v>
      </c>
      <c r="D52" s="1183">
        <f>EDATE(C52,-1)</f>
        <v>45839</v>
      </c>
      <c r="E52" s="1183">
        <f t="shared" ref="E52:O52" si="16">EDATE(D52,-1)</f>
        <v>45809</v>
      </c>
      <c r="F52" s="1183">
        <f t="shared" si="16"/>
        <v>45778</v>
      </c>
      <c r="G52" s="1183">
        <f t="shared" si="16"/>
        <v>45748</v>
      </c>
      <c r="H52" s="1183">
        <f t="shared" si="16"/>
        <v>45717</v>
      </c>
      <c r="I52" s="1183">
        <f t="shared" si="16"/>
        <v>45689</v>
      </c>
      <c r="J52" s="1183">
        <f t="shared" si="16"/>
        <v>45658</v>
      </c>
      <c r="K52" s="1183">
        <f t="shared" si="16"/>
        <v>45627</v>
      </c>
      <c r="L52" s="1183">
        <f t="shared" si="16"/>
        <v>45597</v>
      </c>
      <c r="M52" s="1183">
        <f t="shared" si="16"/>
        <v>45566</v>
      </c>
      <c r="N52" s="1183">
        <f t="shared" si="16"/>
        <v>45536</v>
      </c>
      <c r="O52" s="1183">
        <f t="shared" si="16"/>
        <v>45505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45889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2025-8</v>
      </c>
      <c r="D48" s="1183">
        <f>EDATE(C48,-1)</f>
        <v>45839</v>
      </c>
      <c r="E48" s="1183">
        <f t="shared" ref="E48:O48" si="16">EDATE(D48,-1)</f>
        <v>45809</v>
      </c>
      <c r="F48" s="1183">
        <f t="shared" si="16"/>
        <v>45778</v>
      </c>
      <c r="G48" s="1183">
        <f t="shared" si="16"/>
        <v>45748</v>
      </c>
      <c r="H48" s="1183">
        <f t="shared" si="16"/>
        <v>45717</v>
      </c>
      <c r="I48" s="1183">
        <f t="shared" si="16"/>
        <v>45689</v>
      </c>
      <c r="J48" s="1183">
        <f t="shared" si="16"/>
        <v>45658</v>
      </c>
      <c r="K48" s="1183">
        <f t="shared" si="16"/>
        <v>45627</v>
      </c>
      <c r="L48" s="1183">
        <f t="shared" si="16"/>
        <v>45597</v>
      </c>
      <c r="M48" s="1183">
        <f t="shared" si="16"/>
        <v>45566</v>
      </c>
      <c r="N48" s="1183">
        <f t="shared" si="16"/>
        <v>45536</v>
      </c>
      <c r="O48" s="1183">
        <f t="shared" si="16"/>
        <v>45505</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2025年8月20日（评估专业人员实地查勘之日）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45889</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2025-8</v>
      </c>
      <c r="D46" s="1183">
        <f>EDATE(C46,-1)</f>
        <v>45839</v>
      </c>
      <c r="E46" s="1183">
        <f t="shared" ref="E46:O46" si="16">EDATE(D46,-1)</f>
        <v>45809</v>
      </c>
      <c r="F46" s="1183">
        <f t="shared" si="16"/>
        <v>45778</v>
      </c>
      <c r="G46" s="1183">
        <f t="shared" si="16"/>
        <v>45748</v>
      </c>
      <c r="H46" s="1183">
        <f t="shared" si="16"/>
        <v>45717</v>
      </c>
      <c r="I46" s="1183">
        <f t="shared" si="16"/>
        <v>45689</v>
      </c>
      <c r="J46" s="1183">
        <f t="shared" si="16"/>
        <v>45658</v>
      </c>
      <c r="K46" s="1183">
        <f t="shared" si="16"/>
        <v>45627</v>
      </c>
      <c r="L46" s="1183">
        <f t="shared" si="16"/>
        <v>45597</v>
      </c>
      <c r="M46" s="1183">
        <f t="shared" si="16"/>
        <v>45566</v>
      </c>
      <c r="N46" s="1183">
        <f t="shared" si="16"/>
        <v>45536</v>
      </c>
      <c r="O46" s="1183">
        <f t="shared" si="16"/>
        <v>45505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45889</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7"/>
      <c r="M10" s="2718"/>
      <c r="N10" s="2718"/>
      <c r="O10" s="2771"/>
      <c r="P10" s="3698"/>
      <c r="Q10" s="1341" t="str">
        <f t="shared" si="6"/>
        <v>土地使用年限（年）</v>
      </c>
      <c r="R10" s="699" t="s">
        <v>14</v>
      </c>
      <c r="S10" s="700" t="e">
        <f t="shared" si="0"/>
        <v>#DIV/0!</v>
      </c>
      <c r="T10" s="699" t="s">
        <v>14</v>
      </c>
      <c r="U10" s="700" t="e">
        <f t="shared" si="1"/>
        <v>#DIV/0!</v>
      </c>
      <c r="V10" s="699" t="s">
        <v>14</v>
      </c>
      <c r="W10" s="700" t="e">
        <f t="shared" si="2"/>
        <v>#DIV/0!</v>
      </c>
      <c r="X10" s="701"/>
      <c r="Y10" s="3610"/>
      <c r="Z10" s="52" t="str">
        <f t="shared" si="7"/>
        <v>土地使用年限（年）</v>
      </c>
      <c r="AA10" s="702" t="e">
        <f t="shared" si="3"/>
        <v>#DIV/0!</v>
      </c>
      <c r="AB10" s="702" t="e">
        <f t="shared" si="4"/>
        <v>#DIV/0!</v>
      </c>
      <c r="AC10" s="702"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2025-8-1</v>
      </c>
      <c r="D67" s="690">
        <f>EDATE(C67,-3)</f>
        <v>45778</v>
      </c>
      <c r="E67" s="690">
        <f>EDATE(D67,-3)</f>
        <v>45689</v>
      </c>
      <c r="F67" s="690">
        <f t="shared" ref="F67:O67" si="18">EDATE(E67,-3)</f>
        <v>45597</v>
      </c>
      <c r="G67" s="690">
        <f t="shared" si="18"/>
        <v>45505</v>
      </c>
      <c r="H67" s="690">
        <f t="shared" si="18"/>
        <v>45413</v>
      </c>
      <c r="I67" s="690">
        <f t="shared" si="18"/>
        <v>45323</v>
      </c>
      <c r="J67" s="690">
        <f t="shared" si="18"/>
        <v>45231</v>
      </c>
      <c r="K67" s="690">
        <f t="shared" si="18"/>
        <v>45139</v>
      </c>
      <c r="L67" s="690">
        <f t="shared" si="18"/>
        <v>45047</v>
      </c>
      <c r="M67" s="690">
        <f t="shared" si="18"/>
        <v>44958</v>
      </c>
      <c r="N67" s="690">
        <f t="shared" si="18"/>
        <v>44866</v>
      </c>
      <c r="O67" s="690">
        <f t="shared" si="18"/>
        <v>44774</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2025-3</v>
      </c>
      <c r="D69" s="1180" t="str">
        <f>YEAR(D67)&amp;"-"&amp;ROUNDUP(MONTH(D67)/3,0)</f>
        <v>2025-2</v>
      </c>
      <c r="E69" s="1180" t="str">
        <f t="shared" ref="E69:O69" si="19">YEAR(E67)&amp;"-"&amp;ROUNDUP(MONTH(E67)/3,0)</f>
        <v>2025-1</v>
      </c>
      <c r="F69" s="1180" t="str">
        <f t="shared" si="19"/>
        <v>2024-4</v>
      </c>
      <c r="G69" s="1180" t="str">
        <f t="shared" si="19"/>
        <v>2024-3</v>
      </c>
      <c r="H69" s="1180" t="str">
        <f t="shared" si="19"/>
        <v>2024-2</v>
      </c>
      <c r="I69" s="1180" t="str">
        <f t="shared" si="19"/>
        <v>2024-1</v>
      </c>
      <c r="J69" s="1180" t="str">
        <f t="shared" si="19"/>
        <v>2023-4</v>
      </c>
      <c r="K69" s="1180" t="str">
        <f t="shared" si="19"/>
        <v>2023-3</v>
      </c>
      <c r="L69" s="1180" t="str">
        <f t="shared" si="19"/>
        <v>2023-2</v>
      </c>
      <c r="M69" s="1180" t="str">
        <f t="shared" si="19"/>
        <v>2023-1</v>
      </c>
      <c r="N69" s="1180" t="str">
        <f t="shared" si="19"/>
        <v>2022-4</v>
      </c>
      <c r="O69" s="1180" t="str">
        <f t="shared" si="19"/>
        <v>2022-3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45889</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7"/>
      <c r="M10" s="2718"/>
      <c r="N10" s="2718"/>
      <c r="O10" s="2771"/>
      <c r="P10" s="3698"/>
      <c r="Q10" s="1341" t="str">
        <f t="shared" si="6"/>
        <v>土地使用年限（年）</v>
      </c>
      <c r="R10" s="699" t="s">
        <v>14</v>
      </c>
      <c r="S10" s="700" t="e">
        <f t="shared" si="0"/>
        <v>#DIV/0!</v>
      </c>
      <c r="T10" s="699" t="s">
        <v>14</v>
      </c>
      <c r="U10" s="700" t="e">
        <f t="shared" si="1"/>
        <v>#DIV/0!</v>
      </c>
      <c r="V10" s="699" t="s">
        <v>14</v>
      </c>
      <c r="W10" s="700" t="e">
        <f t="shared" si="2"/>
        <v>#DIV/0!</v>
      </c>
      <c r="X10" s="701"/>
      <c r="Y10" s="3610"/>
      <c r="Z10" s="52" t="str">
        <f t="shared" si="7"/>
        <v>土地使用年限（年）</v>
      </c>
      <c r="AA10" s="702" t="e">
        <f t="shared" si="3"/>
        <v>#DIV/0!</v>
      </c>
      <c r="AB10" s="702" t="e">
        <f t="shared" si="4"/>
        <v>#DIV/0!</v>
      </c>
      <c r="AC10" s="702"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2025-8-1</v>
      </c>
      <c r="D63" s="690">
        <f>EDATE(C63,-3)</f>
        <v>45778</v>
      </c>
      <c r="E63" s="690">
        <f>EDATE(D63,-3)</f>
        <v>45689</v>
      </c>
      <c r="F63" s="690">
        <f t="shared" ref="F63:O63" si="18">EDATE(E63,-3)</f>
        <v>45597</v>
      </c>
      <c r="G63" s="690">
        <f t="shared" si="18"/>
        <v>45505</v>
      </c>
      <c r="H63" s="690">
        <f t="shared" si="18"/>
        <v>45413</v>
      </c>
      <c r="I63" s="690">
        <f t="shared" si="18"/>
        <v>45323</v>
      </c>
      <c r="J63" s="690">
        <f t="shared" si="18"/>
        <v>45231</v>
      </c>
      <c r="K63" s="690">
        <f t="shared" si="18"/>
        <v>45139</v>
      </c>
      <c r="L63" s="690">
        <f t="shared" si="18"/>
        <v>45047</v>
      </c>
      <c r="M63" s="690">
        <f t="shared" si="18"/>
        <v>44958</v>
      </c>
      <c r="N63" s="690">
        <f t="shared" si="18"/>
        <v>44866</v>
      </c>
      <c r="O63" s="690">
        <f t="shared" si="18"/>
        <v>44774</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2025-3</v>
      </c>
      <c r="D65" s="1180" t="str">
        <f t="shared" ref="D65:O65" si="19">YEAR(D63)&amp;"-"&amp;ROUNDUP(MONTH(D63)/3,0)</f>
        <v>2025-2</v>
      </c>
      <c r="E65" s="1180" t="str">
        <f t="shared" si="19"/>
        <v>2025-1</v>
      </c>
      <c r="F65" s="1180" t="str">
        <f t="shared" si="19"/>
        <v>2024-4</v>
      </c>
      <c r="G65" s="1180" t="str">
        <f t="shared" si="19"/>
        <v>2024-3</v>
      </c>
      <c r="H65" s="1180" t="str">
        <f t="shared" si="19"/>
        <v>2024-2</v>
      </c>
      <c r="I65" s="1180" t="str">
        <f t="shared" si="19"/>
        <v>2024-1</v>
      </c>
      <c r="J65" s="1180" t="str">
        <f t="shared" si="19"/>
        <v>2023-4</v>
      </c>
      <c r="K65" s="1180" t="str">
        <f t="shared" si="19"/>
        <v>2023-3</v>
      </c>
      <c r="L65" s="1180" t="str">
        <f t="shared" si="19"/>
        <v>2023-2</v>
      </c>
      <c r="M65" s="1180" t="str">
        <f t="shared" si="19"/>
        <v>2023-1</v>
      </c>
      <c r="N65" s="1180" t="str">
        <f t="shared" si="19"/>
        <v>2022-4</v>
      </c>
      <c r="O65" s="1180" t="str">
        <f t="shared" si="19"/>
        <v>2022-3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0</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26.086500000000001</v>
      </c>
      <c r="C2" s="1385" t="s">
        <v>879</v>
      </c>
      <c r="D2" s="1469">
        <f ca="1">C40+J29+L46</f>
        <v>260865</v>
      </c>
      <c r="E2" s="1386" t="s">
        <v>880</v>
      </c>
      <c r="F2" s="1387"/>
      <c r="G2" s="2704"/>
      <c r="H2" s="2693"/>
      <c r="I2" s="2693"/>
      <c r="J2" s="2693"/>
      <c r="K2" s="2694"/>
      <c r="L2" s="2693"/>
      <c r="M2" s="2693"/>
    </row>
    <row r="3" spans="1:37" ht="18" customHeight="1" thickBot="1">
      <c r="A3" s="1388" t="s">
        <v>881</v>
      </c>
      <c r="B3" s="1389">
        <f ca="1">IF(ISERROR(D2/F43),0,ROUND(D2/F43,0))</f>
        <v>4789</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0</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0</v>
      </c>
      <c r="D45" s="3430" t="s">
        <v>3356</v>
      </c>
      <c r="E45" s="1398"/>
      <c r="F45" s="1398"/>
      <c r="O45" s="1401" t="s">
        <v>808</v>
      </c>
      <c r="P45" s="1459"/>
      <c r="Q45" s="1459"/>
      <c r="R45" s="1459"/>
    </row>
    <row r="46" spans="1:18" s="1382" customFormat="1" ht="13.5" thickBot="1">
      <c r="A46" s="1402" t="s">
        <v>809</v>
      </c>
      <c r="C46" s="1403">
        <f ca="1">ROUND(C45,0)</f>
        <v>0</v>
      </c>
      <c r="D46" s="1404" t="str">
        <f>C2</f>
        <v>万元</v>
      </c>
      <c r="I46" s="1405" t="s">
        <v>810</v>
      </c>
      <c r="J46" s="1406"/>
      <c r="K46" s="1407"/>
      <c r="L46" s="1408">
        <f ca="1">IF(M47="住宅",0,IF(L48&gt;J51,L60,J60))</f>
        <v>260865</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0</v>
      </c>
      <c r="M47" s="1378" t="str">
        <f>IF(ISNUMBER(FIND("住宅",C1)),"住宅","非住宅")</f>
        <v>非住宅</v>
      </c>
      <c r="O47" s="1416" t="s">
        <v>403</v>
      </c>
      <c r="P47" s="1417" t="s">
        <v>817</v>
      </c>
      <c r="Q47" s="1418">
        <f ca="1">C40+J29</f>
        <v>0</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0</v>
      </c>
      <c r="O48" s="1416" t="s">
        <v>404</v>
      </c>
      <c r="P48" s="1417" t="s">
        <v>821</v>
      </c>
      <c r="Q48" s="1418">
        <f ca="1">J60</f>
        <v>260865</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0.95</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0</v>
      </c>
      <c r="K53" s="3637" t="s">
        <v>837</v>
      </c>
      <c r="L53" s="3638"/>
      <c r="O53" s="1416" t="s">
        <v>409</v>
      </c>
      <c r="P53" s="1417" t="s">
        <v>838</v>
      </c>
      <c r="Q53" s="1418">
        <f ca="1">Q47+Q48</f>
        <v>260865</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0.95</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0</v>
      </c>
      <c r="R56" s="1418" t="s">
        <v>818</v>
      </c>
    </row>
    <row r="57" spans="1:18" s="1382" customFormat="1" ht="24.75" thickBot="1">
      <c r="A57" s="1449"/>
      <c r="B57" s="948" t="s">
        <v>767</v>
      </c>
      <c r="C57" s="238">
        <f ca="1">C29</f>
        <v>274595</v>
      </c>
      <c r="D57" s="1450"/>
      <c r="E57" s="1451"/>
      <c r="F57" s="1452"/>
      <c r="I57" s="1453" t="s">
        <v>844</v>
      </c>
      <c r="J57" s="1454">
        <f ca="1">IF(OR(M47="住宅",J51&lt;L48,J56="是"),"——",J51-L48)</f>
        <v>57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0.95</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260865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260865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0</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0</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0</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0</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45889</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18</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5"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45889</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45889</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L14"/>
  <sheetViews>
    <sheetView workbookViewId="0">
      <selection activeCell="F41" sqref="F41"/>
    </sheetView>
  </sheetViews>
  <sheetFormatPr defaultRowHeight="13.5"/>
  <cols>
    <col min="1" max="5" width="9" style="3790"/>
    <col min="6" max="6" width="9" style="3007"/>
    <col min="7" max="7" width="9" style="3790"/>
    <col min="8" max="11" width="9" style="3007"/>
    <col min="12" max="16384" width="9" style="3790"/>
  </cols>
  <sheetData>
    <row r="7" spans="4:12">
      <c r="G7" s="3794" t="s">
        <v>3433</v>
      </c>
      <c r="H7" s="3794"/>
      <c r="I7" s="3796" t="s">
        <v>3434</v>
      </c>
      <c r="J7" s="3796"/>
    </row>
    <row r="8" spans="4:12">
      <c r="D8" s="3791" t="s">
        <v>3424</v>
      </c>
      <c r="E8" s="3791" t="s">
        <v>3425</v>
      </c>
      <c r="G8" s="3791" t="s">
        <v>3435</v>
      </c>
      <c r="H8" s="3791" t="s">
        <v>3436</v>
      </c>
      <c r="I8" s="3791" t="s">
        <v>3435</v>
      </c>
      <c r="J8" s="3791" t="s">
        <v>3436</v>
      </c>
    </row>
    <row r="9" spans="4:12">
      <c r="D9" s="3791" t="s">
        <v>3415</v>
      </c>
      <c r="E9" s="3791" t="s">
        <v>3419</v>
      </c>
      <c r="F9" s="3795" t="s">
        <v>3426</v>
      </c>
      <c r="G9" s="3791" t="s">
        <v>3428</v>
      </c>
      <c r="H9" s="3206">
        <f>ROUND(G9*F9/10000,2)</f>
        <v>57.32</v>
      </c>
      <c r="I9" s="3007">
        <v>19300</v>
      </c>
      <c r="J9" s="3206">
        <f>ROUND(I9*F9/10000,0)</f>
        <v>53</v>
      </c>
      <c r="K9" s="3792">
        <f>G9/I9</f>
        <v>1.0887564766839377</v>
      </c>
      <c r="L9" s="3792">
        <f>H9/J9</f>
        <v>1.0815094339622642</v>
      </c>
    </row>
    <row r="10" spans="4:12">
      <c r="D10" s="3791" t="s">
        <v>3416</v>
      </c>
      <c r="E10" s="3791" t="s">
        <v>3420</v>
      </c>
      <c r="F10" s="3795" t="s">
        <v>3427</v>
      </c>
      <c r="G10" s="3791" t="s">
        <v>3429</v>
      </c>
      <c r="H10" s="3206">
        <f t="shared" ref="H10:J13" si="0">ROUND(G10*F10/10000,2)</f>
        <v>170.41</v>
      </c>
      <c r="I10" s="3007">
        <v>15800</v>
      </c>
      <c r="J10" s="3206">
        <f t="shared" ref="J10:J13" si="1">ROUND(I10*F10/10000,0)</f>
        <v>157</v>
      </c>
      <c r="K10" s="3792">
        <f t="shared" ref="K10:K13" si="2">G10/I10</f>
        <v>1.0852531645569621</v>
      </c>
      <c r="L10" s="3792">
        <f t="shared" ref="L10:L14" si="3">H10/J10</f>
        <v>1.0854140127388534</v>
      </c>
    </row>
    <row r="11" spans="4:12">
      <c r="D11" s="3791" t="s">
        <v>3418</v>
      </c>
      <c r="E11" s="3791" t="s">
        <v>3421</v>
      </c>
      <c r="F11" s="3795">
        <f>989.6/2</f>
        <v>494.8</v>
      </c>
      <c r="G11" s="3791" t="s">
        <v>3430</v>
      </c>
      <c r="H11" s="3206">
        <f t="shared" si="0"/>
        <v>831.46</v>
      </c>
      <c r="I11" s="3007">
        <v>15500</v>
      </c>
      <c r="J11" s="3206">
        <f t="shared" si="1"/>
        <v>767</v>
      </c>
      <c r="K11" s="3792">
        <f t="shared" si="2"/>
        <v>1.0841290322580646</v>
      </c>
      <c r="L11" s="3792">
        <f t="shared" si="3"/>
        <v>1.0840417209908735</v>
      </c>
    </row>
    <row r="12" spans="4:12">
      <c r="D12" s="3791" t="s">
        <v>3418</v>
      </c>
      <c r="E12" s="3791" t="s">
        <v>3422</v>
      </c>
      <c r="F12" s="3793">
        <f>F11</f>
        <v>494.8</v>
      </c>
      <c r="G12" s="3791" t="s">
        <v>3431</v>
      </c>
      <c r="H12" s="3206">
        <f t="shared" si="0"/>
        <v>727.5</v>
      </c>
      <c r="I12" s="3007">
        <v>13500</v>
      </c>
      <c r="J12" s="3206">
        <f t="shared" si="1"/>
        <v>668</v>
      </c>
      <c r="K12" s="3792">
        <f t="shared" si="2"/>
        <v>1.0891111111111111</v>
      </c>
      <c r="L12" s="3792">
        <f t="shared" si="3"/>
        <v>1.0890718562874251</v>
      </c>
    </row>
    <row r="13" spans="4:12">
      <c r="D13" s="3791" t="s">
        <v>3417</v>
      </c>
      <c r="E13" s="3791" t="s">
        <v>3423</v>
      </c>
      <c r="F13" s="3793">
        <v>172.36</v>
      </c>
      <c r="G13" s="3791" t="s">
        <v>3432</v>
      </c>
      <c r="H13" s="3206">
        <f t="shared" si="0"/>
        <v>221.65</v>
      </c>
      <c r="I13" s="3007">
        <v>11800</v>
      </c>
      <c r="J13" s="3206">
        <f t="shared" si="1"/>
        <v>203</v>
      </c>
      <c r="K13" s="3792">
        <f>G13/I13</f>
        <v>1.0898305084745763</v>
      </c>
      <c r="L13" s="3792">
        <f t="shared" si="3"/>
        <v>1.0918719211822661</v>
      </c>
    </row>
    <row r="14" spans="4:12">
      <c r="F14" s="3793">
        <f>F9+F10+F11+F12+F13</f>
        <v>1288.6199999999999</v>
      </c>
      <c r="H14" s="3206">
        <f>SUM(H9:H13)</f>
        <v>2008.3400000000001</v>
      </c>
      <c r="J14" s="3206">
        <f>SUM(J9:J13)</f>
        <v>1848</v>
      </c>
      <c r="L14" s="3792">
        <f t="shared" si="3"/>
        <v>1.0867640692640694</v>
      </c>
    </row>
  </sheetData>
  <mergeCells count="2">
    <mergeCell ref="G7:H7"/>
    <mergeCell ref="I7:J7"/>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45889</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2025-08-20T03:11:38Z</dcterms:modified>
</cp:coreProperties>
</file>