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Sheet1" sheetId="68" r:id="rId29"/>
    <sheet name="剩余法-待开发" sheetId="12" r:id="rId30"/>
    <sheet name="不动产收益法" sheetId="15" r:id="rId31"/>
    <sheet name="酒店收入计算" sheetId="57"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0" i="39" l="1"/>
  <c r="G40" i="39"/>
  <c r="E40" i="39"/>
  <c r="I7" i="39"/>
  <c r="G7" i="39"/>
  <c r="O9" i="68" l="1"/>
  <c r="G48" i="39" s="1"/>
  <c r="O10" i="68"/>
  <c r="I48" i="39" s="1"/>
  <c r="O11" i="68"/>
  <c r="O12" i="68"/>
  <c r="O13" i="68"/>
  <c r="O14" i="68"/>
  <c r="O15" i="68"/>
  <c r="O16" i="68"/>
  <c r="O2" i="68"/>
  <c r="I9" i="39"/>
  <c r="G9" i="39"/>
  <c r="E9" i="39"/>
  <c r="E7" i="39"/>
  <c r="O5" i="68"/>
  <c r="O6" i="68"/>
  <c r="E48" i="39" s="1"/>
  <c r="O3" i="68"/>
  <c r="O7" i="68"/>
  <c r="O8" i="68"/>
  <c r="O4" i="68"/>
  <c r="C40" i="39"/>
  <c r="F19" i="6" l="1"/>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D10" i="59"/>
  <c r="AH8" i="59"/>
  <c r="AG8" i="59"/>
  <c r="AE8" i="59"/>
  <c r="AF8" i="59"/>
  <c r="AD8" i="59"/>
  <c r="AE9" i="59"/>
  <c r="AF9" i="59" s="1"/>
  <c r="AG9" i="59"/>
  <c r="AH9" i="59"/>
  <c r="AD9" i="59"/>
  <c r="Q9" i="59"/>
  <c r="P9" i="59"/>
  <c r="O9" i="59"/>
  <c r="C9" i="59" s="1"/>
  <c r="N9" i="59"/>
  <c r="N10" i="59"/>
  <c r="Q10" i="59"/>
  <c r="P10" i="59"/>
  <c r="O10" i="59"/>
  <c r="K59" i="15"/>
  <c r="P62" i="15" s="1"/>
  <c r="Q74" i="44"/>
  <c r="Q61" i="44"/>
  <c r="Q60" i="44"/>
  <c r="Q53" i="44"/>
  <c r="J51" i="44"/>
  <c r="J52" i="44"/>
  <c r="M48" i="44"/>
  <c r="A16" i="55"/>
  <c r="B67" i="63" s="1"/>
  <c r="A15" i="55"/>
  <c r="A10" i="55"/>
  <c r="A9" i="55"/>
  <c r="B60" i="63" s="1"/>
  <c r="A8" i="55"/>
  <c r="B59" i="63" s="1"/>
  <c r="A6" i="54"/>
  <c r="A8" i="54"/>
  <c r="B53" i="63" s="1"/>
  <c r="A7" i="54"/>
  <c r="B51" i="63" s="1"/>
  <c r="A27" i="51"/>
  <c r="B20" i="63" s="1"/>
  <c r="Q11" i="59"/>
  <c r="O11" i="59"/>
  <c r="N12" i="59"/>
  <c r="O12" i="59"/>
  <c r="P12" i="59"/>
  <c r="Q12" i="59"/>
  <c r="N11" i="59"/>
  <c r="P11" i="59"/>
  <c r="K75" i="9"/>
  <c r="K6" i="4"/>
  <c r="O76" i="9" s="1"/>
  <c r="L76" i="9"/>
  <c r="B22" i="31"/>
  <c r="E15" i="66"/>
  <c r="F15" i="66"/>
  <c r="E16" i="66"/>
  <c r="F16" i="66"/>
  <c r="E17" i="66"/>
  <c r="F17" i="66"/>
  <c r="E18" i="66"/>
  <c r="F18" i="66"/>
  <c r="E19" i="66"/>
  <c r="F19" i="66"/>
  <c r="E20" i="66"/>
  <c r="F20" i="66"/>
  <c r="E21" i="66"/>
  <c r="F21" i="66"/>
  <c r="E22" i="66"/>
  <c r="F22" i="66"/>
  <c r="E23" i="66"/>
  <c r="F23" i="66"/>
  <c r="B3" i="66"/>
  <c r="B9" i="59"/>
  <c r="E9" i="59"/>
  <c r="E8" i="59" s="1"/>
  <c r="E7" i="59" s="1"/>
  <c r="E6" i="59" s="1"/>
  <c r="E5" i="59" s="1"/>
  <c r="F9" i="59"/>
  <c r="U9" i="59"/>
  <c r="AD3" i="59"/>
  <c r="AE3" i="59"/>
  <c r="AF3" i="59" s="1"/>
  <c r="AG3"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3" i="65"/>
  <c r="C1" i="65"/>
  <c r="N1" i="65" s="1"/>
  <c r="T9" i="59"/>
  <c r="H1" i="65"/>
  <c r="B76" i="63"/>
  <c r="M5" i="54"/>
  <c r="B41" i="63" s="1"/>
  <c r="A23" i="51"/>
  <c r="B17" i="63" s="1"/>
  <c r="Y12" i="46"/>
  <c r="AA9" i="46"/>
  <c r="AA10" i="46" s="1"/>
  <c r="AB9" i="46"/>
  <c r="AC9" i="46"/>
  <c r="AC10" i="46" s="1"/>
  <c r="AD9" i="46"/>
  <c r="AE9" i="46"/>
  <c r="AE10" i="46" s="1"/>
  <c r="AF9" i="46"/>
  <c r="AG9" i="46"/>
  <c r="AG10" i="46" s="1"/>
  <c r="AH9" i="46"/>
  <c r="AI9" i="46"/>
  <c r="AI10" i="46" s="1"/>
  <c r="AJ9" i="46"/>
  <c r="Z9" i="46"/>
  <c r="Z10" i="46" s="1"/>
  <c r="AJ10" i="46"/>
  <c r="AF10" i="46"/>
  <c r="AB10" i="46"/>
  <c r="Y10" i="46"/>
  <c r="AJ12" i="46"/>
  <c r="AF12" i="46"/>
  <c r="AB12" i="46"/>
  <c r="Z12" i="46"/>
  <c r="AG12" i="46"/>
  <c r="AC12" i="46"/>
  <c r="B73" i="63"/>
  <c r="A21" i="64"/>
  <c r="B75" i="63" s="1"/>
  <c r="A27" i="64"/>
  <c r="A15" i="64"/>
  <c r="A14" i="64"/>
  <c r="A11" i="64"/>
  <c r="A3" i="64"/>
  <c r="A45" i="9"/>
  <c r="A44" i="9"/>
  <c r="C57" i="10"/>
  <c r="A28" i="64" s="1"/>
  <c r="C56" i="10"/>
  <c r="C55" i="10"/>
  <c r="C54" i="10"/>
  <c r="A26" i="51" s="1"/>
  <c r="B19" i="63" s="1"/>
  <c r="B49" i="63"/>
  <c r="B44" i="63"/>
  <c r="B40" i="63"/>
  <c r="B30" i="63"/>
  <c r="B27" i="63"/>
  <c r="B25" i="63"/>
  <c r="A11" i="51"/>
  <c r="B10" i="63" s="1"/>
  <c r="A26" i="64"/>
  <c r="K39" i="9"/>
  <c r="K40" i="9"/>
  <c r="B58" i="63"/>
  <c r="A46" i="9"/>
  <c r="K41" i="9" s="1"/>
  <c r="B8" i="63"/>
  <c r="A21" i="55"/>
  <c r="B71" i="63" s="1"/>
  <c r="A20" i="55"/>
  <c r="B69" i="63" s="1"/>
  <c r="B26" i="63"/>
  <c r="B28" i="63"/>
  <c r="B29" i="63"/>
  <c r="B31" i="63"/>
  <c r="B33" i="63"/>
  <c r="B35" i="63"/>
  <c r="B36" i="63"/>
  <c r="B37" i="63"/>
  <c r="B63" i="63"/>
  <c r="B64" i="63"/>
  <c r="B68" i="63"/>
  <c r="D51" i="10"/>
  <c r="B61" i="63"/>
  <c r="B51" i="10"/>
  <c r="A15" i="51"/>
  <c r="B12" i="63" s="1"/>
  <c r="A14" i="51"/>
  <c r="B11" i="63" s="1"/>
  <c r="B66" i="63"/>
  <c r="A4" i="55"/>
  <c r="B57" i="63"/>
  <c r="G5" i="54"/>
  <c r="B34" i="63" s="1"/>
  <c r="E5" i="54"/>
  <c r="B32" i="63" s="1"/>
  <c r="R2" i="54"/>
  <c r="B24" i="63" s="1"/>
  <c r="B49" i="50"/>
  <c r="B5" i="63"/>
  <c r="B40" i="50"/>
  <c r="B3" i="63"/>
  <c r="I19" i="46"/>
  <c r="Q13" i="59"/>
  <c r="F13" i="59" s="1"/>
  <c r="P13" i="59"/>
  <c r="O13" i="59"/>
  <c r="C13" i="59" s="1"/>
  <c r="N13" i="59"/>
  <c r="D74" i="59"/>
  <c r="F73" i="59"/>
  <c r="F72" i="59" s="1"/>
  <c r="F71" i="59" s="1"/>
  <c r="E73" i="59"/>
  <c r="E72" i="59"/>
  <c r="E71" i="59" s="1"/>
  <c r="C73" i="59"/>
  <c r="D73" i="59" s="1"/>
  <c r="B73" i="59"/>
  <c r="B72" i="59" s="1"/>
  <c r="B71" i="59" s="1"/>
  <c r="D70" i="59"/>
  <c r="F69" i="59"/>
  <c r="F68" i="59" s="1"/>
  <c r="F67" i="59" s="1"/>
  <c r="E69" i="59"/>
  <c r="E68" i="59"/>
  <c r="E67" i="59" s="1"/>
  <c r="C69" i="59"/>
  <c r="D69" i="59" s="1"/>
  <c r="B69" i="59"/>
  <c r="B68" i="59" s="1"/>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c r="E61" i="59"/>
  <c r="U61" i="59"/>
  <c r="C61" i="59"/>
  <c r="T61" i="59" s="1"/>
  <c r="B61" i="59"/>
  <c r="S61" i="59" s="1"/>
  <c r="Q60" i="59"/>
  <c r="P60" i="59"/>
  <c r="O60" i="59"/>
  <c r="N60" i="59"/>
  <c r="F60" i="59"/>
  <c r="F59" i="59"/>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c r="E53" i="59"/>
  <c r="E52" i="59"/>
  <c r="C53" i="59"/>
  <c r="B53" i="59"/>
  <c r="F52" i="59"/>
  <c r="F51" i="59" s="1"/>
  <c r="Q51" i="59" s="1"/>
  <c r="B52" i="59"/>
  <c r="B51" i="59" s="1"/>
  <c r="N50"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C44" i="59" s="1"/>
  <c r="N42" i="59"/>
  <c r="B43" i="59"/>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O34" i="59"/>
  <c r="C35" i="59" s="1"/>
  <c r="C36" i="59" s="1"/>
  <c r="C37" i="59" s="1"/>
  <c r="N34" i="59"/>
  <c r="B35" i="59" s="1"/>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c r="C32" i="59" s="1"/>
  <c r="D32" i="59" s="1"/>
  <c r="N30" i="59"/>
  <c r="B31" i="59"/>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s="1"/>
  <c r="N26" i="59"/>
  <c r="B27" i="59" s="1"/>
  <c r="B28" i="59" s="1"/>
  <c r="B29" i="59" s="1"/>
  <c r="S29" i="59" s="1"/>
  <c r="D26" i="59"/>
  <c r="Q25" i="59"/>
  <c r="P25" i="59"/>
  <c r="O25" i="59"/>
  <c r="N25" i="59"/>
  <c r="Q24" i="59"/>
  <c r="AB24" i="59" s="1"/>
  <c r="P24" i="59"/>
  <c r="AA24" i="59" s="1"/>
  <c r="O24" i="59"/>
  <c r="Y24" i="59"/>
  <c r="Z24" i="59" s="1"/>
  <c r="N24" i="59"/>
  <c r="X24" i="59" s="1"/>
  <c r="Q23" i="59"/>
  <c r="AB23" i="59" s="1"/>
  <c r="P23" i="59"/>
  <c r="O23" i="59"/>
  <c r="Y23" i="59" s="1"/>
  <c r="N23" i="59"/>
  <c r="Q22" i="59"/>
  <c r="AB22" i="59" s="1"/>
  <c r="P22" i="59"/>
  <c r="O22" i="59"/>
  <c r="C23" i="59" s="1"/>
  <c r="D23" i="59" s="1"/>
  <c r="N22" i="59"/>
  <c r="B23" i="59" s="1"/>
  <c r="B24" i="59" s="1"/>
  <c r="B25" i="59" s="1"/>
  <c r="S25" i="59" s="1"/>
  <c r="D22" i="59"/>
  <c r="Q21" i="59"/>
  <c r="P21" i="59"/>
  <c r="AA21" i="59" s="1"/>
  <c r="O21" i="59"/>
  <c r="N21" i="59"/>
  <c r="X21" i="59" s="1"/>
  <c r="Q20" i="59"/>
  <c r="P20" i="59"/>
  <c r="AA20" i="59" s="1"/>
  <c r="O20" i="59"/>
  <c r="N20" i="59"/>
  <c r="X20" i="59" s="1"/>
  <c r="Q19" i="59"/>
  <c r="P19" i="59"/>
  <c r="AA19" i="59" s="1"/>
  <c r="O19" i="59"/>
  <c r="N19" i="59"/>
  <c r="X19" i="59" s="1"/>
  <c r="Q18" i="59"/>
  <c r="F19" i="59"/>
  <c r="F20" i="59" s="1"/>
  <c r="F21" i="59" s="1"/>
  <c r="V21" i="59" s="1"/>
  <c r="P18" i="59"/>
  <c r="E19" i="59"/>
  <c r="E20" i="59" s="1"/>
  <c r="E21" i="59" s="1"/>
  <c r="U21" i="59" s="1"/>
  <c r="O18" i="59"/>
  <c r="N18" i="59"/>
  <c r="X18" i="59" s="1"/>
  <c r="D18" i="59"/>
  <c r="Q17" i="59"/>
  <c r="AB17" i="59" s="1"/>
  <c r="P17" i="59"/>
  <c r="O17" i="59"/>
  <c r="Y17" i="59" s="1"/>
  <c r="Z17" i="59" s="1"/>
  <c r="N17" i="59"/>
  <c r="Q16" i="59"/>
  <c r="AB16" i="59" s="1"/>
  <c r="P16" i="59"/>
  <c r="O16" i="59"/>
  <c r="Y16" i="59" s="1"/>
  <c r="Z16" i="59" s="1"/>
  <c r="N16" i="59"/>
  <c r="Q15" i="59"/>
  <c r="AB15" i="59" s="1"/>
  <c r="P15" i="59"/>
  <c r="O15" i="59"/>
  <c r="Y15" i="59" s="1"/>
  <c r="Z15" i="59" s="1"/>
  <c r="N15" i="59"/>
  <c r="Q14" i="59"/>
  <c r="P14" i="59"/>
  <c r="O14" i="59"/>
  <c r="N14" i="59"/>
  <c r="D14" i="59"/>
  <c r="X12" i="59"/>
  <c r="AA13" i="59"/>
  <c r="Y13" i="59"/>
  <c r="Z13" i="59" s="1"/>
  <c r="AB10" i="59"/>
  <c r="E15" i="59"/>
  <c r="E16" i="59" s="1"/>
  <c r="E17" i="59" s="1"/>
  <c r="U17" i="59" s="1"/>
  <c r="B36" i="59"/>
  <c r="B37" i="59" s="1"/>
  <c r="S37" i="59" s="1"/>
  <c r="E37" i="59"/>
  <c r="U37" i="59" s="1"/>
  <c r="Z23" i="59"/>
  <c r="F40" i="59"/>
  <c r="F41" i="59" s="1"/>
  <c r="V41" i="59" s="1"/>
  <c r="C24" i="59"/>
  <c r="C25" i="59" s="1"/>
  <c r="D25" i="59" s="1"/>
  <c r="D31" i="59"/>
  <c r="D43" i="59"/>
  <c r="N52" i="59"/>
  <c r="Q52" i="59"/>
  <c r="T53" i="59"/>
  <c r="O53" i="59"/>
  <c r="D53" i="59"/>
  <c r="C52" i="59"/>
  <c r="O52" i="59" s="1"/>
  <c r="P53" i="59"/>
  <c r="U53" i="59"/>
  <c r="Q53" i="59"/>
  <c r="C56" i="59"/>
  <c r="C55" i="59" s="1"/>
  <c r="D55" i="59" s="1"/>
  <c r="E56" i="59"/>
  <c r="E55" i="59" s="1"/>
  <c r="D57" i="59"/>
  <c r="C60" i="59"/>
  <c r="E60" i="59"/>
  <c r="E59" i="59" s="1"/>
  <c r="D61" i="59"/>
  <c r="C64" i="59"/>
  <c r="D64" i="59" s="1"/>
  <c r="E64" i="59"/>
  <c r="E63" i="59" s="1"/>
  <c r="D65" i="59"/>
  <c r="C68" i="59"/>
  <c r="C72" i="59"/>
  <c r="D72" i="59" s="1"/>
  <c r="U16" i="4"/>
  <c r="S16" i="4"/>
  <c r="Q16" i="4"/>
  <c r="O16" i="4"/>
  <c r="M16" i="4"/>
  <c r="K16" i="4"/>
  <c r="L16" i="4" s="1"/>
  <c r="C63" i="59"/>
  <c r="D63" i="59" s="1"/>
  <c r="C51" i="59"/>
  <c r="O51" i="59" s="1"/>
  <c r="D68" i="59"/>
  <c r="C67" i="59"/>
  <c r="D67" i="59" s="1"/>
  <c r="D60" i="59"/>
  <c r="C59" i="59"/>
  <c r="D59" i="59" s="1"/>
  <c r="N51" i="59"/>
  <c r="D24" i="59"/>
  <c r="T25" i="59"/>
  <c r="D5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c r="F21" i="21"/>
  <c r="AA21" i="21"/>
  <c r="C21" i="21"/>
  <c r="Q27" i="40"/>
  <c r="Z27" i="40" s="1"/>
  <c r="D96" i="40"/>
  <c r="E96" i="40" s="1"/>
  <c r="F96" i="40" s="1"/>
  <c r="F27" i="40"/>
  <c r="AA27" i="40" s="1"/>
  <c r="Q31" i="39"/>
  <c r="Z31" i="39" s="1"/>
  <c r="D105" i="39"/>
  <c r="E105" i="39" s="1"/>
  <c r="F105" i="39" s="1"/>
  <c r="F31" i="39"/>
  <c r="AA31" i="39" s="1"/>
  <c r="G20" i="20"/>
  <c r="B85" i="46" s="1"/>
  <c r="C22" i="20"/>
  <c r="B65" i="46" s="1"/>
  <c r="S18" i="36"/>
  <c r="S18" i="35"/>
  <c r="S21" i="37"/>
  <c r="S21" i="21"/>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I23" i="57"/>
  <c r="D20" i="57"/>
  <c r="I19" i="57"/>
  <c r="I18" i="57"/>
  <c r="I17" i="57"/>
  <c r="I20" i="57" s="1"/>
  <c r="E15" i="57"/>
  <c r="I14" i="57"/>
  <c r="I13" i="57"/>
  <c r="I12" i="57"/>
  <c r="I9" i="57"/>
  <c r="I8" i="57"/>
  <c r="I7" i="57"/>
  <c r="I6" i="57"/>
  <c r="I5" i="57"/>
  <c r="I4" i="57"/>
  <c r="I3" i="57"/>
  <c r="I10" i="57" s="1"/>
  <c r="C28" i="57" s="1"/>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s="1"/>
  <c r="K54" i="46"/>
  <c r="M53" i="46"/>
  <c r="N53" i="46" s="1"/>
  <c r="K53" i="46"/>
  <c r="J53" i="46" s="1"/>
  <c r="D53" i="46"/>
  <c r="M52" i="46"/>
  <c r="N52" i="46" s="1"/>
  <c r="K52" i="46"/>
  <c r="J52" i="46" s="1"/>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C12" i="39" s="1"/>
  <c r="F7" i="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A14" i="55" s="1"/>
  <c r="B65" i="63" s="1"/>
  <c r="I73" i="9"/>
  <c r="F73" i="9"/>
  <c r="P73" i="9"/>
  <c r="D107" i="9"/>
  <c r="C107" i="9"/>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c r="H36" i="39"/>
  <c r="AB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BD482" i="3"/>
  <c r="BE482" i="3"/>
  <c r="BF482" i="3"/>
  <c r="BG482" i="3"/>
  <c r="BH482" i="3"/>
  <c r="BI482" i="3"/>
  <c r="BJ482" i="3"/>
  <c r="BK482" i="3"/>
  <c r="BM482" i="3"/>
  <c r="BN482" i="3"/>
  <c r="BO482" i="3"/>
  <c r="BP482" i="3"/>
  <c r="BR482" i="3"/>
  <c r="BS482" i="3"/>
  <c r="BT482" i="3"/>
  <c r="H483" i="3"/>
  <c r="G483" i="3" s="1"/>
  <c r="AC483" i="3"/>
  <c r="BB483" i="3"/>
  <c r="BB5" i="3" s="1"/>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R5" i="3" s="1"/>
  <c r="G28" i="6" s="1"/>
  <c r="BS484" i="3"/>
  <c r="BT484" i="3"/>
  <c r="H485" i="3"/>
  <c r="AC485" i="3"/>
  <c r="G485" i="3" s="1"/>
  <c r="BB485" i="3"/>
  <c r="BC485" i="3"/>
  <c r="BA485" i="3" s="1"/>
  <c r="BD485" i="3"/>
  <c r="BE485" i="3"/>
  <c r="BF485" i="3"/>
  <c r="BG485" i="3"/>
  <c r="BH485" i="3"/>
  <c r="BI485" i="3"/>
  <c r="BJ485" i="3"/>
  <c r="BK485" i="3"/>
  <c r="BM485" i="3"/>
  <c r="BN485" i="3"/>
  <c r="BL485" i="3" s="1"/>
  <c r="BO485" i="3"/>
  <c r="BP485" i="3"/>
  <c r="BQ485" i="3"/>
  <c r="BR485" i="3"/>
  <c r="BS485" i="3"/>
  <c r="BT485" i="3"/>
  <c r="H486" i="3"/>
  <c r="AC486" i="3"/>
  <c r="BB486" i="3"/>
  <c r="BC486" i="3"/>
  <c r="BD486" i="3"/>
  <c r="BE486" i="3"/>
  <c r="BF486" i="3"/>
  <c r="BG486" i="3"/>
  <c r="BH486" i="3"/>
  <c r="BI486" i="3"/>
  <c r="BJ486" i="3"/>
  <c r="BK486" i="3"/>
  <c r="BM486" i="3"/>
  <c r="BN486" i="3"/>
  <c r="BL486" i="3" s="1"/>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A488" i="3" s="1"/>
  <c r="BD488" i="3"/>
  <c r="BE488" i="3"/>
  <c r="BF488" i="3"/>
  <c r="BG488" i="3"/>
  <c r="BH488" i="3"/>
  <c r="BI488" i="3"/>
  <c r="BJ488" i="3"/>
  <c r="BK488" i="3"/>
  <c r="BM488" i="3"/>
  <c r="BN488" i="3"/>
  <c r="BO488" i="3"/>
  <c r="BP488" i="3"/>
  <c r="BR488" i="3"/>
  <c r="BS488" i="3"/>
  <c r="BT488" i="3"/>
  <c r="H489" i="3"/>
  <c r="AC489" i="3"/>
  <c r="BB489" i="3"/>
  <c r="BA489" i="3" s="1"/>
  <c r="AZ489" i="3" s="1"/>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A500" i="3" s="1"/>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L503" i="3" s="1"/>
  <c r="BO503" i="3"/>
  <c r="BP503" i="3"/>
  <c r="BQ503" i="3"/>
  <c r="BR503" i="3"/>
  <c r="BS503" i="3"/>
  <c r="BT503" i="3"/>
  <c r="H504" i="3"/>
  <c r="G504" i="3"/>
  <c r="AC504" i="3"/>
  <c r="BB504" i="3"/>
  <c r="BA504" i="3" s="1"/>
  <c r="AZ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L505" i="3" s="1"/>
  <c r="BO505" i="3"/>
  <c r="BP505" i="3"/>
  <c r="BQ505" i="3"/>
  <c r="BR505" i="3"/>
  <c r="BS505" i="3"/>
  <c r="BT505" i="3"/>
  <c r="H506" i="3"/>
  <c r="BB506" i="3"/>
  <c r="BC506" i="3"/>
  <c r="BD506" i="3"/>
  <c r="BE506" i="3"/>
  <c r="BF506" i="3"/>
  <c r="BG506" i="3"/>
  <c r="BH506" i="3"/>
  <c r="BI506" i="3"/>
  <c r="BJ506" i="3"/>
  <c r="BK506" i="3"/>
  <c r="BM506" i="3"/>
  <c r="BL506" i="3" s="1"/>
  <c r="BN506" i="3"/>
  <c r="BO506" i="3"/>
  <c r="BP506" i="3"/>
  <c r="BR506" i="3"/>
  <c r="BS506" i="3"/>
  <c r="BT506" i="3"/>
  <c r="H507" i="3"/>
  <c r="AC507" i="3"/>
  <c r="G507" i="3" s="1"/>
  <c r="BB507" i="3"/>
  <c r="BC507" i="3"/>
  <c r="BA507" i="3" s="1"/>
  <c r="AZ507" i="3" s="1"/>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A509" i="3" s="1"/>
  <c r="BC509" i="3"/>
  <c r="BD509" i="3"/>
  <c r="BE509" i="3"/>
  <c r="BF509" i="3"/>
  <c r="BG509" i="3"/>
  <c r="BH509" i="3"/>
  <c r="BI509" i="3"/>
  <c r="BJ509" i="3"/>
  <c r="BK509" i="3"/>
  <c r="BM509" i="3"/>
  <c r="BL509" i="3" s="1"/>
  <c r="AZ509" i="3" s="1"/>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A511" i="3" s="1"/>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A513" i="3" s="1"/>
  <c r="AZ513" i="3" s="1"/>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A515" i="3" s="1"/>
  <c r="AZ515" i="3" s="1"/>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L526" i="3" s="1"/>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A529" i="3" s="1"/>
  <c r="AZ529" i="3" s="1"/>
  <c r="BD529" i="3"/>
  <c r="BE529" i="3"/>
  <c r="BF529" i="3"/>
  <c r="BG529" i="3"/>
  <c r="BH529" i="3"/>
  <c r="BI529" i="3"/>
  <c r="BJ529" i="3"/>
  <c r="BK529" i="3"/>
  <c r="BM529" i="3"/>
  <c r="BN529" i="3"/>
  <c r="BO529" i="3"/>
  <c r="BP529" i="3"/>
  <c r="BQ529" i="3"/>
  <c r="BR529" i="3"/>
  <c r="BS529" i="3"/>
  <c r="BT529" i="3"/>
  <c r="H530" i="3"/>
  <c r="AC530" i="3"/>
  <c r="G530" i="3" s="1"/>
  <c r="BB530" i="3"/>
  <c r="BC530" i="3"/>
  <c r="BA530" i="3" s="1"/>
  <c r="AZ530" i="3" s="1"/>
  <c r="BD530" i="3"/>
  <c r="BE530" i="3"/>
  <c r="BF530" i="3"/>
  <c r="BG530" i="3"/>
  <c r="BH530" i="3"/>
  <c r="BI530" i="3"/>
  <c r="BJ530" i="3"/>
  <c r="BK530" i="3"/>
  <c r="BM530" i="3"/>
  <c r="BN530" i="3"/>
  <c r="BO530" i="3"/>
  <c r="BP530" i="3"/>
  <c r="BR530" i="3"/>
  <c r="BS530" i="3"/>
  <c r="BT530" i="3"/>
  <c r="H531" i="3"/>
  <c r="G531" i="3" s="1"/>
  <c r="AC531" i="3"/>
  <c r="BB531" i="3"/>
  <c r="BC531" i="3"/>
  <c r="BA531" i="3" s="1"/>
  <c r="AZ531" i="3" s="1"/>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L532" i="3" s="1"/>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L534" i="3" s="1"/>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A537" i="3" s="1"/>
  <c r="AZ537" i="3" s="1"/>
  <c r="BD537" i="3"/>
  <c r="BE537" i="3"/>
  <c r="BF537" i="3"/>
  <c r="BG537" i="3"/>
  <c r="BH537" i="3"/>
  <c r="BI537" i="3"/>
  <c r="BJ537" i="3"/>
  <c r="BK537" i="3"/>
  <c r="BM537" i="3"/>
  <c r="BN537" i="3"/>
  <c r="BO537" i="3"/>
  <c r="BP537" i="3"/>
  <c r="BQ537" i="3"/>
  <c r="BR537" i="3"/>
  <c r="BS537" i="3"/>
  <c r="BT537" i="3"/>
  <c r="H538" i="3"/>
  <c r="AC538" i="3"/>
  <c r="G538" i="3" s="1"/>
  <c r="BB538" i="3"/>
  <c r="BC538" i="3"/>
  <c r="BA538" i="3" s="1"/>
  <c r="BD538" i="3"/>
  <c r="BE538" i="3"/>
  <c r="BF538" i="3"/>
  <c r="BG538" i="3"/>
  <c r="BH538" i="3"/>
  <c r="BI538" i="3"/>
  <c r="BJ538" i="3"/>
  <c r="BK538" i="3"/>
  <c r="BM538" i="3"/>
  <c r="BN538" i="3"/>
  <c r="BO538" i="3"/>
  <c r="BP538" i="3"/>
  <c r="BR538" i="3"/>
  <c r="BS538" i="3"/>
  <c r="BT538" i="3"/>
  <c r="H539" i="3"/>
  <c r="G539" i="3" s="1"/>
  <c r="AC539" i="3"/>
  <c r="BB539" i="3"/>
  <c r="BA539" i="3" s="1"/>
  <c r="AZ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A552" i="3" s="1"/>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A554" i="3" s="1"/>
  <c r="BD554" i="3"/>
  <c r="BE554" i="3"/>
  <c r="BF554" i="3"/>
  <c r="BG554" i="3"/>
  <c r="BH554" i="3"/>
  <c r="BI554" i="3"/>
  <c r="BJ554" i="3"/>
  <c r="BK554" i="3"/>
  <c r="BM554" i="3"/>
  <c r="BN554" i="3"/>
  <c r="BL554" i="3" s="1"/>
  <c r="AZ554" i="3" s="1"/>
  <c r="BO554" i="3"/>
  <c r="BP554" i="3"/>
  <c r="BR554" i="3"/>
  <c r="BS554" i="3"/>
  <c r="BT554" i="3"/>
  <c r="H555" i="3"/>
  <c r="G555" i="3" s="1"/>
  <c r="AC555" i="3"/>
  <c r="BB555" i="3"/>
  <c r="BC555" i="3"/>
  <c r="BD555" i="3"/>
  <c r="BE555" i="3"/>
  <c r="BF555" i="3"/>
  <c r="BG555" i="3"/>
  <c r="BH555" i="3"/>
  <c r="BI555" i="3"/>
  <c r="BJ555" i="3"/>
  <c r="BK555" i="3"/>
  <c r="BM555" i="3"/>
  <c r="BN555" i="3"/>
  <c r="BL555" i="3" s="1"/>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A557" i="3" s="1"/>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L561" i="3" s="1"/>
  <c r="BN561" i="3"/>
  <c r="BO561" i="3"/>
  <c r="BP561" i="3"/>
  <c r="BQ561" i="3"/>
  <c r="BR561" i="3"/>
  <c r="BS561" i="3"/>
  <c r="BT561" i="3"/>
  <c r="H562" i="3"/>
  <c r="G562" i="3" s="1"/>
  <c r="AC562" i="3"/>
  <c r="BB562" i="3"/>
  <c r="BA562" i="3" s="1"/>
  <c r="BC562" i="3"/>
  <c r="BD562" i="3"/>
  <c r="BE562" i="3"/>
  <c r="BF562" i="3"/>
  <c r="BG562" i="3"/>
  <c r="BH562" i="3"/>
  <c r="BI562" i="3"/>
  <c r="BJ562" i="3"/>
  <c r="BK562" i="3"/>
  <c r="BM562" i="3"/>
  <c r="BL562" i="3" s="1"/>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A564" i="3" s="1"/>
  <c r="BD564" i="3"/>
  <c r="BE564" i="3"/>
  <c r="BF564" i="3"/>
  <c r="BG564" i="3"/>
  <c r="BH564" i="3"/>
  <c r="BI564" i="3"/>
  <c r="BJ564" i="3"/>
  <c r="BK564" i="3"/>
  <c r="BM564" i="3"/>
  <c r="BN564" i="3"/>
  <c r="BL564" i="3" s="1"/>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L566" i="3" s="1"/>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D101" i="37"/>
  <c r="F34" i="37"/>
  <c r="AA34" i="37" s="1"/>
  <c r="D99" i="37"/>
  <c r="E99" i="37" s="1"/>
  <c r="H42" i="34"/>
  <c r="AB42" i="34" s="1"/>
  <c r="J42" i="34"/>
  <c r="F42" i="34"/>
  <c r="AA42" i="34" s="1"/>
  <c r="J38" i="34"/>
  <c r="D114" i="34"/>
  <c r="E114" i="34" s="1"/>
  <c r="F38" i="34"/>
  <c r="D112" i="34"/>
  <c r="E112" i="34" s="1"/>
  <c r="F112" i="34" s="1"/>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c r="J102" i="40" s="1"/>
  <c r="K102" i="40" s="1"/>
  <c r="L102" i="40" s="1"/>
  <c r="M102" i="40" s="1"/>
  <c r="D100" i="40"/>
  <c r="E100" i="40"/>
  <c r="F100" i="40" s="1"/>
  <c r="G100" i="40" s="1"/>
  <c r="H100" i="40" s="1"/>
  <c r="I100" i="40" s="1"/>
  <c r="J100" i="40" s="1"/>
  <c r="K100" i="40" s="1"/>
  <c r="L100" i="40" s="1"/>
  <c r="M100" i="40" s="1"/>
  <c r="D98" i="40"/>
  <c r="E98" i="40"/>
  <c r="B97" i="40"/>
  <c r="D94" i="40"/>
  <c r="D92" i="40"/>
  <c r="D90" i="40"/>
  <c r="E90" i="40" s="1"/>
  <c r="F90" i="40" s="1"/>
  <c r="G90" i="40" s="1"/>
  <c r="H21" i="40"/>
  <c r="AB21" i="40"/>
  <c r="D88" i="40"/>
  <c r="E88" i="40"/>
  <c r="F88" i="40" s="1"/>
  <c r="G88" i="40" s="1"/>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H47" i="39" s="1"/>
  <c r="B131" i="39"/>
  <c r="B129" i="39"/>
  <c r="F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c r="D91" i="39"/>
  <c r="E91" i="39" s="1"/>
  <c r="F91" i="39" s="1"/>
  <c r="G91" i="39" s="1"/>
  <c r="B88" i="39"/>
  <c r="F16" i="39" s="1"/>
  <c r="B86" i="39"/>
  <c r="B84" i="39"/>
  <c r="H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B108" i="37"/>
  <c r="C23" i="37"/>
  <c r="C19" i="37"/>
  <c r="C17" i="37"/>
  <c r="C15" i="37"/>
  <c r="B112" i="37"/>
  <c r="D107" i="37"/>
  <c r="E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s="1"/>
  <c r="U27" i="37" s="1"/>
  <c r="B82" i="37"/>
  <c r="D79" i="37"/>
  <c r="E79" i="37" s="1"/>
  <c r="D75" i="37"/>
  <c r="E75" i="37" s="1"/>
  <c r="F75" i="37" s="1"/>
  <c r="D73" i="37"/>
  <c r="E73" i="37"/>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S30" i="37" s="1"/>
  <c r="Q29" i="37"/>
  <c r="Z29" i="37" s="1"/>
  <c r="H29" i="37"/>
  <c r="U29" i="37" s="1"/>
  <c r="Q28" i="37"/>
  <c r="Z28" i="37" s="1"/>
  <c r="Q27" i="37"/>
  <c r="Z27" i="37" s="1"/>
  <c r="Q26" i="37"/>
  <c r="Z26" i="37" s="1"/>
  <c r="J26" i="37"/>
  <c r="AC26" i="37" s="1"/>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E64" i="36" s="1"/>
  <c r="F64" i="36" s="1"/>
  <c r="G64" i="36" s="1"/>
  <c r="J16" i="36"/>
  <c r="D62" i="36"/>
  <c r="E62" i="36" s="1"/>
  <c r="B59" i="36"/>
  <c r="B57" i="36"/>
  <c r="B55" i="36"/>
  <c r="F54" i="36"/>
  <c r="G54" i="36"/>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B131" i="34"/>
  <c r="F47" i="34" s="1"/>
  <c r="AA47" i="34" s="1"/>
  <c r="B129" i="34"/>
  <c r="B127" i="34"/>
  <c r="B99" i="34"/>
  <c r="B97" i="34"/>
  <c r="H31" i="34" s="1"/>
  <c r="AB31" i="34" s="1"/>
  <c r="B95" i="34"/>
  <c r="B93" i="34"/>
  <c r="B75" i="34"/>
  <c r="B73" i="34"/>
  <c r="J13" i="34" s="1"/>
  <c r="W13" i="34" s="1"/>
  <c r="B71" i="34"/>
  <c r="B130" i="33"/>
  <c r="B128" i="33"/>
  <c r="H45" i="33" s="1"/>
  <c r="U45" i="33"/>
  <c r="B126" i="33"/>
  <c r="B98" i="33"/>
  <c r="B96" i="33"/>
  <c r="B94" i="33"/>
  <c r="B74" i="33"/>
  <c r="B72" i="33"/>
  <c r="F13" i="33" s="1"/>
  <c r="S13" i="33" s="1"/>
  <c r="B70" i="33"/>
  <c r="D96" i="35"/>
  <c r="E96" i="35" s="1"/>
  <c r="F96" i="35" s="1"/>
  <c r="G96" i="35" s="1"/>
  <c r="D94" i="35"/>
  <c r="D84" i="35"/>
  <c r="E84" i="35"/>
  <c r="F84" i="35" s="1"/>
  <c r="G84" i="35" s="1"/>
  <c r="H84" i="35" s="1"/>
  <c r="I84" i="35" s="1"/>
  <c r="J84" i="35" s="1"/>
  <c r="K84" i="35"/>
  <c r="L84" i="35" s="1"/>
  <c r="M84" i="35" s="1"/>
  <c r="D80" i="35"/>
  <c r="D72" i="35"/>
  <c r="D70" i="35"/>
  <c r="E70" i="35"/>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A31" i="35"/>
  <c r="Q30" i="35"/>
  <c r="Z30" i="35"/>
  <c r="Q29" i="35"/>
  <c r="Z29" i="35"/>
  <c r="Q28" i="35"/>
  <c r="Z28" i="35"/>
  <c r="J28" i="35"/>
  <c r="H28" i="35"/>
  <c r="U28" i="35" s="1"/>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F39" i="34"/>
  <c r="S39" i="34" s="1"/>
  <c r="Q38" i="34"/>
  <c r="Z38" i="34" s="1"/>
  <c r="Q37" i="34"/>
  <c r="Z37" i="34" s="1"/>
  <c r="Q36" i="34"/>
  <c r="Z36" i="34" s="1"/>
  <c r="Q35" i="34"/>
  <c r="Z35" i="34" s="1"/>
  <c r="Q34" i="34"/>
  <c r="Z34" i="34" s="1"/>
  <c r="J34" i="34"/>
  <c r="W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H8" i="33"/>
  <c r="F8" i="33"/>
  <c r="C7" i="33"/>
  <c r="C58" i="33" s="1"/>
  <c r="D58" i="33" s="1"/>
  <c r="E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B98" i="21"/>
  <c r="B96" i="21"/>
  <c r="B94" i="21"/>
  <c r="B92" i="21"/>
  <c r="F28" i="21" s="1"/>
  <c r="B90" i="21"/>
  <c r="B74" i="21"/>
  <c r="B72" i="21"/>
  <c r="B70" i="21"/>
  <c r="F10" i="21"/>
  <c r="AA10" i="21" s="1"/>
  <c r="C7" i="21"/>
  <c r="C58" i="21" s="1"/>
  <c r="D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J5" i="3" s="1"/>
  <c r="BK13" i="3"/>
  <c r="BM13" i="3"/>
  <c r="BN13" i="3"/>
  <c r="BO13" i="3"/>
  <c r="BO5" i="3" s="1"/>
  <c r="BP13" i="3"/>
  <c r="BS13" i="3"/>
  <c r="BT13" i="3"/>
  <c r="BB570" i="3"/>
  <c r="BC570" i="3"/>
  <c r="BD570" i="3"/>
  <c r="BE570" i="3"/>
  <c r="BF570" i="3"/>
  <c r="BF5" i="3" s="1"/>
  <c r="BG570" i="3"/>
  <c r="BH570" i="3"/>
  <c r="BI570" i="3"/>
  <c r="BJ570" i="3"/>
  <c r="BK570" i="3"/>
  <c r="BM570" i="3"/>
  <c r="BL570" i="3" s="1"/>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12" i="11" s="1"/>
  <c r="C12" i="11" s="1"/>
  <c r="BD10" i="3"/>
  <c r="BC10" i="3"/>
  <c r="H13" i="3"/>
  <c r="AC13" i="3"/>
  <c r="BB11" i="3"/>
  <c r="BB10" i="3"/>
  <c r="E8" i="6" s="1"/>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F36" i="21"/>
  <c r="S36" i="21" s="1"/>
  <c r="F39" i="21"/>
  <c r="AA39" i="21" s="1"/>
  <c r="J40" i="21"/>
  <c r="W40" i="21" s="1"/>
  <c r="H35" i="21"/>
  <c r="AB35" i="21" s="1"/>
  <c r="J8" i="21"/>
  <c r="AC8" i="21" s="1"/>
  <c r="J9" i="21"/>
  <c r="AC9" i="21" s="1"/>
  <c r="H8" i="21"/>
  <c r="H9" i="21"/>
  <c r="H10" i="21"/>
  <c r="U10" i="21" s="1"/>
  <c r="H39" i="21"/>
  <c r="J34" i="21"/>
  <c r="W34" i="21" s="1"/>
  <c r="H36" i="21"/>
  <c r="U36" i="21" s="1"/>
  <c r="F35" i="21"/>
  <c r="AA35" i="21" s="1"/>
  <c r="J33" i="21"/>
  <c r="H33" i="21"/>
  <c r="U33" i="21" s="1"/>
  <c r="F33" i="21"/>
  <c r="AA33" i="21" s="1"/>
  <c r="J10" i="21"/>
  <c r="AC10" i="21" s="1"/>
  <c r="H26" i="21"/>
  <c r="AB26" i="21" s="1"/>
  <c r="F19" i="21"/>
  <c r="AA19" i="21"/>
  <c r="H19" i="21"/>
  <c r="AB19" i="21"/>
  <c r="J19" i="21"/>
  <c r="W19" i="21"/>
  <c r="H12" i="21"/>
  <c r="J26" i="21"/>
  <c r="W26" i="21" s="1"/>
  <c r="F26" i="21"/>
  <c r="AA26" i="21" s="1"/>
  <c r="AB41" i="21"/>
  <c r="S41" i="21"/>
  <c r="AA41" i="21"/>
  <c r="W41" i="21"/>
  <c r="S10" i="39"/>
  <c r="U30" i="37"/>
  <c r="F39" i="37"/>
  <c r="S39" i="37" s="1"/>
  <c r="F29" i="36"/>
  <c r="AA29" i="36" s="1"/>
  <c r="F16" i="36"/>
  <c r="AA16" i="36" s="1"/>
  <c r="U22" i="36"/>
  <c r="U26" i="36"/>
  <c r="AC31" i="36"/>
  <c r="J33" i="36"/>
  <c r="W33" i="36" s="1"/>
  <c r="AC27" i="35"/>
  <c r="U31" i="35"/>
  <c r="S34" i="35"/>
  <c r="W36" i="35"/>
  <c r="W24" i="35"/>
  <c r="S31" i="35"/>
  <c r="U34" i="35"/>
  <c r="F36" i="34"/>
  <c r="S36" i="34" s="1"/>
  <c r="W9" i="34"/>
  <c r="S34" i="34"/>
  <c r="H39" i="33"/>
  <c r="AB39" i="33"/>
  <c r="S40" i="33"/>
  <c r="S33" i="33"/>
  <c r="U38" i="33"/>
  <c r="S8" i="21"/>
  <c r="W8" i="21"/>
  <c r="H39" i="37"/>
  <c r="AB39" i="37" s="1"/>
  <c r="AB27" i="35"/>
  <c r="S10" i="40"/>
  <c r="W10" i="40"/>
  <c r="S11" i="40"/>
  <c r="U11" i="40"/>
  <c r="S36" i="40"/>
  <c r="U36" i="40"/>
  <c r="S36" i="39"/>
  <c r="F11" i="21"/>
  <c r="S11" i="21" s="1"/>
  <c r="AC40" i="21"/>
  <c r="AB36" i="21"/>
  <c r="AC35" i="21"/>
  <c r="C29" i="39"/>
  <c r="C23" i="39"/>
  <c r="U36" i="39"/>
  <c r="S42" i="39"/>
  <c r="H32" i="33"/>
  <c r="H11" i="21"/>
  <c r="U11" i="21" s="1"/>
  <c r="J11" i="21"/>
  <c r="W11" i="21" s="1"/>
  <c r="AA12" i="33"/>
  <c r="J27" i="36"/>
  <c r="W27" i="36" s="1"/>
  <c r="J34" i="36"/>
  <c r="W34" i="36" s="1"/>
  <c r="J30" i="35"/>
  <c r="W30" i="35" s="1"/>
  <c r="F22" i="35"/>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H16" i="35"/>
  <c r="H33" i="35"/>
  <c r="AB33" i="35" s="1"/>
  <c r="W8" i="35"/>
  <c r="AC8" i="35"/>
  <c r="F35" i="37"/>
  <c r="E101" i="37"/>
  <c r="F101" i="37"/>
  <c r="G101" i="37" s="1"/>
  <c r="H101" i="37" s="1"/>
  <c r="I101" i="37" s="1"/>
  <c r="J101" i="37" s="1"/>
  <c r="K101" i="37" s="1"/>
  <c r="L101" i="37" s="1"/>
  <c r="M101" i="37" s="1"/>
  <c r="J34" i="37"/>
  <c r="W34" i="37" s="1"/>
  <c r="H43" i="34"/>
  <c r="H36" i="34"/>
  <c r="F37" i="34"/>
  <c r="AA37" i="34" s="1"/>
  <c r="F33" i="34"/>
  <c r="S33" i="34" s="1"/>
  <c r="F19" i="34"/>
  <c r="AA19" i="34" s="1"/>
  <c r="J10" i="34"/>
  <c r="AC10" i="34" s="1"/>
  <c r="U9" i="34"/>
  <c r="J28" i="34"/>
  <c r="E113" i="33"/>
  <c r="F36" i="33"/>
  <c r="S36" i="33" s="1"/>
  <c r="F19" i="33"/>
  <c r="S19" i="33" s="1"/>
  <c r="J19" i="33"/>
  <c r="S10" i="21"/>
  <c r="F125" i="21"/>
  <c r="G125" i="21" s="1"/>
  <c r="G86" i="40"/>
  <c r="AB30" i="36"/>
  <c r="AC34" i="36"/>
  <c r="H29" i="35"/>
  <c r="S34" i="37"/>
  <c r="AC43" i="34"/>
  <c r="AB40" i="34"/>
  <c r="W36" i="34"/>
  <c r="J19" i="34"/>
  <c r="AC19" i="34" s="1"/>
  <c r="F113" i="33"/>
  <c r="G113" i="33" s="1"/>
  <c r="H113" i="33" s="1"/>
  <c r="I113" i="33" s="1"/>
  <c r="J113" i="33" s="1"/>
  <c r="K113" i="33" s="1"/>
  <c r="L113" i="33" s="1"/>
  <c r="M113" i="33" s="1"/>
  <c r="H37" i="33"/>
  <c r="AB37" i="33" s="1"/>
  <c r="S37" i="33"/>
  <c r="W43" i="34"/>
  <c r="AC42" i="34"/>
  <c r="W42" i="34"/>
  <c r="AC38" i="34"/>
  <c r="W38" i="34"/>
  <c r="AA38" i="34"/>
  <c r="S38" i="34"/>
  <c r="J37" i="33"/>
  <c r="W37" i="33" s="1"/>
  <c r="J42" i="21"/>
  <c r="AC42" i="21" s="1"/>
  <c r="J44" i="34"/>
  <c r="AC44" i="34" s="1"/>
  <c r="F44" i="34"/>
  <c r="S44" i="34" s="1"/>
  <c r="J10" i="35"/>
  <c r="W10" i="35" s="1"/>
  <c r="AL5" i="3"/>
  <c r="BQ13" i="3"/>
  <c r="F14" i="21"/>
  <c r="AA14" i="21" s="1"/>
  <c r="H28" i="21"/>
  <c r="AB28" i="21" s="1"/>
  <c r="J28" i="21"/>
  <c r="AC28" i="21" s="1"/>
  <c r="H30" i="21"/>
  <c r="U30" i="21" s="1"/>
  <c r="F30" i="21"/>
  <c r="S30" i="21" s="1"/>
  <c r="J30" i="21"/>
  <c r="W30" i="21" s="1"/>
  <c r="H44" i="21"/>
  <c r="U44" i="21" s="1"/>
  <c r="H46" i="21"/>
  <c r="AB46" i="21" s="1"/>
  <c r="F46" i="21"/>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J29" i="33"/>
  <c r="H31" i="33"/>
  <c r="J45" i="33"/>
  <c r="F45" i="33"/>
  <c r="S45" i="33" s="1"/>
  <c r="F11" i="35"/>
  <c r="S11" i="35" s="1"/>
  <c r="H28" i="36"/>
  <c r="H32" i="36"/>
  <c r="AB32" i="36" s="1"/>
  <c r="J32" i="36"/>
  <c r="W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F107" i="37"/>
  <c r="G107" i="37" s="1"/>
  <c r="J37" i="37"/>
  <c r="AC37" i="37" s="1"/>
  <c r="H37" i="37"/>
  <c r="U37" i="37" s="1"/>
  <c r="J40" i="37"/>
  <c r="AC40" i="37" s="1"/>
  <c r="H14" i="33"/>
  <c r="U14" i="33"/>
  <c r="F14" i="33"/>
  <c r="AA14" i="33"/>
  <c r="J14" i="33"/>
  <c r="AC14" i="33"/>
  <c r="H30" i="33"/>
  <c r="AB30" i="33"/>
  <c r="F30" i="33"/>
  <c r="S30" i="33"/>
  <c r="J30" i="33"/>
  <c r="H44" i="33"/>
  <c r="U44" i="33" s="1"/>
  <c r="J44" i="33"/>
  <c r="AC44" i="33" s="1"/>
  <c r="F44" i="33"/>
  <c r="S44" i="33" s="1"/>
  <c r="F46" i="33"/>
  <c r="H13" i="34"/>
  <c r="U13" i="34" s="1"/>
  <c r="F13" i="34"/>
  <c r="AA13" i="34" s="1"/>
  <c r="F29" i="34"/>
  <c r="S29" i="34" s="1"/>
  <c r="J31" i="34"/>
  <c r="AC31" i="34" s="1"/>
  <c r="F31" i="34"/>
  <c r="S31" i="34" s="1"/>
  <c r="J45" i="34"/>
  <c r="W45" i="34" s="1"/>
  <c r="H47" i="34"/>
  <c r="U47" i="34" s="1"/>
  <c r="J47" i="34"/>
  <c r="AC47" i="34" s="1"/>
  <c r="F13" i="35"/>
  <c r="S13" i="35" s="1"/>
  <c r="J13" i="35"/>
  <c r="AC13" i="35" s="1"/>
  <c r="H13" i="35"/>
  <c r="U13" i="35" s="1"/>
  <c r="J25" i="35"/>
  <c r="F25" i="35"/>
  <c r="AA25" i="35" s="1"/>
  <c r="H25" i="35"/>
  <c r="AB25" i="35" s="1"/>
  <c r="J35" i="35"/>
  <c r="AC35" i="35" s="1"/>
  <c r="F35" i="35"/>
  <c r="S35" i="35" s="1"/>
  <c r="H35" i="35"/>
  <c r="U35" i="35" s="1"/>
  <c r="J25" i="36"/>
  <c r="W25" i="36" s="1"/>
  <c r="F25" i="36"/>
  <c r="AA25" i="36" s="1"/>
  <c r="H25" i="36"/>
  <c r="AB25" i="36" s="1"/>
  <c r="F28" i="37"/>
  <c r="AA28" i="37" s="1"/>
  <c r="H38" i="37"/>
  <c r="AB38" i="37" s="1"/>
  <c r="J38" i="37"/>
  <c r="AC38" i="37" s="1"/>
  <c r="F38" i="37"/>
  <c r="S38" i="37" s="1"/>
  <c r="F14" i="37"/>
  <c r="AA14" i="37" s="1"/>
  <c r="F27" i="37"/>
  <c r="AA27" i="37" s="1"/>
  <c r="J14" i="37"/>
  <c r="W14" i="37" s="1"/>
  <c r="J27" i="37"/>
  <c r="W27" i="37" s="1"/>
  <c r="AA38" i="37"/>
  <c r="AB13" i="35"/>
  <c r="U30" i="33"/>
  <c r="J36" i="37"/>
  <c r="AC36" i="37" s="1"/>
  <c r="AB31" i="21"/>
  <c r="AC30" i="21"/>
  <c r="AB30" i="21"/>
  <c r="W42" i="21"/>
  <c r="U36" i="37"/>
  <c r="AC13" i="36"/>
  <c r="AB45" i="33"/>
  <c r="AB27" i="33"/>
  <c r="S19" i="21"/>
  <c r="G521" i="3"/>
  <c r="G517" i="3"/>
  <c r="G508" i="3"/>
  <c r="G499" i="3"/>
  <c r="G493" i="3"/>
  <c r="G17" i="3"/>
  <c r="G561" i="3"/>
  <c r="G549" i="3"/>
  <c r="G545" i="3"/>
  <c r="BL569" i="3"/>
  <c r="BL553" i="3"/>
  <c r="BL545" i="3"/>
  <c r="BL535" i="3"/>
  <c r="BL519" i="3"/>
  <c r="BL501" i="3"/>
  <c r="BL491" i="3"/>
  <c r="BL483" i="3"/>
  <c r="G16" i="3"/>
  <c r="BL563" i="3"/>
  <c r="BL551" i="3"/>
  <c r="BL541" i="3"/>
  <c r="BL525" i="3"/>
  <c r="G518" i="3"/>
  <c r="G514" i="3"/>
  <c r="BL495" i="3"/>
  <c r="G18" i="3"/>
  <c r="BA569" i="3"/>
  <c r="AZ569" i="3" s="1"/>
  <c r="BA561" i="3"/>
  <c r="BA555" i="3"/>
  <c r="BA551" i="3"/>
  <c r="AZ551" i="3" s="1"/>
  <c r="BA545" i="3"/>
  <c r="AZ545" i="3" s="1"/>
  <c r="BA543" i="3"/>
  <c r="BA541" i="3"/>
  <c r="AZ541" i="3" s="1"/>
  <c r="BA521" i="3"/>
  <c r="BA501" i="3"/>
  <c r="AZ501" i="3" s="1"/>
  <c r="BA493" i="3"/>
  <c r="BA487" i="3"/>
  <c r="BA19" i="3"/>
  <c r="BA572" i="3"/>
  <c r="BA558" i="3"/>
  <c r="BA550" i="3"/>
  <c r="BA546" i="3"/>
  <c r="BA544" i="3"/>
  <c r="BA540" i="3"/>
  <c r="BA532" i="3"/>
  <c r="BA524" i="3"/>
  <c r="BA520" i="3"/>
  <c r="BA516" i="3"/>
  <c r="BA508" i="3"/>
  <c r="BA498" i="3"/>
  <c r="BA492" i="3"/>
  <c r="BA20" i="3"/>
  <c r="G560" i="3"/>
  <c r="G550" i="3"/>
  <c r="G546" i="3"/>
  <c r="BL543" i="3"/>
  <c r="AZ543" i="3" s="1"/>
  <c r="BA542" i="3"/>
  <c r="AC542" i="3"/>
  <c r="G542" i="3" s="1"/>
  <c r="BQ542" i="3"/>
  <c r="BL542" i="3" s="1"/>
  <c r="AZ542" i="3" s="1"/>
  <c r="BQ568" i="3"/>
  <c r="BQ566" i="3"/>
  <c r="BQ564" i="3"/>
  <c r="BQ562" i="3"/>
  <c r="BQ560" i="3"/>
  <c r="BQ558" i="3"/>
  <c r="BQ556" i="3"/>
  <c r="BQ554" i="3"/>
  <c r="BQ552" i="3"/>
  <c r="BQ550" i="3"/>
  <c r="BL550" i="3" s="1"/>
  <c r="AZ550" i="3" s="1"/>
  <c r="BQ548" i="3"/>
  <c r="BQ546" i="3"/>
  <c r="BL546" i="3" s="1"/>
  <c r="BQ544" i="3"/>
  <c r="BL544" i="3" s="1"/>
  <c r="G544" i="3"/>
  <c r="G534" i="3"/>
  <c r="G522" i="3"/>
  <c r="BQ540" i="3"/>
  <c r="BL540" i="3" s="1"/>
  <c r="AZ540" i="3" s="1"/>
  <c r="BQ538" i="3"/>
  <c r="BQ536" i="3"/>
  <c r="BQ534" i="3"/>
  <c r="BQ532" i="3"/>
  <c r="BQ530" i="3"/>
  <c r="BQ528" i="3"/>
  <c r="BQ526" i="3"/>
  <c r="BQ524" i="3"/>
  <c r="BL524" i="3"/>
  <c r="BQ522" i="3"/>
  <c r="BQ520" i="3"/>
  <c r="BL520" i="3" s="1"/>
  <c r="BQ518" i="3"/>
  <c r="BQ516" i="3"/>
  <c r="BL516" i="3" s="1"/>
  <c r="BQ514" i="3"/>
  <c r="BQ512" i="3"/>
  <c r="BQ510" i="3"/>
  <c r="BQ508" i="3"/>
  <c r="AC506" i="3"/>
  <c r="G506" i="3" s="1"/>
  <c r="BQ506" i="3"/>
  <c r="G498" i="3"/>
  <c r="BQ504" i="3"/>
  <c r="BQ502" i="3"/>
  <c r="BL502" i="3" s="1"/>
  <c r="BQ500" i="3"/>
  <c r="BQ498" i="3"/>
  <c r="BL498" i="3" s="1"/>
  <c r="AZ498" i="3" s="1"/>
  <c r="BQ496" i="3"/>
  <c r="AC494" i="3"/>
  <c r="G494" i="3" s="1"/>
  <c r="BQ494" i="3"/>
  <c r="BL493" i="3"/>
  <c r="G492" i="3"/>
  <c r="G488" i="3"/>
  <c r="G20" i="3"/>
  <c r="BQ492" i="3"/>
  <c r="BL492" i="3"/>
  <c r="BQ490" i="3"/>
  <c r="BQ488" i="3"/>
  <c r="BQ486" i="3"/>
  <c r="BQ484" i="3"/>
  <c r="BQ482" i="3"/>
  <c r="BQ20" i="3"/>
  <c r="BL20" i="3" s="1"/>
  <c r="BQ18" i="3"/>
  <c r="BQ5" i="3" s="1"/>
  <c r="F28" i="6" s="1"/>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F79" i="37"/>
  <c r="G79" i="37" s="1"/>
  <c r="AB27" i="37"/>
  <c r="F39"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F17" i="37"/>
  <c r="AA17" i="37" s="1"/>
  <c r="AB43" i="33"/>
  <c r="D3" i="21"/>
  <c r="AC33" i="36"/>
  <c r="W23" i="35"/>
  <c r="S27" i="37"/>
  <c r="U39" i="37"/>
  <c r="AC8" i="37"/>
  <c r="AC36" i="34"/>
  <c r="AB8" i="34"/>
  <c r="AC37" i="33"/>
  <c r="AA13" i="33"/>
  <c r="U19" i="21"/>
  <c r="AA36" i="21"/>
  <c r="F43" i="33"/>
  <c r="AA43" i="33" s="1"/>
  <c r="AB44" i="33"/>
  <c r="H107" i="37"/>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F21" i="40"/>
  <c r="S21" i="40" s="1"/>
  <c r="W36" i="40"/>
  <c r="U40" i="39"/>
  <c r="J21" i="40"/>
  <c r="AC21" i="40" s="1"/>
  <c r="S27" i="31"/>
  <c r="G515"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AZ322" i="3" s="1"/>
  <c r="G323" i="3"/>
  <c r="BL324" i="3"/>
  <c r="BA326" i="3"/>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BL115" i="3"/>
  <c r="AZ115" i="3"/>
  <c r="G116" i="3"/>
  <c r="BA118" i="3"/>
  <c r="AZ118" i="3" s="1"/>
  <c r="BL119" i="3"/>
  <c r="AZ119" i="3" s="1"/>
  <c r="G120" i="3"/>
  <c r="BA122" i="3"/>
  <c r="AZ122" i="3"/>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G144" i="3"/>
  <c r="BA146" i="3"/>
  <c r="BL147" i="3"/>
  <c r="AZ147" i="3" s="1"/>
  <c r="G148" i="3"/>
  <c r="BA150" i="3"/>
  <c r="AZ150" i="3" s="1"/>
  <c r="BL151" i="3"/>
  <c r="AZ151" i="3" s="1"/>
  <c r="BA153" i="3"/>
  <c r="AZ153" i="3" s="1"/>
  <c r="BL154" i="3"/>
  <c r="G155" i="3"/>
  <c r="BA157" i="3"/>
  <c r="BL158" i="3"/>
  <c r="AZ158" i="3" s="1"/>
  <c r="G159" i="3"/>
  <c r="BA161" i="3"/>
  <c r="AZ161" i="3" s="1"/>
  <c r="BL162" i="3"/>
  <c r="G163" i="3"/>
  <c r="BA165" i="3"/>
  <c r="AZ165" i="3" s="1"/>
  <c r="BL166" i="3"/>
  <c r="G167" i="3"/>
  <c r="BA169" i="3"/>
  <c r="AZ169" i="3" s="1"/>
  <c r="BL170" i="3"/>
  <c r="G171" i="3"/>
  <c r="BA173" i="3"/>
  <c r="AZ173" i="3" s="1"/>
  <c r="BL174" i="3"/>
  <c r="AZ174" i="3" s="1"/>
  <c r="G175" i="3"/>
  <c r="BA178" i="3"/>
  <c r="AZ178" i="3" s="1"/>
  <c r="BL179" i="3"/>
  <c r="G180" i="3"/>
  <c r="AZ27" i="3"/>
  <c r="AZ35" i="3"/>
  <c r="AZ43" i="3"/>
  <c r="AZ51" i="3"/>
  <c r="AZ59" i="3"/>
  <c r="BL181" i="3"/>
  <c r="AZ181" i="3"/>
  <c r="G182" i="3"/>
  <c r="BA184" i="3"/>
  <c r="AZ184" i="3" s="1"/>
  <c r="BL185" i="3"/>
  <c r="G186" i="3"/>
  <c r="BA188" i="3"/>
  <c r="AZ188" i="3" s="1"/>
  <c r="BL189" i="3"/>
  <c r="AZ189" i="3" s="1"/>
  <c r="G190" i="3"/>
  <c r="BA192" i="3"/>
  <c r="AZ192" i="3" s="1"/>
  <c r="BL193" i="3"/>
  <c r="G194" i="3"/>
  <c r="BA196" i="3"/>
  <c r="AZ196" i="3" s="1"/>
  <c r="BL197" i="3"/>
  <c r="G198" i="3"/>
  <c r="BA200" i="3"/>
  <c r="AZ200" i="3" s="1"/>
  <c r="BL201" i="3"/>
  <c r="AZ66" i="3"/>
  <c r="AZ74" i="3"/>
  <c r="AZ82" i="3"/>
  <c r="AZ201" i="3"/>
  <c r="AZ84" i="3"/>
  <c r="AZ86" i="3"/>
  <c r="AZ94" i="3"/>
  <c r="AZ102" i="3"/>
  <c r="AZ110" i="3"/>
  <c r="G491" i="3"/>
  <c r="BA298" i="3"/>
  <c r="AZ298" i="3" s="1"/>
  <c r="BA299" i="3"/>
  <c r="BL299" i="3"/>
  <c r="G300" i="3"/>
  <c r="G303" i="3"/>
  <c r="BL304" i="3"/>
  <c r="BA306" i="3"/>
  <c r="BA307" i="3"/>
  <c r="BL307" i="3"/>
  <c r="AZ307" i="3" s="1"/>
  <c r="G308" i="3"/>
  <c r="G319" i="3"/>
  <c r="BL320" i="3"/>
  <c r="AZ320" i="3" s="1"/>
  <c r="BA322" i="3"/>
  <c r="BA323" i="3"/>
  <c r="AZ323" i="3" s="1"/>
  <c r="BL323" i="3"/>
  <c r="G324" i="3"/>
  <c r="G327" i="3"/>
  <c r="BL328" i="3"/>
  <c r="BA330" i="3"/>
  <c r="AZ330" i="3" s="1"/>
  <c r="BA331" i="3"/>
  <c r="BL331" i="3"/>
  <c r="G332" i="3"/>
  <c r="G335" i="3"/>
  <c r="BL336" i="3"/>
  <c r="AZ336" i="3" s="1"/>
  <c r="BA338" i="3"/>
  <c r="BA339" i="3"/>
  <c r="BL339" i="3"/>
  <c r="G340" i="3"/>
  <c r="G343" i="3"/>
  <c r="BL344" i="3"/>
  <c r="AZ344" i="3" s="1"/>
  <c r="BA346" i="3"/>
  <c r="BA347" i="3"/>
  <c r="BL347" i="3"/>
  <c r="AZ347" i="3" s="1"/>
  <c r="G348" i="3"/>
  <c r="G351" i="3"/>
  <c r="BL352" i="3"/>
  <c r="BA354" i="3"/>
  <c r="AZ354" i="3" s="1"/>
  <c r="BA355" i="3"/>
  <c r="AZ355" i="3"/>
  <c r="BL355" i="3"/>
  <c r="G356" i="3"/>
  <c r="BA358" i="3"/>
  <c r="AZ358" i="3" s="1"/>
  <c r="BA359" i="3"/>
  <c r="BL359" i="3"/>
  <c r="AZ359" i="3" s="1"/>
  <c r="G360" i="3"/>
  <c r="G361" i="3"/>
  <c r="BL362" i="3"/>
  <c r="AZ362" i="3" s="1"/>
  <c r="BA364" i="3"/>
  <c r="AZ364" i="3" s="1"/>
  <c r="BA365" i="3"/>
  <c r="AZ365" i="3" s="1"/>
  <c r="BL365" i="3"/>
  <c r="G366" i="3"/>
  <c r="G369" i="3"/>
  <c r="BL370" i="3"/>
  <c r="BA372" i="3"/>
  <c r="AZ372" i="3"/>
  <c r="BA373" i="3"/>
  <c r="BL373" i="3"/>
  <c r="AZ373" i="3" s="1"/>
  <c r="G374" i="3"/>
  <c r="G377" i="3"/>
  <c r="BL378" i="3"/>
  <c r="BA380" i="3"/>
  <c r="AZ380" i="3" s="1"/>
  <c r="BA381" i="3"/>
  <c r="BL381" i="3"/>
  <c r="G382" i="3"/>
  <c r="G385" i="3"/>
  <c r="AZ187" i="3"/>
  <c r="AZ191" i="3"/>
  <c r="AZ195" i="3"/>
  <c r="AZ199" i="3"/>
  <c r="AZ203" i="3"/>
  <c r="G523" i="3"/>
  <c r="BL297" i="3"/>
  <c r="G298" i="3"/>
  <c r="BA300" i="3"/>
  <c r="BL301" i="3"/>
  <c r="G302" i="3"/>
  <c r="BA304" i="3"/>
  <c r="AZ304" i="3"/>
  <c r="BL305" i="3"/>
  <c r="G306" i="3"/>
  <c r="BA308" i="3"/>
  <c r="AZ308" i="3"/>
  <c r="BL309" i="3"/>
  <c r="G310" i="3"/>
  <c r="BA310" i="3"/>
  <c r="AZ310" i="3"/>
  <c r="BL311" i="3"/>
  <c r="G312" i="3"/>
  <c r="BA312" i="3"/>
  <c r="BL313" i="3"/>
  <c r="G314" i="3"/>
  <c r="BA314" i="3"/>
  <c r="AZ314" i="3"/>
  <c r="BL315" i="3"/>
  <c r="G316" i="3"/>
  <c r="BA316" i="3"/>
  <c r="AZ316" i="3"/>
  <c r="BL317" i="3"/>
  <c r="G318" i="3"/>
  <c r="BA320" i="3"/>
  <c r="BL321" i="3"/>
  <c r="G322" i="3"/>
  <c r="BA324" i="3"/>
  <c r="AZ324" i="3"/>
  <c r="BL325" i="3"/>
  <c r="G326" i="3"/>
  <c r="BA328" i="3"/>
  <c r="AZ328" i="3"/>
  <c r="BL329" i="3"/>
  <c r="G330" i="3"/>
  <c r="BA332" i="3"/>
  <c r="BL333" i="3"/>
  <c r="G334" i="3"/>
  <c r="BA336" i="3"/>
  <c r="BL337" i="3"/>
  <c r="G338" i="3"/>
  <c r="BA340" i="3"/>
  <c r="AZ340" i="3"/>
  <c r="BL341" i="3"/>
  <c r="G342" i="3"/>
  <c r="BA344" i="3"/>
  <c r="BL345" i="3"/>
  <c r="G346" i="3"/>
  <c r="BA348" i="3"/>
  <c r="AZ348" i="3"/>
  <c r="BL349" i="3"/>
  <c r="G350" i="3"/>
  <c r="BA352" i="3"/>
  <c r="AZ352" i="3"/>
  <c r="BL353" i="3"/>
  <c r="G354" i="3"/>
  <c r="BA356" i="3"/>
  <c r="AZ356" i="3"/>
  <c r="BL357" i="3"/>
  <c r="G358" i="3"/>
  <c r="BA362" i="3"/>
  <c r="BL363" i="3"/>
  <c r="G364" i="3"/>
  <c r="BA366" i="3"/>
  <c r="AZ366" i="3"/>
  <c r="BL367" i="3"/>
  <c r="AZ205" i="3"/>
  <c r="AZ209" i="3"/>
  <c r="AZ221" i="3"/>
  <c r="AZ225" i="3"/>
  <c r="AZ237" i="3"/>
  <c r="AZ241" i="3"/>
  <c r="AZ309" i="3"/>
  <c r="AZ317" i="3"/>
  <c r="AZ321" i="3"/>
  <c r="AZ325" i="3"/>
  <c r="AZ333" i="3"/>
  <c r="AZ349" i="3"/>
  <c r="AZ353" i="3"/>
  <c r="AZ357" i="3"/>
  <c r="AZ363" i="3"/>
  <c r="AZ367" i="3"/>
  <c r="G368" i="3"/>
  <c r="BA370" i="3"/>
  <c r="AZ370" i="3" s="1"/>
  <c r="BL371" i="3"/>
  <c r="AZ371" i="3"/>
  <c r="G372" i="3"/>
  <c r="BA374" i="3"/>
  <c r="AZ374" i="3" s="1"/>
  <c r="BL375" i="3"/>
  <c r="G376" i="3"/>
  <c r="BA378" i="3"/>
  <c r="AZ378" i="3" s="1"/>
  <c r="BL379" i="3"/>
  <c r="G380" i="3"/>
  <c r="BA382" i="3"/>
  <c r="AZ382" i="3" s="1"/>
  <c r="BL383" i="3"/>
  <c r="G384" i="3"/>
  <c r="AZ253" i="3"/>
  <c r="AZ261" i="3"/>
  <c r="AZ265" i="3"/>
  <c r="AZ375" i="3"/>
  <c r="AZ383" i="3"/>
  <c r="AZ274" i="3"/>
  <c r="AZ278" i="3"/>
  <c r="AZ295" i="3"/>
  <c r="AZ311" i="3"/>
  <c r="AZ313" i="3"/>
  <c r="AZ331" i="3"/>
  <c r="AZ335" i="3"/>
  <c r="AZ339" i="3"/>
  <c r="AZ394" i="3"/>
  <c r="AZ410" i="3"/>
  <c r="AZ418" i="3"/>
  <c r="AZ426" i="3"/>
  <c r="AZ430" i="3"/>
  <c r="AZ442" i="3"/>
  <c r="AZ446" i="3"/>
  <c r="AZ455" i="3"/>
  <c r="AZ467" i="3"/>
  <c r="AZ471" i="3"/>
  <c r="H7" i="48"/>
  <c r="H113" i="46"/>
  <c r="H17" i="46"/>
  <c r="F33" i="46"/>
  <c r="F35" i="46"/>
  <c r="F37" i="46"/>
  <c r="H16" i="48"/>
  <c r="H9" i="48"/>
  <c r="H8" i="48"/>
  <c r="C12" i="46"/>
  <c r="AA43" i="21"/>
  <c r="U43" i="21"/>
  <c r="AA13" i="40"/>
  <c r="E78" i="40"/>
  <c r="F78" i="40" s="1"/>
  <c r="G78" i="40" s="1"/>
  <c r="H78" i="40" s="1"/>
  <c r="I78" i="40" s="1"/>
  <c r="J78" i="40" s="1"/>
  <c r="K78" i="40" s="1"/>
  <c r="L78" i="40" s="1"/>
  <c r="M78" i="40" s="1"/>
  <c r="R16" i="4"/>
  <c r="P16" i="4"/>
  <c r="D3" i="35"/>
  <c r="G4" i="4"/>
  <c r="S37" i="34"/>
  <c r="J16" i="35"/>
  <c r="W16" i="35"/>
  <c r="AC26" i="36"/>
  <c r="AZ300" i="3"/>
  <c r="H11" i="37"/>
  <c r="AB11" i="37"/>
  <c r="W37" i="37"/>
  <c r="AA30" i="33"/>
  <c r="AA36" i="37"/>
  <c r="S42" i="33"/>
  <c r="AB17" i="37"/>
  <c r="AZ524" i="3"/>
  <c r="AZ546" i="3"/>
  <c r="AA45" i="33"/>
  <c r="AC11" i="36"/>
  <c r="AC10" i="36"/>
  <c r="AC14" i="37"/>
  <c r="AB35" i="35"/>
  <c r="S25" i="35"/>
  <c r="W44" i="33"/>
  <c r="AC30" i="33"/>
  <c r="W30" i="33"/>
  <c r="AC29" i="37"/>
  <c r="AC32" i="36"/>
  <c r="J33" i="34"/>
  <c r="AC33" i="34"/>
  <c r="J40" i="34"/>
  <c r="W40" i="34" s="1"/>
  <c r="F16" i="35"/>
  <c r="AA16" i="35" s="1"/>
  <c r="J35" i="34"/>
  <c r="W35" i="34" s="1"/>
  <c r="H16" i="36"/>
  <c r="AB16" i="36"/>
  <c r="H35" i="37"/>
  <c r="AB35" i="37" s="1"/>
  <c r="S26" i="21"/>
  <c r="H32" i="21"/>
  <c r="U32" i="21" s="1"/>
  <c r="S33"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F10" i="33"/>
  <c r="AA10" i="33"/>
  <c r="F11" i="33"/>
  <c r="S11" i="33"/>
  <c r="J15" i="33"/>
  <c r="W15" i="33"/>
  <c r="H19" i="33"/>
  <c r="AB19" i="33"/>
  <c r="F32" i="33"/>
  <c r="AA32" i="33"/>
  <c r="J32" i="33"/>
  <c r="AC32" i="33"/>
  <c r="F35" i="33"/>
  <c r="AA35" i="33"/>
  <c r="F11" i="34"/>
  <c r="S11" i="34" s="1"/>
  <c r="E80" i="34"/>
  <c r="F80" i="34" s="1"/>
  <c r="G80" i="34" s="1"/>
  <c r="H17" i="34"/>
  <c r="AB17" i="34" s="1"/>
  <c r="AC27" i="34"/>
  <c r="W27" i="34"/>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c r="J30" i="34"/>
  <c r="W30" i="34"/>
  <c r="H32" i="34"/>
  <c r="AB32" i="34"/>
  <c r="F32" i="34"/>
  <c r="AA32" i="34"/>
  <c r="J32" i="34"/>
  <c r="W32" i="34"/>
  <c r="H46" i="34"/>
  <c r="AB46" i="34"/>
  <c r="F46" i="34"/>
  <c r="AA46" i="34"/>
  <c r="J46" i="34"/>
  <c r="AC46" i="34"/>
  <c r="H11" i="35"/>
  <c r="J11" i="35"/>
  <c r="AC11" i="35" s="1"/>
  <c r="H32" i="37"/>
  <c r="AB32" i="37" s="1"/>
  <c r="F19" i="39"/>
  <c r="S19" i="39" s="1"/>
  <c r="H19" i="39"/>
  <c r="AB19" i="39" s="1"/>
  <c r="J19" i="39"/>
  <c r="W19" i="39" s="1"/>
  <c r="F43" i="39"/>
  <c r="S43" i="39" s="1"/>
  <c r="H43" i="39"/>
  <c r="U43" i="39" s="1"/>
  <c r="J43" i="39"/>
  <c r="AC43" i="39" s="1"/>
  <c r="F99" i="37"/>
  <c r="AC27" i="37"/>
  <c r="U25" i="35"/>
  <c r="U31" i="34"/>
  <c r="W40" i="37"/>
  <c r="W27" i="33"/>
  <c r="AC45" i="21"/>
  <c r="S14" i="21"/>
  <c r="AA44" i="34"/>
  <c r="AB29" i="35"/>
  <c r="U29" i="35"/>
  <c r="AC19" i="33"/>
  <c r="W19" i="33"/>
  <c r="U43" i="34"/>
  <c r="AB43" i="34"/>
  <c r="AC34" i="37"/>
  <c r="S35" i="37"/>
  <c r="AA35" i="37"/>
  <c r="AB10" i="35"/>
  <c r="AA32" i="21"/>
  <c r="S32" i="21"/>
  <c r="U38" i="21"/>
  <c r="AB34" i="21"/>
  <c r="BL571" i="3"/>
  <c r="BE5" i="3"/>
  <c r="F42" i="21"/>
  <c r="AA42" i="21" s="1"/>
  <c r="AB40" i="33"/>
  <c r="U40" i="33"/>
  <c r="AA35" i="34"/>
  <c r="S35" i="34"/>
  <c r="E90" i="34"/>
  <c r="H27" i="34"/>
  <c r="AB27" i="34"/>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W26" i="37"/>
  <c r="AA30" i="37"/>
  <c r="AC30" i="37"/>
  <c r="AC31" i="37"/>
  <c r="W31" i="37"/>
  <c r="AB14" i="37"/>
  <c r="F17" i="39"/>
  <c r="AA17" i="39" s="1"/>
  <c r="H17" i="39"/>
  <c r="U17" i="39" s="1"/>
  <c r="J17" i="39"/>
  <c r="W17" i="39" s="1"/>
  <c r="F21" i="39"/>
  <c r="S21" i="39" s="1"/>
  <c r="H21" i="39"/>
  <c r="U21" i="39" s="1"/>
  <c r="J21" i="39"/>
  <c r="W21" i="39" s="1"/>
  <c r="F33" i="39"/>
  <c r="AA33" i="39" s="1"/>
  <c r="H33" i="39"/>
  <c r="U33" i="39"/>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BA568" i="3"/>
  <c r="AZ568" i="3"/>
  <c r="BL567" i="3"/>
  <c r="BA567" i="3"/>
  <c r="AZ567" i="3" s="1"/>
  <c r="BL565" i="3"/>
  <c r="BA563" i="3"/>
  <c r="AZ563" i="3" s="1"/>
  <c r="BA553" i="3"/>
  <c r="AZ553" i="3" s="1"/>
  <c r="BL549" i="3"/>
  <c r="BA549" i="3"/>
  <c r="BL548" i="3"/>
  <c r="AZ548" i="3" s="1"/>
  <c r="BA548" i="3"/>
  <c r="BL547" i="3"/>
  <c r="BA547" i="3"/>
  <c r="BL539" i="3"/>
  <c r="BL537" i="3"/>
  <c r="BL536" i="3"/>
  <c r="BA535" i="3"/>
  <c r="AZ535" i="3" s="1"/>
  <c r="BA534" i="3"/>
  <c r="AZ534" i="3" s="1"/>
  <c r="BA533" i="3"/>
  <c r="BL531" i="3"/>
  <c r="BL530" i="3"/>
  <c r="BL529" i="3"/>
  <c r="BL528" i="3"/>
  <c r="BA527" i="3"/>
  <c r="BA526" i="3"/>
  <c r="AZ526" i="3" s="1"/>
  <c r="BA525" i="3"/>
  <c r="AZ525" i="3" s="1"/>
  <c r="BL523" i="3"/>
  <c r="BA523" i="3"/>
  <c r="BL522" i="3"/>
  <c r="BA522" i="3"/>
  <c r="AZ522" i="3"/>
  <c r="BL521" i="3"/>
  <c r="AZ521" i="3"/>
  <c r="BA519" i="3"/>
  <c r="AZ519" i="3"/>
  <c r="BL518" i="3"/>
  <c r="BA518" i="3"/>
  <c r="AZ518" i="3" s="1"/>
  <c r="BL517" i="3"/>
  <c r="BA517" i="3"/>
  <c r="AZ517" i="3" s="1"/>
  <c r="BL515" i="3"/>
  <c r="BA514" i="3"/>
  <c r="BL513" i="3"/>
  <c r="BL512" i="3"/>
  <c r="BA510" i="3"/>
  <c r="BL507" i="3"/>
  <c r="BA506" i="3"/>
  <c r="BL504" i="3"/>
  <c r="BA503" i="3"/>
  <c r="BL499" i="3"/>
  <c r="BA499" i="3"/>
  <c r="AZ499" i="3"/>
  <c r="BL497" i="3"/>
  <c r="BA497" i="3"/>
  <c r="BL496" i="3"/>
  <c r="BA496" i="3"/>
  <c r="AZ496" i="3" s="1"/>
  <c r="BA495" i="3"/>
  <c r="AZ495" i="3" s="1"/>
  <c r="BL494" i="3"/>
  <c r="BA494" i="3"/>
  <c r="AZ494" i="3"/>
  <c r="BA491" i="3"/>
  <c r="AZ491" i="3" s="1"/>
  <c r="BL490" i="3"/>
  <c r="BA490" i="3"/>
  <c r="AZ490" i="3" s="1"/>
  <c r="BL489" i="3"/>
  <c r="BL487" i="3"/>
  <c r="AZ487" i="3" s="1"/>
  <c r="BA486" i="3"/>
  <c r="AZ486" i="3" s="1"/>
  <c r="BA483" i="3"/>
  <c r="AZ483" i="3" s="1"/>
  <c r="BL481" i="3"/>
  <c r="BA481" i="3"/>
  <c r="AZ481" i="3" s="1"/>
  <c r="BL19" i="3"/>
  <c r="AZ19" i="3" s="1"/>
  <c r="BA18" i="3"/>
  <c r="AZ18" i="3" s="1"/>
  <c r="F36" i="44"/>
  <c r="F114" i="34"/>
  <c r="G114" i="34" s="1"/>
  <c r="H114" i="34" s="1"/>
  <c r="I114" i="34" s="1"/>
  <c r="J114" i="34" s="1"/>
  <c r="K114" i="34" s="1"/>
  <c r="L114" i="34" s="1"/>
  <c r="M114" i="34" s="1"/>
  <c r="H38" i="34"/>
  <c r="U38" i="34" s="1"/>
  <c r="H30" i="40"/>
  <c r="AB30" i="40" s="1"/>
  <c r="J30" i="40"/>
  <c r="AC30" i="40" s="1"/>
  <c r="F38" i="40"/>
  <c r="AA38" i="40" s="1"/>
  <c r="AA36" i="34"/>
  <c r="AB33" i="21"/>
  <c r="S35" i="21"/>
  <c r="AB10" i="21"/>
  <c r="U8" i="21"/>
  <c r="AB8" i="21"/>
  <c r="S34" i="21"/>
  <c r="AC36" i="21"/>
  <c r="AB8" i="33"/>
  <c r="U8" i="33"/>
  <c r="E106" i="33"/>
  <c r="H34" i="33"/>
  <c r="U34" i="33" s="1"/>
  <c r="F34" i="33"/>
  <c r="S34" i="33" s="1"/>
  <c r="E121" i="33"/>
  <c r="F41" i="33"/>
  <c r="S41" i="33" s="1"/>
  <c r="AC34" i="34"/>
  <c r="AA39" i="34"/>
  <c r="S43" i="34"/>
  <c r="E78" i="34"/>
  <c r="F15" i="34"/>
  <c r="AA15" i="34" s="1"/>
  <c r="AC28" i="35"/>
  <c r="W28" i="35"/>
  <c r="J20" i="35"/>
  <c r="AC20" i="35"/>
  <c r="E72" i="35"/>
  <c r="F72" i="35"/>
  <c r="G72" i="35" s="1"/>
  <c r="H22" i="35"/>
  <c r="AB22" i="35" s="1"/>
  <c r="H23" i="35"/>
  <c r="U23" i="35" s="1"/>
  <c r="F23" i="35"/>
  <c r="AA23" i="35"/>
  <c r="AB36" i="35"/>
  <c r="U36" i="35"/>
  <c r="U31" i="36"/>
  <c r="S8" i="37"/>
  <c r="AA8" i="37"/>
  <c r="F14" i="39"/>
  <c r="AA14" i="39" s="1"/>
  <c r="J14" i="39"/>
  <c r="AC14" i="39" s="1"/>
  <c r="H16" i="39"/>
  <c r="U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s="1"/>
  <c r="H37" i="34"/>
  <c r="AB37" i="34" s="1"/>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H42" i="40"/>
  <c r="H40" i="40"/>
  <c r="U40" i="40" s="1"/>
  <c r="H34" i="40"/>
  <c r="U34" i="40" s="1"/>
  <c r="AZ391" i="3"/>
  <c r="AZ407" i="3"/>
  <c r="AZ423" i="3"/>
  <c r="B41" i="1"/>
  <c r="J42" i="40"/>
  <c r="AC42" i="40" s="1"/>
  <c r="J40" i="40"/>
  <c r="AC40" i="40" s="1"/>
  <c r="J34" i="40"/>
  <c r="AC34" i="40" s="1"/>
  <c r="H14" i="40"/>
  <c r="U14" i="40" s="1"/>
  <c r="F32" i="40"/>
  <c r="AA32" i="40" s="1"/>
  <c r="AZ428" i="3"/>
  <c r="AZ444" i="3"/>
  <c r="AZ449" i="3"/>
  <c r="M1" i="46"/>
  <c r="M6" i="46"/>
  <c r="M10" i="46"/>
  <c r="N2" i="46"/>
  <c r="N5" i="46"/>
  <c r="F58" i="46"/>
  <c r="F47" i="46"/>
  <c r="H49" i="46" s="1"/>
  <c r="N7" i="46"/>
  <c r="AZ466" i="3"/>
  <c r="AZ469" i="3"/>
  <c r="AZ388" i="3"/>
  <c r="AZ207" i="3"/>
  <c r="AZ220" i="3"/>
  <c r="AZ223" i="3"/>
  <c r="AZ236" i="3"/>
  <c r="AZ239" i="3"/>
  <c r="AZ252" i="3"/>
  <c r="AZ255" i="3"/>
  <c r="AZ260" i="3"/>
  <c r="AZ263" i="3"/>
  <c r="AZ276" i="3"/>
  <c r="AZ281" i="3"/>
  <c r="AZ289" i="3"/>
  <c r="AZ124" i="3"/>
  <c r="AZ140" i="3"/>
  <c r="M7" i="46"/>
  <c r="M11" i="46"/>
  <c r="N3" i="46"/>
  <c r="N6" i="46"/>
  <c r="N10" i="46"/>
  <c r="AZ164" i="3"/>
  <c r="AZ167" i="3"/>
  <c r="AZ180" i="3"/>
  <c r="AZ24" i="3"/>
  <c r="AZ40" i="3"/>
  <c r="AZ56" i="3"/>
  <c r="AZ71" i="3"/>
  <c r="AZ91" i="3"/>
  <c r="AZ107" i="3"/>
  <c r="AZ112" i="3"/>
  <c r="J13" i="40"/>
  <c r="W13" i="40" s="1"/>
  <c r="F34" i="44"/>
  <c r="F27" i="43"/>
  <c r="F66" i="9"/>
  <c r="P72" i="9" s="1"/>
  <c r="F71" i="9"/>
  <c r="F72" i="9"/>
  <c r="W35" i="40"/>
  <c r="S33" i="40"/>
  <c r="AB32" i="40"/>
  <c r="U37" i="34"/>
  <c r="W41" i="40"/>
  <c r="J23" i="40"/>
  <c r="AC23" i="40" s="1"/>
  <c r="F23" i="40"/>
  <c r="S23" i="40" s="1"/>
  <c r="AC15" i="40"/>
  <c r="W15" i="40"/>
  <c r="AB16" i="39"/>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B38" i="34"/>
  <c r="AZ497" i="3"/>
  <c r="AZ547" i="3"/>
  <c r="AZ549" i="3"/>
  <c r="AA29" i="35"/>
  <c r="J29" i="39"/>
  <c r="AC29" i="39" s="1"/>
  <c r="AB17" i="39"/>
  <c r="AB33" i="36"/>
  <c r="AA14" i="35"/>
  <c r="S14" i="35"/>
  <c r="G99" i="37"/>
  <c r="F33" i="37"/>
  <c r="U46" i="34"/>
  <c r="AC30" i="34"/>
  <c r="AA14" i="34"/>
  <c r="U29" i="33"/>
  <c r="U17" i="34"/>
  <c r="W32" i="33"/>
  <c r="H15" i="33"/>
  <c r="U15" i="33"/>
  <c r="AA11" i="33"/>
  <c r="AA40" i="21"/>
  <c r="U17" i="21"/>
  <c r="AB34" i="40"/>
  <c r="AB42" i="40"/>
  <c r="U42" i="40"/>
  <c r="W32" i="40"/>
  <c r="H25" i="40"/>
  <c r="AB25" i="40" s="1"/>
  <c r="F94" i="40"/>
  <c r="G94" i="40" s="1"/>
  <c r="W15" i="39"/>
  <c r="J37" i="34"/>
  <c r="AC37" i="34" s="1"/>
  <c r="J36" i="33"/>
  <c r="W36" i="33" s="1"/>
  <c r="S41" i="40"/>
  <c r="H23" i="39"/>
  <c r="AB23" i="39" s="1"/>
  <c r="J23" i="39"/>
  <c r="AC23" i="39" s="1"/>
  <c r="F97" i="39"/>
  <c r="G97" i="39" s="1"/>
  <c r="S15" i="34"/>
  <c r="AA41" i="33"/>
  <c r="F106" i="33"/>
  <c r="G106" i="33" s="1"/>
  <c r="H106" i="33" s="1"/>
  <c r="I106" i="33" s="1"/>
  <c r="J106" i="33" s="1"/>
  <c r="K106" i="33" s="1"/>
  <c r="L106" i="33" s="1"/>
  <c r="M106" i="33" s="1"/>
  <c r="J34" i="33"/>
  <c r="AC34" i="33" s="1"/>
  <c r="U30" i="40"/>
  <c r="AA37" i="39"/>
  <c r="W29" i="35"/>
  <c r="W39" i="39"/>
  <c r="AA39" i="39"/>
  <c r="S39" i="39"/>
  <c r="U34" i="39"/>
  <c r="AB46" i="39"/>
  <c r="AC33" i="39"/>
  <c r="W33" i="39"/>
  <c r="S33" i="39"/>
  <c r="F80" i="35"/>
  <c r="G80" i="35" s="1"/>
  <c r="H80" i="35" s="1"/>
  <c r="I80" i="35" s="1"/>
  <c r="J80" i="35" s="1"/>
  <c r="K80" i="35" s="1"/>
  <c r="L80" i="35" s="1"/>
  <c r="M80" i="35" s="1"/>
  <c r="F90" i="34"/>
  <c r="G90" i="34" s="1"/>
  <c r="H90" i="34" s="1"/>
  <c r="I90" i="34" s="1"/>
  <c r="J90" i="34" s="1"/>
  <c r="K90" i="34" s="1"/>
  <c r="L90" i="34" s="1"/>
  <c r="M90" i="34" s="1"/>
  <c r="F27" i="34"/>
  <c r="S27" i="34" s="1"/>
  <c r="AA43" i="39"/>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J10" i="33"/>
  <c r="AC10" i="33" s="1"/>
  <c r="U40" i="21"/>
  <c r="U11" i="37"/>
  <c r="AC16" i="35"/>
  <c r="J11" i="34"/>
  <c r="W11" i="34" s="1"/>
  <c r="S17" i="34"/>
  <c r="F25" i="40"/>
  <c r="AA25" i="40" s="1"/>
  <c r="J11" i="33"/>
  <c r="W11" i="33" s="1"/>
  <c r="H33" i="37"/>
  <c r="AB33" i="37" s="1"/>
  <c r="W15" i="34"/>
  <c r="U20" i="35"/>
  <c r="AB20" i="35"/>
  <c r="W23" i="40"/>
  <c r="D73" i="9"/>
  <c r="N73" i="9" s="1"/>
  <c r="AP11" i="1"/>
  <c r="B11" i="1"/>
  <c r="E11" i="1" s="1"/>
  <c r="K11" i="1"/>
  <c r="M11" i="1" s="1"/>
  <c r="B9" i="1"/>
  <c r="E9" i="1" s="1"/>
  <c r="K9" i="1"/>
  <c r="M9" i="1" s="1"/>
  <c r="O9" i="1" s="1"/>
  <c r="B7" i="1"/>
  <c r="E7" i="1" s="1"/>
  <c r="K7" i="1"/>
  <c r="M7" i="1" s="1"/>
  <c r="C20" i="43"/>
  <c r="F6" i="1"/>
  <c r="AP6" i="1" s="1"/>
  <c r="G11" i="1"/>
  <c r="M22" i="44"/>
  <c r="F32" i="15"/>
  <c r="F59" i="15" s="1"/>
  <c r="F29" i="12"/>
  <c r="F70" i="9"/>
  <c r="D86" i="9"/>
  <c r="M20" i="44"/>
  <c r="F31" i="43"/>
  <c r="F30" i="44"/>
  <c r="AC25" i="36"/>
  <c r="S8" i="36"/>
  <c r="AA26" i="36"/>
  <c r="AA28" i="36"/>
  <c r="U25" i="36"/>
  <c r="H20" i="36"/>
  <c r="U20" i="36" s="1"/>
  <c r="F68" i="36"/>
  <c r="G68" i="36" s="1"/>
  <c r="J20" i="36"/>
  <c r="AC20" i="36" s="1"/>
  <c r="F20" i="36"/>
  <c r="S20" i="36" s="1"/>
  <c r="F62" i="36"/>
  <c r="G62" i="36" s="1"/>
  <c r="J14" i="36"/>
  <c r="AC14" i="36" s="1"/>
  <c r="H14" i="36"/>
  <c r="F14" i="36"/>
  <c r="AA14" i="36" s="1"/>
  <c r="W20" i="36"/>
  <c r="U27" i="36"/>
  <c r="U9" i="36"/>
  <c r="AA27" i="36"/>
  <c r="S29" i="36"/>
  <c r="AC33" i="35"/>
  <c r="U22" i="35"/>
  <c r="AA13" i="35"/>
  <c r="AC9" i="35"/>
  <c r="S8" i="35"/>
  <c r="U33" i="35"/>
  <c r="W20" i="35"/>
  <c r="S23" i="35"/>
  <c r="S16" i="35"/>
  <c r="AB14" i="35"/>
  <c r="AC10" i="35"/>
  <c r="U9" i="35"/>
  <c r="AC18" i="35"/>
  <c r="W18" i="35"/>
  <c r="U18" i="35"/>
  <c r="AB18" i="35"/>
  <c r="S30" i="35"/>
  <c r="AB30" i="35"/>
  <c r="S27" i="35"/>
  <c r="S28" i="35"/>
  <c r="J26" i="35"/>
  <c r="F26" i="35"/>
  <c r="AA26" i="35" s="1"/>
  <c r="H26" i="35"/>
  <c r="AB9" i="37"/>
  <c r="W12" i="37"/>
  <c r="AA9" i="37"/>
  <c r="S17" i="37"/>
  <c r="W28" i="37"/>
  <c r="AB37" i="37"/>
  <c r="AA31" i="37"/>
  <c r="S33" i="37"/>
  <c r="AA33" i="37"/>
  <c r="AA32" i="37"/>
  <c r="J33" i="37"/>
  <c r="W33" i="37" s="1"/>
  <c r="H99" i="37"/>
  <c r="I99" i="37" s="1"/>
  <c r="J99" i="37" s="1"/>
  <c r="K99" i="37" s="1"/>
  <c r="L99" i="37" s="1"/>
  <c r="M99" i="37" s="1"/>
  <c r="J19" i="37"/>
  <c r="AC19" i="37" s="1"/>
  <c r="G75" i="37"/>
  <c r="F19" i="37"/>
  <c r="AA19" i="37" s="1"/>
  <c r="H19" i="37"/>
  <c r="AB19" i="37" s="1"/>
  <c r="J17" i="37"/>
  <c r="S15" i="37"/>
  <c r="AC10" i="37"/>
  <c r="AC21" i="37"/>
  <c r="W21" i="37"/>
  <c r="AC11" i="37"/>
  <c r="AC9" i="37"/>
  <c r="W32" i="37"/>
  <c r="U35" i="37"/>
  <c r="U8" i="37"/>
  <c r="AB21" i="37"/>
  <c r="U21" i="37"/>
  <c r="S37" i="37"/>
  <c r="S10" i="37"/>
  <c r="W46" i="34"/>
  <c r="AC45" i="34"/>
  <c r="W33" i="34"/>
  <c r="S32" i="34"/>
  <c r="AB33" i="34"/>
  <c r="AA12" i="34"/>
  <c r="AA30" i="34"/>
  <c r="AC32" i="34"/>
  <c r="AA33" i="34"/>
  <c r="U34" i="34"/>
  <c r="U28" i="34"/>
  <c r="AA27" i="34"/>
  <c r="J25" i="34"/>
  <c r="H25" i="34"/>
  <c r="U25" i="34" s="1"/>
  <c r="F25" i="34"/>
  <c r="J23" i="34"/>
  <c r="AC23" i="34" s="1"/>
  <c r="F86" i="34"/>
  <c r="G86" i="34" s="1"/>
  <c r="F23" i="34"/>
  <c r="AA23" i="34" s="1"/>
  <c r="H23" i="34"/>
  <c r="W17" i="34"/>
  <c r="U11" i="34"/>
  <c r="W10" i="34"/>
  <c r="U10" i="34"/>
  <c r="W37" i="34"/>
  <c r="AC40" i="34"/>
  <c r="W44" i="34"/>
  <c r="AC21" i="34"/>
  <c r="W21" i="34"/>
  <c r="U15" i="34"/>
  <c r="AB21" i="34"/>
  <c r="U21" i="34"/>
  <c r="U27" i="34"/>
  <c r="AB41" i="34"/>
  <c r="AA41" i="34"/>
  <c r="S9" i="34"/>
  <c r="S10" i="34"/>
  <c r="U39" i="33"/>
  <c r="U37" i="33"/>
  <c r="S35" i="33"/>
  <c r="W34" i="33"/>
  <c r="AB41" i="33"/>
  <c r="AC35" i="33"/>
  <c r="S29" i="33"/>
  <c r="W43" i="33"/>
  <c r="U35" i="33"/>
  <c r="H25" i="33"/>
  <c r="AB25" i="33" s="1"/>
  <c r="J25" i="33"/>
  <c r="W25" i="33" s="1"/>
  <c r="F87" i="33"/>
  <c r="G87" i="33" s="1"/>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B15" i="33"/>
  <c r="S10" i="33"/>
  <c r="S14" i="33"/>
  <c r="W10" i="33"/>
  <c r="AC21" i="33"/>
  <c r="W21" i="33"/>
  <c r="W14" i="33"/>
  <c r="AB10" i="33"/>
  <c r="AB21" i="33"/>
  <c r="U21" i="33"/>
  <c r="AA21" i="33"/>
  <c r="S21" i="33"/>
  <c r="AA44" i="33"/>
  <c r="AA36" i="33"/>
  <c r="W39" i="21"/>
  <c r="AC34" i="21"/>
  <c r="W32" i="21"/>
  <c r="W43" i="21"/>
  <c r="S42" i="21"/>
  <c r="AB37" i="21"/>
  <c r="AB32" i="21"/>
  <c r="AC46" i="21"/>
  <c r="AC26" i="21"/>
  <c r="F85" i="21"/>
  <c r="G85" i="21" s="1"/>
  <c r="J23" i="21"/>
  <c r="W23" i="21" s="1"/>
  <c r="F23" i="21"/>
  <c r="AA23" i="21" s="1"/>
  <c r="H23" i="21"/>
  <c r="AA17" i="21"/>
  <c r="F15" i="21"/>
  <c r="S15" i="21" s="1"/>
  <c r="F77" i="21"/>
  <c r="G77" i="21" s="1"/>
  <c r="J15" i="21"/>
  <c r="W15" i="21" s="1"/>
  <c r="H15" i="21"/>
  <c r="AC11" i="21"/>
  <c r="AB11" i="21"/>
  <c r="W13" i="21"/>
  <c r="AC23" i="21"/>
  <c r="AC21" i="21"/>
  <c r="W21" i="21"/>
  <c r="AC19" i="21"/>
  <c r="W10" i="21"/>
  <c r="AC38" i="21"/>
  <c r="AB21" i="21"/>
  <c r="U21" i="21"/>
  <c r="AB29" i="21"/>
  <c r="AA30" i="21"/>
  <c r="AA31" i="21"/>
  <c r="W33" i="40"/>
  <c r="U33" i="40"/>
  <c r="S35" i="40"/>
  <c r="S14" i="40"/>
  <c r="S15" i="40"/>
  <c r="AB13" i="40"/>
  <c r="W11" i="40"/>
  <c r="AA21" i="40"/>
  <c r="U21" i="40"/>
  <c r="W25" i="40"/>
  <c r="U25" i="40"/>
  <c r="U35" i="40"/>
  <c r="F37" i="40"/>
  <c r="J37" i="40"/>
  <c r="AC37" i="40" s="1"/>
  <c r="H37" i="40"/>
  <c r="U37" i="40" s="1"/>
  <c r="G113" i="40"/>
  <c r="H113" i="40" s="1"/>
  <c r="I113" i="40" s="1"/>
  <c r="J113" i="40" s="1"/>
  <c r="K113" i="40" s="1"/>
  <c r="L113" i="40" s="1"/>
  <c r="M113" i="40" s="1"/>
  <c r="F39" i="40"/>
  <c r="AA39" i="40" s="1"/>
  <c r="H39" i="40"/>
  <c r="AB39" i="40" s="1"/>
  <c r="J39" i="40"/>
  <c r="W38" i="40"/>
  <c r="F29" i="40"/>
  <c r="H29" i="40"/>
  <c r="U29" i="40" s="1"/>
  <c r="J29" i="40"/>
  <c r="F98" i="40"/>
  <c r="G98" i="40" s="1"/>
  <c r="H98" i="40" s="1"/>
  <c r="I98" i="40" s="1"/>
  <c r="J98" i="40" s="1"/>
  <c r="K98" i="40" s="1"/>
  <c r="L98" i="40" s="1"/>
  <c r="M98" i="40" s="1"/>
  <c r="S30" i="40"/>
  <c r="AA23" i="40"/>
  <c r="F19" i="40"/>
  <c r="AA19" i="40" s="1"/>
  <c r="H19" i="40"/>
  <c r="J19" i="40"/>
  <c r="W19" i="40" s="1"/>
  <c r="W17" i="40"/>
  <c r="AC17" i="40"/>
  <c r="F17" i="40"/>
  <c r="AA17" i="40"/>
  <c r="H17" i="40"/>
  <c r="AB17" i="40"/>
  <c r="AB40" i="40"/>
  <c r="U10" i="40"/>
  <c r="U27" i="40"/>
  <c r="AB27" i="40"/>
  <c r="S11" i="39"/>
  <c r="AA21" i="39"/>
  <c r="AC38" i="39"/>
  <c r="S29" i="39"/>
  <c r="AC21" i="39"/>
  <c r="S14" i="39"/>
  <c r="U11" i="39"/>
  <c r="AB38" i="39"/>
  <c r="U31" i="39"/>
  <c r="AB31" i="39"/>
  <c r="S38" i="39"/>
  <c r="M20" i="15"/>
  <c r="D96" i="9"/>
  <c r="F28" i="15"/>
  <c r="M18" i="15"/>
  <c r="A18" i="64"/>
  <c r="B74" i="63" s="1"/>
  <c r="C53" i="10"/>
  <c r="A25" i="64" s="1"/>
  <c r="A18" i="51"/>
  <c r="B14" i="63" s="1"/>
  <c r="BA16" i="3"/>
  <c r="BA17" i="3"/>
  <c r="AZ17" i="3" s="1"/>
  <c r="F3" i="35"/>
  <c r="K1" i="43"/>
  <c r="K1" i="12"/>
  <c r="G1" i="44"/>
  <c r="I4" i="6"/>
  <c r="G3" i="46" s="1"/>
  <c r="AE11" i="46" s="1"/>
  <c r="AZ15" i="3"/>
  <c r="BK5" i="3"/>
  <c r="BP5" i="3"/>
  <c r="BL18" i="3"/>
  <c r="BC5" i="3"/>
  <c r="BD5" i="3"/>
  <c r="BS5" i="3"/>
  <c r="BL16" i="3"/>
  <c r="AZ16" i="3" s="1"/>
  <c r="BA13" i="3"/>
  <c r="H52" i="46"/>
  <c r="G28" i="12"/>
  <c r="G22" i="43"/>
  <c r="G26" i="12"/>
  <c r="D24" i="44"/>
  <c r="D26" i="44"/>
  <c r="G27" i="12"/>
  <c r="G23" i="43"/>
  <c r="G21" i="43"/>
  <c r="H54" i="46"/>
  <c r="H55"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I17" i="46"/>
  <c r="E17" i="46"/>
  <c r="D71" i="46"/>
  <c r="D84" i="46"/>
  <c r="E80" i="46"/>
  <c r="B78" i="46" s="1"/>
  <c r="D69" i="46"/>
  <c r="E47" i="46"/>
  <c r="B45" i="46" s="1"/>
  <c r="E58" i="46"/>
  <c r="B56" i="46" s="1"/>
  <c r="A4" i="64"/>
  <c r="A4" i="51"/>
  <c r="B6" i="63" s="1"/>
  <c r="C51" i="10"/>
  <c r="A9" i="51" s="1"/>
  <c r="B9" i="63" s="1"/>
  <c r="H58" i="46"/>
  <c r="H61" i="46"/>
  <c r="H62" i="46"/>
  <c r="H75" i="46"/>
  <c r="I100" i="46"/>
  <c r="C24" i="46"/>
  <c r="N100" i="46"/>
  <c r="H100" i="46"/>
  <c r="F108" i="46"/>
  <c r="H80" i="46"/>
  <c r="AB11" i="46"/>
  <c r="AB13" i="46" s="1"/>
  <c r="E100" i="46"/>
  <c r="G100" i="46"/>
  <c r="H84" i="46"/>
  <c r="H65" i="46"/>
  <c r="H66" i="46"/>
  <c r="C100" i="46"/>
  <c r="J100" i="46"/>
  <c r="M100" i="46"/>
  <c r="AA12" i="36"/>
  <c r="W11" i="35"/>
  <c r="S14" i="37"/>
  <c r="S13" i="21"/>
  <c r="C24" i="9"/>
  <c r="C25" i="9"/>
  <c r="AP7" i="1"/>
  <c r="G7" i="1"/>
  <c r="AP9" i="1"/>
  <c r="G9" i="1"/>
  <c r="AP8" i="1"/>
  <c r="G8" i="1"/>
  <c r="I20" i="46"/>
  <c r="C20" i="46" s="1"/>
  <c r="L5" i="54"/>
  <c r="B39" i="63" s="1"/>
  <c r="K5" i="54"/>
  <c r="B38" i="63" s="1"/>
  <c r="T41" i="4"/>
  <c r="A17" i="64" s="1"/>
  <c r="B46" i="50"/>
  <c r="B4" i="63" s="1"/>
  <c r="C46" i="36"/>
  <c r="D46" i="36" s="1"/>
  <c r="E46" i="36" s="1"/>
  <c r="F46" i="36" s="1"/>
  <c r="G46" i="36" s="1"/>
  <c r="H46" i="36" s="1"/>
  <c r="I46" i="36" s="1"/>
  <c r="J46" i="36" s="1"/>
  <c r="K46" i="36" s="1"/>
  <c r="C59" i="34"/>
  <c r="D59" i="34" s="1"/>
  <c r="C48" i="35"/>
  <c r="C52" i="37"/>
  <c r="C67" i="40"/>
  <c r="D65" i="40"/>
  <c r="D67" i="40" s="1"/>
  <c r="C72" i="39"/>
  <c r="D70" i="39"/>
  <c r="E70" i="39" s="1"/>
  <c r="F70" i="39" s="1"/>
  <c r="F72" i="39" s="1"/>
  <c r="O19" i="46"/>
  <c r="H77" i="46"/>
  <c r="H73" i="46"/>
  <c r="H69" i="46"/>
  <c r="H74" i="46"/>
  <c r="H86" i="46"/>
  <c r="H82" i="46"/>
  <c r="H63" i="46"/>
  <c r="H59" i="46"/>
  <c r="H64" i="46"/>
  <c r="H60" i="46"/>
  <c r="H10" i="48"/>
  <c r="H87" i="46"/>
  <c r="H85" i="46"/>
  <c r="H83" i="46"/>
  <c r="O13" i="1"/>
  <c r="P13" i="1" s="1"/>
  <c r="K10" i="1"/>
  <c r="M10" i="1" s="1"/>
  <c r="O10" i="1" s="1"/>
  <c r="S11" i="1"/>
  <c r="R11" i="1"/>
  <c r="S13" i="1"/>
  <c r="R13" i="1"/>
  <c r="B6" i="1"/>
  <c r="E6" i="1"/>
  <c r="B10" i="1"/>
  <c r="E10" i="1"/>
  <c r="S10" i="1"/>
  <c r="B8" i="1"/>
  <c r="E8" i="1" s="1"/>
  <c r="B12" i="1"/>
  <c r="E12" i="1" s="1"/>
  <c r="S12" i="1"/>
  <c r="K6" i="1"/>
  <c r="M6" i="1" s="1"/>
  <c r="O6" i="1" s="1"/>
  <c r="O11" i="1"/>
  <c r="O12" i="1"/>
  <c r="P12" i="1" s="1"/>
  <c r="G1" i="15"/>
  <c r="F66" i="36"/>
  <c r="H18" i="36"/>
  <c r="AB18" i="36" s="1"/>
  <c r="U16" i="36"/>
  <c r="S25" i="36"/>
  <c r="AA34" i="36"/>
  <c r="AC27" i="36"/>
  <c r="W28" i="36"/>
  <c r="AA32" i="36"/>
  <c r="U13" i="36"/>
  <c r="AA22" i="36"/>
  <c r="U10" i="36"/>
  <c r="AA13" i="36"/>
  <c r="W9" i="36"/>
  <c r="S9" i="36"/>
  <c r="W8" i="36"/>
  <c r="AC30" i="35"/>
  <c r="U24" i="35"/>
  <c r="S24" i="35"/>
  <c r="AA33" i="35"/>
  <c r="U32" i="35"/>
  <c r="W22" i="35"/>
  <c r="W34" i="35"/>
  <c r="S32" i="35"/>
  <c r="W35" i="37"/>
  <c r="AC33" i="37"/>
  <c r="U33" i="37"/>
  <c r="AC15" i="37"/>
  <c r="S12" i="37"/>
  <c r="W38" i="37"/>
  <c r="W36" i="37"/>
  <c r="S28" i="37"/>
  <c r="U38" i="37"/>
  <c r="AA31" i="34"/>
  <c r="AB35" i="34"/>
  <c r="W47" i="34"/>
  <c r="AB47" i="34"/>
  <c r="AB13" i="34"/>
  <c r="AC13" i="34"/>
  <c r="S47" i="34"/>
  <c r="AA29" i="34"/>
  <c r="S19" i="34"/>
  <c r="S8" i="34"/>
  <c r="AC25" i="33"/>
  <c r="S43" i="33"/>
  <c r="AB42" i="33"/>
  <c r="AB14" i="33"/>
  <c r="AB12" i="33"/>
  <c r="S15" i="33"/>
  <c r="AB25" i="21"/>
  <c r="AB45" i="21"/>
  <c r="W25" i="21"/>
  <c r="AA25" i="21"/>
  <c r="AC37" i="21"/>
  <c r="AA29" i="21"/>
  <c r="U27" i="21"/>
  <c r="W31" i="21"/>
  <c r="S27" i="21"/>
  <c r="AC27" i="21"/>
  <c r="W29" i="21"/>
  <c r="G96" i="40"/>
  <c r="J27" i="40"/>
  <c r="W37" i="40"/>
  <c r="S17" i="40"/>
  <c r="W30" i="40"/>
  <c r="S34" i="40"/>
  <c r="U17" i="40"/>
  <c r="U38" i="40"/>
  <c r="S40" i="40"/>
  <c r="S42" i="40"/>
  <c r="G105" i="39"/>
  <c r="J31" i="39"/>
  <c r="W31" i="39" s="1"/>
  <c r="AB33" i="39"/>
  <c r="S34" i="39"/>
  <c r="W42" i="39"/>
  <c r="W36" i="39"/>
  <c r="AC37" i="39"/>
  <c r="S15" i="39"/>
  <c r="S41" i="39"/>
  <c r="AA46" i="39"/>
  <c r="W10" i="39"/>
  <c r="W11" i="39"/>
  <c r="U42" i="39"/>
  <c r="W40" i="39"/>
  <c r="S32" i="40"/>
  <c r="C27" i="39"/>
  <c r="C17" i="40"/>
  <c r="C19" i="40"/>
  <c r="C17" i="39"/>
  <c r="C19" i="39"/>
  <c r="C21" i="39"/>
  <c r="C23" i="40"/>
  <c r="B48" i="46"/>
  <c r="B51" i="46"/>
  <c r="B55" i="46"/>
  <c r="B59" i="46"/>
  <c r="B62" i="46"/>
  <c r="B66" i="46"/>
  <c r="B53" i="46"/>
  <c r="B64" i="46"/>
  <c r="D24" i="15"/>
  <c r="AJ11" i="46"/>
  <c r="AJ13" i="46" s="1"/>
  <c r="AG11" i="46"/>
  <c r="AG13" i="46" s="1"/>
  <c r="M101" i="46"/>
  <c r="M103" i="46" s="1"/>
  <c r="S14" i="36"/>
  <c r="AB20" i="36"/>
  <c r="AA20" i="36"/>
  <c r="W14" i="36"/>
  <c r="U14" i="36"/>
  <c r="AB14" i="36"/>
  <c r="S26" i="35"/>
  <c r="U26" i="35"/>
  <c r="AB26" i="35"/>
  <c r="W26" i="35"/>
  <c r="AC26" i="35"/>
  <c r="S19" i="37"/>
  <c r="W19" i="37"/>
  <c r="U19" i="37"/>
  <c r="AC17" i="37"/>
  <c r="W17" i="37"/>
  <c r="AB25" i="34"/>
  <c r="AA25" i="34"/>
  <c r="S25" i="34"/>
  <c r="W25" i="34"/>
  <c r="AC25" i="34"/>
  <c r="U23" i="34"/>
  <c r="AB23" i="34"/>
  <c r="S23" i="34"/>
  <c r="W23" i="34"/>
  <c r="AA25" i="33"/>
  <c r="S25" i="33"/>
  <c r="AB23" i="33"/>
  <c r="AC23" i="33"/>
  <c r="S23" i="33"/>
  <c r="AA23" i="33"/>
  <c r="AC17" i="33"/>
  <c r="S17" i="33"/>
  <c r="U17" i="33"/>
  <c r="AB17" i="33"/>
  <c r="U23" i="21"/>
  <c r="AB23" i="21"/>
  <c r="S23" i="21"/>
  <c r="U15" i="21"/>
  <c r="AB15" i="21"/>
  <c r="AC15" i="21"/>
  <c r="U39" i="40"/>
  <c r="AC39" i="40"/>
  <c r="W39" i="40"/>
  <c r="S39" i="40"/>
  <c r="AB37" i="40"/>
  <c r="AA37" i="40"/>
  <c r="S37" i="40"/>
  <c r="AB29" i="40"/>
  <c r="AC29" i="40"/>
  <c r="W29" i="40"/>
  <c r="AA29" i="40"/>
  <c r="S29" i="40"/>
  <c r="AC19" i="40"/>
  <c r="S19" i="40"/>
  <c r="AB19" i="40"/>
  <c r="U19" i="40"/>
  <c r="AC27" i="40"/>
  <c r="W27" i="40"/>
  <c r="H16" i="1"/>
  <c r="H70" i="46"/>
  <c r="H72" i="46"/>
  <c r="A9" i="64"/>
  <c r="A25" i="51"/>
  <c r="B18" i="63" s="1"/>
  <c r="E65" i="40"/>
  <c r="F65" i="40" s="1"/>
  <c r="E4" i="4"/>
  <c r="C4" i="4"/>
  <c r="B20" i="55" s="1"/>
  <c r="B70" i="63" s="1"/>
  <c r="G66" i="36"/>
  <c r="J18" i="36"/>
  <c r="W18" i="36" s="1"/>
  <c r="AE8" i="1"/>
  <c r="AE7" i="1"/>
  <c r="AG6" i="1"/>
  <c r="L20" i="6"/>
  <c r="L19" i="6"/>
  <c r="B21" i="55"/>
  <c r="B72" i="63"/>
  <c r="E67" i="40"/>
  <c r="E72" i="39"/>
  <c r="L27" i="6"/>
  <c r="S7" i="1"/>
  <c r="S8" i="1"/>
  <c r="S9" i="1"/>
  <c r="R9" i="1"/>
  <c r="R7" i="1"/>
  <c r="R8" i="1"/>
  <c r="C45" i="9"/>
  <c r="H14" i="66" s="1"/>
  <c r="B7" i="66" s="1"/>
  <c r="K31" i="9"/>
  <c r="K32" i="9" s="1"/>
  <c r="N76" i="9"/>
  <c r="C46" i="9"/>
  <c r="K33" i="9" s="1"/>
  <c r="N6" i="65"/>
  <c r="M28" i="44"/>
  <c r="B8" i="67"/>
  <c r="F39" i="44"/>
  <c r="F40" i="44"/>
  <c r="N4" i="65"/>
  <c r="L48" i="44"/>
  <c r="E10" i="67"/>
  <c r="E14" i="67"/>
  <c r="F11" i="67"/>
  <c r="F45" i="44"/>
  <c r="F10" i="67"/>
  <c r="M11" i="44"/>
  <c r="I5" i="65"/>
  <c r="M30" i="44"/>
  <c r="B9" i="67"/>
  <c r="F38" i="44"/>
  <c r="F15" i="44"/>
  <c r="M25" i="44"/>
  <c r="J7" i="65"/>
  <c r="E11" i="67"/>
  <c r="M31" i="44"/>
  <c r="F10" i="44"/>
  <c r="F37" i="44"/>
  <c r="E12" i="67"/>
  <c r="L49" i="44"/>
  <c r="M23" i="44"/>
  <c r="I4" i="65"/>
  <c r="I3" i="65"/>
  <c r="M8" i="44"/>
  <c r="F28" i="44"/>
  <c r="I7" i="65"/>
  <c r="C19" i="44"/>
  <c r="E9" i="67"/>
  <c r="I6" i="65"/>
  <c r="F46" i="44"/>
  <c r="N3" i="65"/>
  <c r="M26" i="44"/>
  <c r="F14" i="67"/>
  <c r="F43" i="15"/>
  <c r="E8" i="67"/>
  <c r="B14" i="67"/>
  <c r="F12" i="67"/>
  <c r="B12" i="67"/>
  <c r="M27" i="15"/>
  <c r="F9" i="67"/>
  <c r="F18" i="44"/>
  <c r="M29" i="44"/>
  <c r="M6" i="15"/>
  <c r="B11" i="67"/>
  <c r="J3" i="65"/>
  <c r="F38" i="15"/>
  <c r="J5" i="65"/>
  <c r="N5" i="65"/>
  <c r="F13" i="67"/>
  <c r="M24" i="15"/>
  <c r="B13" i="67"/>
  <c r="M28" i="15"/>
  <c r="F36" i="15"/>
  <c r="M10" i="44"/>
  <c r="N7" i="65"/>
  <c r="M9" i="15"/>
  <c r="F26" i="15"/>
  <c r="J36" i="15"/>
  <c r="F43" i="44"/>
  <c r="F11" i="44"/>
  <c r="F8" i="44"/>
  <c r="F8" i="67"/>
  <c r="J15" i="15"/>
  <c r="M24" i="44"/>
  <c r="J4" i="65"/>
  <c r="F40" i="15"/>
  <c r="M26" i="15"/>
  <c r="E13" i="67"/>
  <c r="J17" i="44"/>
  <c r="F16" i="15"/>
  <c r="B10" i="67"/>
  <c r="F9" i="44"/>
  <c r="J6" i="65"/>
  <c r="M23" i="15"/>
  <c r="M29" i="15"/>
  <c r="F8" i="15"/>
  <c r="AZ485" i="3" l="1"/>
  <c r="B20" i="31"/>
  <c r="R22" i="31"/>
  <c r="B21" i="31" s="1"/>
  <c r="E53" i="40"/>
  <c r="E58" i="39"/>
  <c r="F27" i="6"/>
  <c r="AB14" i="39"/>
  <c r="U14" i="39"/>
  <c r="AA16" i="39"/>
  <c r="S16" i="39"/>
  <c r="AA45" i="39"/>
  <c r="S45" i="39"/>
  <c r="AB47" i="39"/>
  <c r="U47" i="39"/>
  <c r="AZ564" i="3"/>
  <c r="AZ562" i="3"/>
  <c r="AZ503" i="3"/>
  <c r="AZ506" i="3"/>
  <c r="AB12" i="37"/>
  <c r="U12" i="37"/>
  <c r="W23" i="37"/>
  <c r="AC23" i="37"/>
  <c r="AA39" i="33"/>
  <c r="S39" i="33"/>
  <c r="AZ532" i="3"/>
  <c r="AZ555" i="3"/>
  <c r="AC25" i="35"/>
  <c r="W25" i="35"/>
  <c r="AA46" i="33"/>
  <c r="S46" i="33"/>
  <c r="W29" i="33"/>
  <c r="AC29" i="33"/>
  <c r="W28" i="34"/>
  <c r="AC28" i="34"/>
  <c r="AB9" i="21"/>
  <c r="U9" i="21"/>
  <c r="S38" i="21"/>
  <c r="AA38" i="21"/>
  <c r="AC5" i="3"/>
  <c r="AB33" i="33"/>
  <c r="U33" i="33"/>
  <c r="AC42" i="33"/>
  <c r="W42" i="33"/>
  <c r="F28" i="33"/>
  <c r="J28" i="33"/>
  <c r="H13" i="37"/>
  <c r="J13" i="37"/>
  <c r="H26" i="37"/>
  <c r="F26" i="37"/>
  <c r="H40" i="37"/>
  <c r="U40" i="37" s="1"/>
  <c r="F40" i="37"/>
  <c r="AC39" i="37"/>
  <c r="W39" i="37"/>
  <c r="AB34" i="37"/>
  <c r="U34" i="37"/>
  <c r="AC31" i="35"/>
  <c r="W31" i="35"/>
  <c r="BA565" i="3"/>
  <c r="AZ565" i="3" s="1"/>
  <c r="BL559" i="3"/>
  <c r="BA559" i="3"/>
  <c r="BL557" i="3"/>
  <c r="AZ557" i="3" s="1"/>
  <c r="BA528" i="3"/>
  <c r="AZ528" i="3" s="1"/>
  <c r="BL527" i="3"/>
  <c r="AZ527" i="3" s="1"/>
  <c r="BL514" i="3"/>
  <c r="AZ514" i="3" s="1"/>
  <c r="BL511" i="3"/>
  <c r="AZ511" i="3" s="1"/>
  <c r="BA505" i="3"/>
  <c r="AZ505" i="3" s="1"/>
  <c r="BA502" i="3"/>
  <c r="AZ502" i="3" s="1"/>
  <c r="AC18" i="36"/>
  <c r="AZ379" i="3"/>
  <c r="AZ572" i="3"/>
  <c r="AZ561" i="3"/>
  <c r="W45" i="33"/>
  <c r="AC45" i="33"/>
  <c r="AA46" i="21"/>
  <c r="S46" i="21"/>
  <c r="U36" i="34"/>
  <c r="AB36" i="34"/>
  <c r="AA22" i="35"/>
  <c r="S22" i="35"/>
  <c r="AB32" i="33"/>
  <c r="U32" i="33"/>
  <c r="W33" i="21"/>
  <c r="AC33" i="21"/>
  <c r="AB39" i="21"/>
  <c r="U39" i="21"/>
  <c r="BL13" i="3"/>
  <c r="BH5" i="3"/>
  <c r="W8" i="33"/>
  <c r="AC8" i="33"/>
  <c r="AC40" i="33"/>
  <c r="W40" i="33"/>
  <c r="BA566" i="3"/>
  <c r="AZ566" i="3" s="1"/>
  <c r="BA560" i="3"/>
  <c r="BA556" i="3"/>
  <c r="BA536" i="3"/>
  <c r="AZ536" i="3" s="1"/>
  <c r="BL533" i="3"/>
  <c r="AZ533" i="3" s="1"/>
  <c r="BA512" i="3"/>
  <c r="AZ512" i="3" s="1"/>
  <c r="BL484" i="3"/>
  <c r="BA484" i="3"/>
  <c r="BL482" i="3"/>
  <c r="AZ482" i="3" s="1"/>
  <c r="I14" i="66"/>
  <c r="B8" i="66" s="1"/>
  <c r="A3" i="55"/>
  <c r="B56" i="63" s="1"/>
  <c r="A17" i="51"/>
  <c r="B13" i="63" s="1"/>
  <c r="I101" i="46"/>
  <c r="E22" i="46"/>
  <c r="AF11" i="46"/>
  <c r="AF13" i="46" s="1"/>
  <c r="G6" i="1"/>
  <c r="W34" i="39"/>
  <c r="AA44" i="39"/>
  <c r="AC46" i="39"/>
  <c r="AB43" i="39"/>
  <c r="AA15" i="21"/>
  <c r="S39" i="21"/>
  <c r="AA19" i="33"/>
  <c r="W32" i="35"/>
  <c r="W29" i="36"/>
  <c r="AA11" i="35"/>
  <c r="E69" i="46"/>
  <c r="B67" i="46" s="1"/>
  <c r="C7" i="46"/>
  <c r="H51" i="46"/>
  <c r="H50" i="46"/>
  <c r="H53" i="46"/>
  <c r="H48" i="46"/>
  <c r="BM5" i="3"/>
  <c r="F29" i="6" s="1"/>
  <c r="E29" i="6" s="1"/>
  <c r="K15" i="1" s="1"/>
  <c r="BN5" i="3"/>
  <c r="G29" i="6" s="1"/>
  <c r="AB15" i="39"/>
  <c r="AB45" i="39"/>
  <c r="W21" i="40"/>
  <c r="S25" i="40"/>
  <c r="S38" i="40"/>
  <c r="W42" i="40"/>
  <c r="S16" i="40"/>
  <c r="U15" i="40"/>
  <c r="AA11" i="21"/>
  <c r="W17" i="21"/>
  <c r="W28" i="21"/>
  <c r="AA37" i="21"/>
  <c r="U35" i="21"/>
  <c r="AB34" i="33"/>
  <c r="W39" i="33"/>
  <c r="U36" i="33"/>
  <c r="AC12" i="33"/>
  <c r="S13" i="34"/>
  <c r="U19" i="34"/>
  <c r="W19" i="34"/>
  <c r="U44" i="34"/>
  <c r="AC35" i="34"/>
  <c r="U30" i="34"/>
  <c r="AA40" i="34"/>
  <c r="AA11" i="37"/>
  <c r="S29" i="37"/>
  <c r="U32" i="37"/>
  <c r="AA35" i="35"/>
  <c r="W13" i="35"/>
  <c r="S16" i="36"/>
  <c r="S33" i="36"/>
  <c r="U32" i="36"/>
  <c r="AC36" i="33"/>
  <c r="AA19" i="39"/>
  <c r="W14" i="35"/>
  <c r="U11" i="36"/>
  <c r="AA34" i="33"/>
  <c r="AB23" i="40"/>
  <c r="AA11" i="34"/>
  <c r="AC13" i="33"/>
  <c r="W12" i="34"/>
  <c r="AA11" i="36"/>
  <c r="U39" i="39"/>
  <c r="AB37" i="39"/>
  <c r="AC47" i="39"/>
  <c r="AB14" i="40"/>
  <c r="H16" i="40"/>
  <c r="J14" i="40"/>
  <c r="J16" i="40"/>
  <c r="J45" i="39"/>
  <c r="J16" i="39"/>
  <c r="AZ523" i="3"/>
  <c r="AB29" i="37"/>
  <c r="AB28" i="35"/>
  <c r="G13" i="3"/>
  <c r="W9" i="21"/>
  <c r="U26" i="21"/>
  <c r="S30" i="36"/>
  <c r="S24" i="36"/>
  <c r="AA36" i="35"/>
  <c r="AB15" i="37"/>
  <c r="AZ381" i="3"/>
  <c r="S23" i="37"/>
  <c r="AA23" i="37"/>
  <c r="AZ20" i="3"/>
  <c r="BL488" i="3"/>
  <c r="AZ488" i="3" s="1"/>
  <c r="BL508" i="3"/>
  <c r="AZ508" i="3" s="1"/>
  <c r="BL558" i="3"/>
  <c r="AZ558" i="3" s="1"/>
  <c r="AZ516" i="3"/>
  <c r="AB44" i="21"/>
  <c r="H28" i="37"/>
  <c r="F13" i="37"/>
  <c r="U28" i="36"/>
  <c r="AB28" i="36"/>
  <c r="U31" i="33"/>
  <c r="AB31" i="33"/>
  <c r="H28" i="33"/>
  <c r="S42" i="34"/>
  <c r="S38" i="33"/>
  <c r="U42" i="34"/>
  <c r="AA39" i="37"/>
  <c r="U16" i="35"/>
  <c r="AB16" i="35"/>
  <c r="W38" i="33"/>
  <c r="W39" i="34"/>
  <c r="U12" i="21"/>
  <c r="AB12" i="21"/>
  <c r="F12" i="21"/>
  <c r="J12" i="21"/>
  <c r="J14" i="21"/>
  <c r="H14" i="21"/>
  <c r="U14" i="21" s="1"/>
  <c r="S28" i="21"/>
  <c r="AA28" i="21"/>
  <c r="J44" i="21"/>
  <c r="F44" i="21"/>
  <c r="AB42" i="21"/>
  <c r="U42" i="21"/>
  <c r="S9" i="21"/>
  <c r="AA9" i="21"/>
  <c r="AC33" i="33"/>
  <c r="W33" i="33"/>
  <c r="J26" i="33"/>
  <c r="F26" i="33"/>
  <c r="H26" i="33"/>
  <c r="AC8" i="34"/>
  <c r="W8" i="34"/>
  <c r="U39" i="34"/>
  <c r="AB39" i="34"/>
  <c r="S28" i="34"/>
  <c r="AA28" i="34"/>
  <c r="F31" i="33"/>
  <c r="J31" i="33"/>
  <c r="J46" i="33"/>
  <c r="AC46" i="33" s="1"/>
  <c r="H46" i="33"/>
  <c r="J29" i="34"/>
  <c r="H29" i="34"/>
  <c r="H45" i="34"/>
  <c r="F45" i="34"/>
  <c r="U8" i="36"/>
  <c r="AB8" i="36"/>
  <c r="AC22" i="36"/>
  <c r="W22" i="36"/>
  <c r="AZ338" i="3"/>
  <c r="AZ299" i="3"/>
  <c r="AZ377" i="3"/>
  <c r="BL500" i="3"/>
  <c r="AZ500" i="3" s="1"/>
  <c r="BL510" i="3"/>
  <c r="BL538" i="3"/>
  <c r="AZ538" i="3" s="1"/>
  <c r="BL552" i="3"/>
  <c r="AZ552" i="3" s="1"/>
  <c r="BL556" i="3"/>
  <c r="AZ556" i="3" s="1"/>
  <c r="BL560" i="3"/>
  <c r="AZ560" i="3" s="1"/>
  <c r="AZ492" i="3"/>
  <c r="AZ520" i="3"/>
  <c r="AZ544" i="3"/>
  <c r="AZ493" i="3"/>
  <c r="H5" i="3"/>
  <c r="BG5" i="3"/>
  <c r="E13" i="6" s="1"/>
  <c r="BA570" i="3"/>
  <c r="BI5" i="3"/>
  <c r="H12" i="35"/>
  <c r="J12" i="35"/>
  <c r="F12" i="35"/>
  <c r="G564" i="3"/>
  <c r="G500" i="3"/>
  <c r="G482" i="3"/>
  <c r="K145" i="21"/>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568" i="3"/>
  <c r="G553" i="3"/>
  <c r="G548" i="3"/>
  <c r="G541" i="3"/>
  <c r="G533" i="3"/>
  <c r="G527" i="3"/>
  <c r="G519" i="3"/>
  <c r="G509" i="3"/>
  <c r="G503" i="3"/>
  <c r="G495" i="3"/>
  <c r="G486" i="3"/>
  <c r="G14" i="3"/>
  <c r="C92" i="9"/>
  <c r="A11" i="55"/>
  <c r="B62" i="63" s="1"/>
  <c r="AZ393" i="3"/>
  <c r="AZ396" i="3"/>
  <c r="AZ406" i="3"/>
  <c r="AZ409" i="3"/>
  <c r="AZ425" i="3"/>
  <c r="AZ445" i="3"/>
  <c r="AZ266" i="3"/>
  <c r="BA256" i="3"/>
  <c r="AZ256" i="3" s="1"/>
  <c r="BA257" i="3"/>
  <c r="AZ257" i="3" s="1"/>
  <c r="G260" i="3"/>
  <c r="G261" i="3"/>
  <c r="G262" i="3"/>
  <c r="BL262" i="3"/>
  <c r="AZ262" i="3" s="1"/>
  <c r="G265" i="3"/>
  <c r="G266" i="3"/>
  <c r="BL266" i="3"/>
  <c r="BA267" i="3"/>
  <c r="AZ267" i="3" s="1"/>
  <c r="BA268" i="3"/>
  <c r="AZ268" i="3" s="1"/>
  <c r="BL270" i="3"/>
  <c r="AZ270" i="3" s="1"/>
  <c r="BA271" i="3"/>
  <c r="AZ271" i="3" s="1"/>
  <c r="BL273" i="3"/>
  <c r="AZ273" i="3" s="1"/>
  <c r="G276" i="3"/>
  <c r="G277" i="3"/>
  <c r="BL277" i="3"/>
  <c r="G280" i="3"/>
  <c r="BL280" i="3"/>
  <c r="BL282" i="3"/>
  <c r="AZ282" i="3" s="1"/>
  <c r="BA283" i="3"/>
  <c r="AZ283" i="3" s="1"/>
  <c r="BA284" i="3"/>
  <c r="AZ284" i="3" s="1"/>
  <c r="BL286" i="3"/>
  <c r="AZ286" i="3" s="1"/>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6" i="3"/>
  <c r="AZ146" i="3" s="1"/>
  <c r="BA148" i="3"/>
  <c r="AZ148" i="3" s="1"/>
  <c r="G151" i="3"/>
  <c r="BL152" i="3"/>
  <c r="AZ152" i="3" s="1"/>
  <c r="BA154" i="3"/>
  <c r="AZ154" i="3" s="1"/>
  <c r="BL155" i="3"/>
  <c r="BA156" i="3"/>
  <c r="AZ156" i="3" s="1"/>
  <c r="BL157" i="3"/>
  <c r="AZ157" i="3" s="1"/>
  <c r="BA159" i="3"/>
  <c r="AZ159" i="3" s="1"/>
  <c r="AZ163" i="3"/>
  <c r="BA166" i="3"/>
  <c r="AZ166" i="3" s="1"/>
  <c r="G168" i="3"/>
  <c r="BL168" i="3"/>
  <c r="BA170" i="3"/>
  <c r="AZ170" i="3" s="1"/>
  <c r="AZ172" i="3"/>
  <c r="BL177" i="3"/>
  <c r="AZ177" i="3" s="1"/>
  <c r="BA179" i="3"/>
  <c r="AZ179" i="3" s="1"/>
  <c r="G181" i="3"/>
  <c r="BL183" i="3"/>
  <c r="AZ183" i="3" s="1"/>
  <c r="BA185" i="3"/>
  <c r="AZ185" i="3" s="1"/>
  <c r="BL186" i="3"/>
  <c r="G189" i="3"/>
  <c r="BA193" i="3"/>
  <c r="AZ193" i="3" s="1"/>
  <c r="AZ198" i="3"/>
  <c r="AZ26" i="3"/>
  <c r="AZ36" i="3"/>
  <c r="AZ45" i="3"/>
  <c r="AZ277" i="3"/>
  <c r="AZ280" i="3"/>
  <c r="AZ288" i="3"/>
  <c r="BA162" i="3"/>
  <c r="AZ162" i="3" s="1"/>
  <c r="BL163" i="3"/>
  <c r="BA197" i="3"/>
  <c r="AZ197" i="3" s="1"/>
  <c r="BL198" i="3"/>
  <c r="G201" i="3"/>
  <c r="G203" i="3"/>
  <c r="G204" i="3"/>
  <c r="BL204" i="3"/>
  <c r="AZ204" i="3" s="1"/>
  <c r="BA21" i="3"/>
  <c r="AZ21" i="3" s="1"/>
  <c r="BL23" i="3"/>
  <c r="AZ23" i="3" s="1"/>
  <c r="G26" i="3"/>
  <c r="BL26" i="3"/>
  <c r="G29" i="3"/>
  <c r="BL29" i="3"/>
  <c r="AZ29" i="3" s="1"/>
  <c r="BA30" i="3"/>
  <c r="AZ30" i="3" s="1"/>
  <c r="BA31" i="3"/>
  <c r="AZ31" i="3" s="1"/>
  <c r="BA32" i="3"/>
  <c r="AZ32" i="3" s="1"/>
  <c r="G35" i="3"/>
  <c r="G36" i="3"/>
  <c r="BL36" i="3"/>
  <c r="BA37" i="3"/>
  <c r="AZ37" i="3" s="1"/>
  <c r="BL39" i="3"/>
  <c r="AZ39" i="3" s="1"/>
  <c r="G42" i="3"/>
  <c r="BL42" i="3"/>
  <c r="AZ42" i="3" s="1"/>
  <c r="G45" i="3"/>
  <c r="BL45" i="3"/>
  <c r="BA46" i="3"/>
  <c r="AZ46" i="3" s="1"/>
  <c r="BA47" i="3"/>
  <c r="AZ47" i="3" s="1"/>
  <c r="BA48" i="3"/>
  <c r="AZ48" i="3" s="1"/>
  <c r="G51" i="3"/>
  <c r="G52" i="3"/>
  <c r="BL52" i="3"/>
  <c r="AZ52" i="3" s="1"/>
  <c r="BA53" i="3"/>
  <c r="AZ53" i="3" s="1"/>
  <c r="BL55" i="3"/>
  <c r="AZ55" i="3" s="1"/>
  <c r="G58" i="3"/>
  <c r="BL58" i="3"/>
  <c r="AZ58" i="3" s="1"/>
  <c r="G61" i="3"/>
  <c r="BL61" i="3"/>
  <c r="AZ61" i="3" s="1"/>
  <c r="BA62" i="3"/>
  <c r="AZ62" i="3" s="1"/>
  <c r="BA63" i="3"/>
  <c r="AZ63" i="3" s="1"/>
  <c r="G66" i="3"/>
  <c r="G67" i="3"/>
  <c r="BL67" i="3"/>
  <c r="AZ67" i="3" s="1"/>
  <c r="BA68" i="3"/>
  <c r="AZ68" i="3" s="1"/>
  <c r="BL70" i="3"/>
  <c r="AZ70" i="3" s="1"/>
  <c r="G73" i="3"/>
  <c r="BL73" i="3"/>
  <c r="AZ73" i="3" s="1"/>
  <c r="G76" i="3"/>
  <c r="BL76" i="3"/>
  <c r="AZ76" i="3" s="1"/>
  <c r="BA77" i="3"/>
  <c r="AZ77" i="3" s="1"/>
  <c r="BA78" i="3"/>
  <c r="AZ78" i="3" s="1"/>
  <c r="BA79" i="3"/>
  <c r="AZ79" i="3" s="1"/>
  <c r="G82" i="3"/>
  <c r="G83" i="3"/>
  <c r="C31" i="39"/>
  <c r="C15" i="59"/>
  <c r="Y10" i="59"/>
  <c r="Z10" i="59" s="1"/>
  <c r="Y12" i="59"/>
  <c r="Z12" i="59" s="1"/>
  <c r="Y3" i="59"/>
  <c r="Z3" i="59" s="1"/>
  <c r="AB14" i="59"/>
  <c r="AB3" i="59"/>
  <c r="AB11" i="59"/>
  <c r="BL83" i="3"/>
  <c r="AZ83" i="3" s="1"/>
  <c r="G86" i="3"/>
  <c r="G87" i="3"/>
  <c r="BL87" i="3"/>
  <c r="AZ87" i="3" s="1"/>
  <c r="BA88" i="3"/>
  <c r="AZ88" i="3" s="1"/>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G112" i="3"/>
  <c r="I15" i="57"/>
  <c r="D36" i="59"/>
  <c r="D52" i="59"/>
  <c r="D56" i="59"/>
  <c r="C71" i="59"/>
  <c r="D71" i="59" s="1"/>
  <c r="D35" i="59"/>
  <c r="AB12" i="59"/>
  <c r="AB13" i="59"/>
  <c r="Y11" i="59"/>
  <c r="Z11" i="59" s="1"/>
  <c r="AA10" i="59"/>
  <c r="X10" i="59"/>
  <c r="X14" i="59"/>
  <c r="B15" i="59"/>
  <c r="B16" i="59" s="1"/>
  <c r="B17" i="59" s="1"/>
  <c r="S17" i="59" s="1"/>
  <c r="D44" i="59"/>
  <c r="C45" i="59"/>
  <c r="N53" i="59"/>
  <c r="S53" i="59"/>
  <c r="P52" i="59"/>
  <c r="E51" i="59"/>
  <c r="B13" i="59"/>
  <c r="X3" i="59"/>
  <c r="X11" i="59"/>
  <c r="X13" i="59"/>
  <c r="AA12" i="59"/>
  <c r="AH10" i="46"/>
  <c r="AH12" i="46"/>
  <c r="AD10" i="46"/>
  <c r="AD12" i="46"/>
  <c r="F8" i="59"/>
  <c r="F7" i="59" s="1"/>
  <c r="F6" i="59" s="1"/>
  <c r="F5" i="59" s="1"/>
  <c r="V9" i="59"/>
  <c r="B8" i="59"/>
  <c r="B7" i="59" s="1"/>
  <c r="S9" i="59"/>
  <c r="C8" i="59"/>
  <c r="D9" i="59"/>
  <c r="AA14" i="59"/>
  <c r="X15" i="59"/>
  <c r="AA15" i="59"/>
  <c r="AA16" i="59"/>
  <c r="Y18" i="59"/>
  <c r="Z18" i="59" s="1"/>
  <c r="AB18" i="59"/>
  <c r="Y19" i="59"/>
  <c r="Z19" i="59" s="1"/>
  <c r="AB19" i="59"/>
  <c r="Y20" i="59"/>
  <c r="Z20" i="59" s="1"/>
  <c r="AA22" i="59"/>
  <c r="K76" i="9"/>
  <c r="K77" i="9" s="1"/>
  <c r="K79" i="9" s="1"/>
  <c r="K81" i="9" s="1"/>
  <c r="J51" i="15"/>
  <c r="M104" i="46"/>
  <c r="Q16" i="1"/>
  <c r="F33" i="12" s="1"/>
  <c r="W14" i="39"/>
  <c r="C18" i="9"/>
  <c r="P75" i="15"/>
  <c r="D23" i="15"/>
  <c r="S40" i="39"/>
  <c r="AB44" i="39"/>
  <c r="AC44" i="39"/>
  <c r="W43" i="39"/>
  <c r="W41" i="39"/>
  <c r="U41" i="39"/>
  <c r="S31" i="39"/>
  <c r="AC31" i="39"/>
  <c r="W29" i="39"/>
  <c r="AB29" i="39"/>
  <c r="U27" i="39"/>
  <c r="S27" i="39"/>
  <c r="W27" i="39"/>
  <c r="W25" i="39"/>
  <c r="AB25" i="39"/>
  <c r="S25" i="39"/>
  <c r="U23" i="39"/>
  <c r="W23" i="39"/>
  <c r="S23" i="39"/>
  <c r="AC19" i="39"/>
  <c r="U19" i="39"/>
  <c r="AB21" i="39"/>
  <c r="AC17" i="39"/>
  <c r="S17" i="39"/>
  <c r="E14" i="52"/>
  <c r="M105" i="46"/>
  <c r="AZ13" i="3"/>
  <c r="P6" i="1"/>
  <c r="F30" i="6"/>
  <c r="F31" i="6" s="1"/>
  <c r="BL5" i="3"/>
  <c r="I107" i="46"/>
  <c r="G22" i="46"/>
  <c r="D101" i="46"/>
  <c r="H101" i="46"/>
  <c r="H107" i="46" s="1"/>
  <c r="AC11" i="46"/>
  <c r="AC13" i="46" s="1"/>
  <c r="Y11" i="46"/>
  <c r="Y13" i="46" s="1"/>
  <c r="N16" i="4"/>
  <c r="K17" i="4" s="1"/>
  <c r="A22" i="51" s="1"/>
  <c r="B16" i="63" s="1"/>
  <c r="G16" i="1"/>
  <c r="F12" i="39" s="1"/>
  <c r="S12" i="39" s="1"/>
  <c r="O40" i="9"/>
  <c r="R7" i="54" s="1"/>
  <c r="B52" i="63" s="1"/>
  <c r="AA12" i="39"/>
  <c r="F67" i="40"/>
  <c r="G65" i="40"/>
  <c r="C27" i="43"/>
  <c r="C31" i="43"/>
  <c r="C25" i="12"/>
  <c r="C28" i="15"/>
  <c r="C15" i="43"/>
  <c r="G70" i="39"/>
  <c r="C34" i="12"/>
  <c r="D33" i="12" s="1"/>
  <c r="C30" i="44"/>
  <c r="L46" i="36"/>
  <c r="M46" i="36" s="1"/>
  <c r="N46" i="36" s="1"/>
  <c r="O46" i="36" s="1"/>
  <c r="J7" i="36"/>
  <c r="O41" i="9"/>
  <c r="R8" i="54" s="1"/>
  <c r="B54" i="63" s="1"/>
  <c r="J12" i="40"/>
  <c r="H12" i="39"/>
  <c r="D106" i="46"/>
  <c r="D105" i="46"/>
  <c r="D107" i="46"/>
  <c r="D102" i="46"/>
  <c r="D109" i="46"/>
  <c r="H102" i="46"/>
  <c r="H103" i="46"/>
  <c r="H109" i="46"/>
  <c r="F18" i="11"/>
  <c r="C18" i="11" s="1"/>
  <c r="F24" i="43"/>
  <c r="C26" i="43" s="1"/>
  <c r="D24" i="43" s="1"/>
  <c r="D72" i="39"/>
  <c r="H7" i="36"/>
  <c r="U18" i="36"/>
  <c r="I105" i="46"/>
  <c r="I104" i="46"/>
  <c r="I103" i="46"/>
  <c r="I106" i="46"/>
  <c r="M107" i="46"/>
  <c r="M102" i="46"/>
  <c r="M109" i="46"/>
  <c r="M106" i="46"/>
  <c r="P10" i="1"/>
  <c r="D48" i="35"/>
  <c r="AP16" i="1"/>
  <c r="F22" i="11" s="1"/>
  <c r="C16" i="46"/>
  <c r="C5" i="46" s="1"/>
  <c r="G30" i="6"/>
  <c r="G31" i="6" s="1"/>
  <c r="E28" i="6"/>
  <c r="AZ510" i="3"/>
  <c r="F58" i="33"/>
  <c r="D52" i="37"/>
  <c r="E59" i="34"/>
  <c r="F7" i="36"/>
  <c r="AI11" i="46"/>
  <c r="AA11" i="46"/>
  <c r="C23" i="46"/>
  <c r="C21" i="46" s="1"/>
  <c r="AH11" i="46"/>
  <c r="AH13" i="46" s="1"/>
  <c r="AD11" i="46"/>
  <c r="AD13" i="46" s="1"/>
  <c r="Z11" i="46"/>
  <c r="Z13" i="46" s="1"/>
  <c r="F101" i="46"/>
  <c r="N101" i="46"/>
  <c r="K101" i="46"/>
  <c r="Z7" i="46"/>
  <c r="E101" i="46"/>
  <c r="F22" i="46"/>
  <c r="D22" i="46" s="1"/>
  <c r="L101" i="46"/>
  <c r="N104" i="45"/>
  <c r="B113" i="46"/>
  <c r="J101" i="46"/>
  <c r="G101" i="46"/>
  <c r="C101" i="46"/>
  <c r="J22" i="46"/>
  <c r="H22" i="46"/>
  <c r="O7" i="1"/>
  <c r="P7" i="1" s="1"/>
  <c r="P9" i="1"/>
  <c r="P11" i="1"/>
  <c r="E12" i="6"/>
  <c r="E10" i="6"/>
  <c r="E11" i="6"/>
  <c r="BA5" i="3"/>
  <c r="E27" i="6" s="1"/>
  <c r="AZ570" i="3"/>
  <c r="E58" i="21"/>
  <c r="D5" i="46"/>
  <c r="J9" i="33"/>
  <c r="H9" i="33"/>
  <c r="F9" i="33"/>
  <c r="H76" i="46"/>
  <c r="U25" i="33"/>
  <c r="AC11" i="33"/>
  <c r="AB11" i="33"/>
  <c r="AC11" i="34"/>
  <c r="AA20" i="35"/>
  <c r="AC13" i="40"/>
  <c r="W34" i="40"/>
  <c r="U41" i="40"/>
  <c r="S47" i="39"/>
  <c r="W40" i="40"/>
  <c r="H47" i="46"/>
  <c r="S10" i="35"/>
  <c r="AC41" i="34"/>
  <c r="U28" i="21"/>
  <c r="S45" i="21"/>
  <c r="AA27" i="33"/>
  <c r="W31" i="34"/>
  <c r="AB14" i="21"/>
  <c r="U46" i="21"/>
  <c r="AB13" i="21"/>
  <c r="AB40" i="37"/>
  <c r="W46" i="33"/>
  <c r="W35" i="35"/>
  <c r="J12" i="36"/>
  <c r="H12" i="36"/>
  <c r="H25" i="37"/>
  <c r="J25" i="37"/>
  <c r="F25" i="37"/>
  <c r="J23" i="36"/>
  <c r="H23" i="36"/>
  <c r="F23" i="36"/>
  <c r="G536" i="3"/>
  <c r="G524" i="3"/>
  <c r="G512" i="3"/>
  <c r="G489" i="3"/>
  <c r="G481" i="3"/>
  <c r="AZ389" i="3"/>
  <c r="AZ400" i="3"/>
  <c r="AZ404" i="3"/>
  <c r="AZ416" i="3"/>
  <c r="AZ421" i="3"/>
  <c r="AZ440" i="3"/>
  <c r="AZ412" i="3"/>
  <c r="AZ419" i="3"/>
  <c r="AZ429" i="3"/>
  <c r="AZ448" i="3"/>
  <c r="AZ468" i="3"/>
  <c r="AZ472" i="3"/>
  <c r="AZ206" i="3"/>
  <c r="AZ210" i="3"/>
  <c r="AZ222" i="3"/>
  <c r="AZ226" i="3"/>
  <c r="AZ238" i="3"/>
  <c r="AZ242" i="3"/>
  <c r="AZ254" i="3"/>
  <c r="AZ258" i="3"/>
  <c r="AZ269" i="3"/>
  <c r="AZ272" i="3"/>
  <c r="A30" i="51"/>
  <c r="B22" i="63" s="1"/>
  <c r="A30" i="64"/>
  <c r="AZ296" i="3"/>
  <c r="AZ125" i="3"/>
  <c r="AZ128" i="3"/>
  <c r="AZ141" i="3"/>
  <c r="AZ144" i="3"/>
  <c r="AZ155" i="3"/>
  <c r="AZ168" i="3"/>
  <c r="AZ171" i="3"/>
  <c r="AZ186" i="3"/>
  <c r="AZ194" i="3"/>
  <c r="AZ22" i="3"/>
  <c r="AZ33" i="3"/>
  <c r="AZ38" i="3"/>
  <c r="AZ49" i="3"/>
  <c r="AZ54" i="3"/>
  <c r="AZ64" i="3"/>
  <c r="AZ69" i="3"/>
  <c r="AZ80" i="3"/>
  <c r="AZ89" i="3"/>
  <c r="AZ100" i="3"/>
  <c r="AZ105" i="3"/>
  <c r="AZ109" i="3"/>
  <c r="I21" i="57"/>
  <c r="C28" i="59"/>
  <c r="D27" i="59"/>
  <c r="D39" i="59"/>
  <c r="C40" i="59"/>
  <c r="D47" i="59"/>
  <c r="C48" i="59"/>
  <c r="T37" i="59"/>
  <c r="D37" i="59"/>
  <c r="B54" i="46"/>
  <c r="C27" i="40"/>
  <c r="S27" i="40"/>
  <c r="S21" i="34"/>
  <c r="S13" i="59"/>
  <c r="B12" i="59"/>
  <c r="B11" i="59" s="1"/>
  <c r="AA9" i="59"/>
  <c r="Y9" i="59"/>
  <c r="Z9" i="59" s="1"/>
  <c r="X8" i="59"/>
  <c r="AB6" i="59"/>
  <c r="Y6" i="59"/>
  <c r="Z6" i="59" s="1"/>
  <c r="O50" i="59"/>
  <c r="AA11" i="59"/>
  <c r="AA3" i="59"/>
  <c r="Y14" i="59"/>
  <c r="Z14" i="59" s="1"/>
  <c r="F15" i="59"/>
  <c r="F16" i="59" s="1"/>
  <c r="F17" i="59" s="1"/>
  <c r="V17" i="59" s="1"/>
  <c r="X16" i="59"/>
  <c r="X17" i="59"/>
  <c r="AA17" i="59"/>
  <c r="B19" i="59"/>
  <c r="B20" i="59" s="1"/>
  <c r="B21" i="59" s="1"/>
  <c r="S21" i="59" s="1"/>
  <c r="C19" i="59"/>
  <c r="AA18" i="59"/>
  <c r="AB20" i="59"/>
  <c r="Y21" i="59"/>
  <c r="Z21" i="59" s="1"/>
  <c r="AB21" i="59"/>
  <c r="X22" i="59"/>
  <c r="Y22" i="59"/>
  <c r="Z22" i="59" s="1"/>
  <c r="E23" i="59"/>
  <c r="E24" i="59" s="1"/>
  <c r="E25" i="59" s="1"/>
  <c r="U25" i="59" s="1"/>
  <c r="F23" i="59"/>
  <c r="F24" i="59" s="1"/>
  <c r="F25" i="59" s="1"/>
  <c r="V25" i="59" s="1"/>
  <c r="X23" i="59"/>
  <c r="AA23" i="59"/>
  <c r="Q50" i="59"/>
  <c r="B60" i="59"/>
  <c r="B59" i="59" s="1"/>
  <c r="D13" i="59"/>
  <c r="T13" i="59"/>
  <c r="C12" i="59"/>
  <c r="F12" i="59"/>
  <c r="F11" i="59" s="1"/>
  <c r="V13" i="59"/>
  <c r="C7" i="59"/>
  <c r="D7" i="59" s="1"/>
  <c r="D8" i="59"/>
  <c r="AB9" i="59"/>
  <c r="AA8" i="59"/>
  <c r="AA7" i="59"/>
  <c r="E13" i="59"/>
  <c r="X9" i="59"/>
  <c r="A28" i="51"/>
  <c r="Y8" i="59"/>
  <c r="Z8" i="59" s="1"/>
  <c r="AB8" i="59"/>
  <c r="X7" i="59"/>
  <c r="X6" i="59"/>
  <c r="X5" i="59"/>
  <c r="AA6" i="59"/>
  <c r="AA5" i="59"/>
  <c r="AA12" i="46"/>
  <c r="AA13" i="46" s="1"/>
  <c r="AE12" i="46"/>
  <c r="AE13" i="46" s="1"/>
  <c r="AI12" i="46"/>
  <c r="AI13" i="46" s="1"/>
  <c r="Y7" i="59"/>
  <c r="Z7" i="59" s="1"/>
  <c r="AB7" i="59"/>
  <c r="Y5" i="59"/>
  <c r="Z5" i="59" s="1"/>
  <c r="AB5" i="59"/>
  <c r="C6" i="59"/>
  <c r="C5" i="59" s="1"/>
  <c r="D5" i="59" s="1"/>
  <c r="B6" i="52"/>
  <c r="E7" i="52"/>
  <c r="E6" i="52"/>
  <c r="E4" i="52"/>
  <c r="B7" i="52"/>
  <c r="E5" i="52"/>
  <c r="P21" i="46"/>
  <c r="B6" i="59"/>
  <c r="B5"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L60" i="44"/>
  <c r="L59" i="44"/>
  <c r="C27" i="15"/>
  <c r="F65" i="15"/>
  <c r="F50" i="15"/>
  <c r="C29" i="44"/>
  <c r="F70" i="15"/>
  <c r="M9" i="44"/>
  <c r="J8" i="44" s="1"/>
  <c r="J1" i="65"/>
  <c r="E20" i="46"/>
  <c r="E17" i="52"/>
  <c r="E11" i="52"/>
  <c r="E15" i="52"/>
  <c r="E13" i="52"/>
  <c r="B14" i="52"/>
  <c r="E8" i="52"/>
  <c r="E16" i="52"/>
  <c r="B5" i="52"/>
  <c r="B9" i="52"/>
  <c r="B16" i="52"/>
  <c r="B8" i="52"/>
  <c r="B13" i="52"/>
  <c r="E10" i="52"/>
  <c r="E21" i="52"/>
  <c r="C15" i="12"/>
  <c r="D21" i="12"/>
  <c r="F31" i="15"/>
  <c r="M19" i="44"/>
  <c r="F33" i="44"/>
  <c r="M17" i="15"/>
  <c r="F58" i="15"/>
  <c r="L47" i="15"/>
  <c r="F13" i="15"/>
  <c r="F42" i="15"/>
  <c r="M22" i="15"/>
  <c r="C18" i="44"/>
  <c r="E3" i="65"/>
  <c r="F37" i="15"/>
  <c r="F9" i="15"/>
  <c r="F7" i="15"/>
  <c r="L48" i="15"/>
  <c r="M8" i="15"/>
  <c r="C16" i="15"/>
  <c r="E2" i="65"/>
  <c r="I54" i="15" l="1"/>
  <c r="J53" i="15"/>
  <c r="J57" i="15"/>
  <c r="J55" i="15" s="1"/>
  <c r="J58" i="15" s="1"/>
  <c r="Q51" i="15" s="1"/>
  <c r="L56" i="15"/>
  <c r="F49" i="15"/>
  <c r="C48" i="15" s="1"/>
  <c r="M7" i="15"/>
  <c r="J6" i="15" s="1"/>
  <c r="F64" i="15"/>
  <c r="L59" i="15"/>
  <c r="L58" i="15"/>
  <c r="Q61" i="15" s="1"/>
  <c r="E60" i="40"/>
  <c r="E65" i="39"/>
  <c r="D6" i="59"/>
  <c r="P50" i="59"/>
  <c r="P51" i="59"/>
  <c r="T45" i="59"/>
  <c r="D45" i="59"/>
  <c r="D15" i="59"/>
  <c r="C16" i="59"/>
  <c r="S12" i="35"/>
  <c r="AA12" i="35"/>
  <c r="AB12" i="35"/>
  <c r="U12" i="35"/>
  <c r="AA45" i="34"/>
  <c r="S45" i="34"/>
  <c r="U29" i="34"/>
  <c r="AB29" i="34"/>
  <c r="AB46" i="33"/>
  <c r="U46" i="33"/>
  <c r="AC31" i="33"/>
  <c r="W31" i="33"/>
  <c r="U26" i="33"/>
  <c r="AB26" i="33"/>
  <c r="AC26" i="33"/>
  <c r="W26" i="33"/>
  <c r="AC44" i="21"/>
  <c r="W44" i="21"/>
  <c r="AC14" i="21"/>
  <c r="W14" i="21"/>
  <c r="S12" i="21"/>
  <c r="AA12" i="21"/>
  <c r="S13" i="37"/>
  <c r="AA13" i="37"/>
  <c r="AC16" i="39"/>
  <c r="W16" i="39"/>
  <c r="W16" i="40"/>
  <c r="AC16" i="40"/>
  <c r="AB16" i="40"/>
  <c r="U16" i="40"/>
  <c r="I102" i="46"/>
  <c r="I109" i="46"/>
  <c r="AZ559" i="3"/>
  <c r="AB26" i="37"/>
  <c r="U26" i="37"/>
  <c r="AB13" i="37"/>
  <c r="U13" i="37"/>
  <c r="S28" i="33"/>
  <c r="AA28" i="33"/>
  <c r="E14" i="6"/>
  <c r="E15" i="6"/>
  <c r="W12" i="35"/>
  <c r="AC12" i="35"/>
  <c r="U45" i="34"/>
  <c r="AB45" i="34"/>
  <c r="AC29" i="34"/>
  <c r="W29" i="34"/>
  <c r="AA31" i="33"/>
  <c r="S31" i="33"/>
  <c r="AA26" i="33"/>
  <c r="S26" i="33"/>
  <c r="AA44" i="21"/>
  <c r="S44" i="21"/>
  <c r="W12" i="21"/>
  <c r="AC12" i="21"/>
  <c r="U28" i="33"/>
  <c r="AB28" i="33"/>
  <c r="U28" i="37"/>
  <c r="AB28" i="37"/>
  <c r="AC45" i="39"/>
  <c r="W45" i="39"/>
  <c r="AC14" i="40"/>
  <c r="W14" i="40"/>
  <c r="AZ484" i="3"/>
  <c r="AZ5" i="3" s="1"/>
  <c r="E3" i="6" s="1"/>
  <c r="AA40" i="37"/>
  <c r="S40" i="37"/>
  <c r="AA26" i="37"/>
  <c r="S26" i="37"/>
  <c r="AC13" i="37"/>
  <c r="W13" i="37"/>
  <c r="AC28" i="33"/>
  <c r="W28" i="33"/>
  <c r="D18" i="9"/>
  <c r="M44" i="9" s="1"/>
  <c r="M43" i="9"/>
  <c r="D1" i="57"/>
  <c r="E10" i="57" s="1"/>
  <c r="C29" i="57"/>
  <c r="C27" i="57" s="1"/>
  <c r="C21" i="12"/>
  <c r="H105" i="46"/>
  <c r="F12" i="40"/>
  <c r="J12" i="39"/>
  <c r="W12" i="39" s="1"/>
  <c r="H12" i="40"/>
  <c r="H104" i="46"/>
  <c r="H106" i="46"/>
  <c r="D103" i="46"/>
  <c r="D104" i="46"/>
  <c r="H70" i="39"/>
  <c r="G72" i="39"/>
  <c r="H65" i="40"/>
  <c r="G67" i="40"/>
  <c r="B21" i="63"/>
  <c r="N4" i="63"/>
  <c r="U13" i="59"/>
  <c r="E12" i="59"/>
  <c r="E11" i="59" s="1"/>
  <c r="D19" i="59"/>
  <c r="C20" i="59"/>
  <c r="C29" i="59"/>
  <c r="D28" i="59"/>
  <c r="AA23" i="36"/>
  <c r="S23" i="36"/>
  <c r="AC23" i="36"/>
  <c r="W23" i="36"/>
  <c r="W25" i="37"/>
  <c r="AC25" i="37"/>
  <c r="U12" i="36"/>
  <c r="AB12" i="36"/>
  <c r="AA9" i="33"/>
  <c r="S9" i="33"/>
  <c r="AC9" i="33"/>
  <c r="W9" i="33"/>
  <c r="F58" i="21"/>
  <c r="E16" i="6"/>
  <c r="G103" i="46"/>
  <c r="G106" i="46"/>
  <c r="G102" i="46"/>
  <c r="G105" i="46"/>
  <c r="G104" i="46"/>
  <c r="G109" i="46"/>
  <c r="G107"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D118" i="46"/>
  <c r="E118" i="46" s="1"/>
  <c r="F118" i="46" s="1"/>
  <c r="I116" i="46"/>
  <c r="J116" i="46" s="1"/>
  <c r="K116" i="46" s="1"/>
  <c r="L116" i="46" s="1"/>
  <c r="M116" i="46" s="1"/>
  <c r="I117" i="46"/>
  <c r="J117" i="46" s="1"/>
  <c r="K117" i="46" s="1"/>
  <c r="L117" i="46" s="1"/>
  <c r="M117" i="46" s="1"/>
  <c r="G118" i="46"/>
  <c r="H118" i="46" s="1"/>
  <c r="B115" i="46"/>
  <c r="B116" i="46"/>
  <c r="C116" i="46" s="1"/>
  <c r="D117" i="46"/>
  <c r="E117" i="46" s="1"/>
  <c r="F117" i="46" s="1"/>
  <c r="G117" i="46" s="1"/>
  <c r="H117" i="46" s="1"/>
  <c r="L106" i="46"/>
  <c r="L107" i="46"/>
  <c r="L109" i="46"/>
  <c r="L103" i="46"/>
  <c r="L102" i="46"/>
  <c r="L104" i="46"/>
  <c r="L105" i="46"/>
  <c r="E103" i="46"/>
  <c r="E107" i="46"/>
  <c r="E102" i="46"/>
  <c r="E106" i="46"/>
  <c r="E109" i="46"/>
  <c r="E104" i="46"/>
  <c r="E105" i="46"/>
  <c r="K107" i="46"/>
  <c r="K102" i="46"/>
  <c r="K106" i="46"/>
  <c r="K109" i="46"/>
  <c r="K104" i="46"/>
  <c r="K103" i="46"/>
  <c r="K105" i="46"/>
  <c r="F106" i="46"/>
  <c r="F103" i="46"/>
  <c r="F104" i="46"/>
  <c r="F109" i="46"/>
  <c r="F105" i="46"/>
  <c r="F107" i="46"/>
  <c r="F102" i="46"/>
  <c r="S7" i="36"/>
  <c r="AA7" i="36"/>
  <c r="R36" i="36" s="1"/>
  <c r="F59" i="34"/>
  <c r="E52" i="37"/>
  <c r="G58" i="33"/>
  <c r="E48" i="35"/>
  <c r="U12" i="39"/>
  <c r="AB12" i="39"/>
  <c r="S12" i="40"/>
  <c r="AA12" i="40"/>
  <c r="AC12" i="40"/>
  <c r="W12" i="40"/>
  <c r="D12" i="59"/>
  <c r="C11" i="59"/>
  <c r="D11" i="59" s="1"/>
  <c r="C49" i="59"/>
  <c r="D48" i="59"/>
  <c r="C41" i="59"/>
  <c r="D40" i="59"/>
  <c r="G5" i="3"/>
  <c r="B3" i="3" s="1"/>
  <c r="E536" i="3" s="1"/>
  <c r="AB23" i="36"/>
  <c r="U23" i="36"/>
  <c r="AA25" i="37"/>
  <c r="S25" i="37"/>
  <c r="U25" i="37"/>
  <c r="AB25" i="37"/>
  <c r="W12" i="36"/>
  <c r="AC12" i="36"/>
  <c r="AB9" i="33"/>
  <c r="U9" i="33"/>
  <c r="E63" i="39"/>
  <c r="E58" i="40"/>
  <c r="E59" i="40"/>
  <c r="E64" i="39"/>
  <c r="C104" i="46"/>
  <c r="C107" i="46"/>
  <c r="C109" i="46"/>
  <c r="C103" i="46"/>
  <c r="C106" i="46"/>
  <c r="C102" i="46"/>
  <c r="C105" i="46"/>
  <c r="J107" i="46"/>
  <c r="J106" i="46"/>
  <c r="J104" i="46"/>
  <c r="J105" i="46"/>
  <c r="J109" i="46"/>
  <c r="J103" i="46"/>
  <c r="J102" i="46"/>
  <c r="N103" i="46"/>
  <c r="N104" i="46"/>
  <c r="N106" i="46"/>
  <c r="N102" i="46"/>
  <c r="N105" i="46"/>
  <c r="N109" i="46"/>
  <c r="N107" i="46"/>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0" i="6"/>
  <c r="E31" i="6" s="1"/>
  <c r="K20" i="6"/>
  <c r="M20" i="6" s="1"/>
  <c r="I20" i="6" s="1"/>
  <c r="S20" i="6" s="1"/>
  <c r="K14" i="1"/>
  <c r="K19" i="6"/>
  <c r="S6" i="1" s="1"/>
  <c r="AB7" i="36"/>
  <c r="T36" i="36" s="1"/>
  <c r="G36" i="36" s="1"/>
  <c r="U7" i="36"/>
  <c r="AC12" i="39"/>
  <c r="U12" i="40"/>
  <c r="AB12" i="40"/>
  <c r="W7" i="36"/>
  <c r="AC7" i="36"/>
  <c r="V36" i="36" s="1"/>
  <c r="I36" i="36" s="1"/>
  <c r="K34" i="9"/>
  <c r="L47" i="44"/>
  <c r="F17" i="11"/>
  <c r="C17" i="11" s="1"/>
  <c r="C19" i="11" s="1"/>
  <c r="B40" i="1"/>
  <c r="O17" i="46"/>
  <c r="P17" i="46"/>
  <c r="M17" i="46"/>
  <c r="N17" i="46"/>
  <c r="Q74" i="15"/>
  <c r="Q76" i="44"/>
  <c r="Q63" i="44"/>
  <c r="Q54" i="44"/>
  <c r="F1" i="44"/>
  <c r="F13" i="44"/>
  <c r="C12" i="44" s="1"/>
  <c r="C7" i="44" s="1"/>
  <c r="M11" i="15"/>
  <c r="J10" i="15" s="1"/>
  <c r="J5" i="15" s="1"/>
  <c r="F11" i="15"/>
  <c r="M13" i="44"/>
  <c r="J12" i="44" s="1"/>
  <c r="J7" i="44" s="1"/>
  <c r="F1" i="15"/>
  <c r="Q53" i="15"/>
  <c r="Q75" i="15"/>
  <c r="Q62" i="15"/>
  <c r="Q75" i="44"/>
  <c r="Q62" i="44"/>
  <c r="C17" i="15"/>
  <c r="AE6" i="1"/>
  <c r="E62" i="40" l="1"/>
  <c r="E67" i="39"/>
  <c r="E66" i="39"/>
  <c r="E61" i="40"/>
  <c r="C17" i="59"/>
  <c r="D16" i="59"/>
  <c r="S16" i="1"/>
  <c r="C31" i="57"/>
  <c r="C32" i="57"/>
  <c r="C30" i="57"/>
  <c r="S7" i="46"/>
  <c r="S2" i="46"/>
  <c r="S6" i="46"/>
  <c r="S5" i="46"/>
  <c r="S3" i="46"/>
  <c r="S4" i="46"/>
  <c r="H67" i="40"/>
  <c r="I65" i="40"/>
  <c r="I70" i="39"/>
  <c r="H72" i="39"/>
  <c r="K27" i="6"/>
  <c r="M19" i="6"/>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13"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AO6" i="3"/>
  <c r="E283" i="3"/>
  <c r="E535" i="3"/>
  <c r="AN6" i="3"/>
  <c r="E280" i="3"/>
  <c r="E59" i="3"/>
  <c r="E270" i="3"/>
  <c r="E464" i="3"/>
  <c r="E157" i="3"/>
  <c r="E209" i="3"/>
  <c r="E161" i="3"/>
  <c r="E450" i="3"/>
  <c r="E492" i="3"/>
  <c r="E186" i="3"/>
  <c r="E311" i="3"/>
  <c r="E263" i="3"/>
  <c r="E424" i="3"/>
  <c r="E82" i="3"/>
  <c r="E164" i="3"/>
  <c r="E99" i="3"/>
  <c r="E262" i="3"/>
  <c r="E101" i="3"/>
  <c r="E274" i="3"/>
  <c r="E32" i="3"/>
  <c r="E547" i="3"/>
  <c r="E447" i="3"/>
  <c r="E33" i="3"/>
  <c r="Q6" i="3"/>
  <c r="E119" i="3"/>
  <c r="E500" i="3"/>
  <c r="E97" i="3"/>
  <c r="AE6" i="3"/>
  <c r="E289" i="3"/>
  <c r="E113" i="3"/>
  <c r="E425" i="3"/>
  <c r="E257" i="3"/>
  <c r="E166" i="3"/>
  <c r="O6" i="3"/>
  <c r="E204" i="3"/>
  <c r="E207" i="3"/>
  <c r="E449" i="3"/>
  <c r="E196" i="3"/>
  <c r="E259" i="3"/>
  <c r="E308" i="3"/>
  <c r="E416" i="3"/>
  <c r="E96" i="3"/>
  <c r="E160" i="3"/>
  <c r="E242" i="3"/>
  <c r="E133" i="3"/>
  <c r="E87" i="3"/>
  <c r="E458" i="3"/>
  <c r="E29" i="3"/>
  <c r="E256" i="3"/>
  <c r="E491" i="3"/>
  <c r="E319" i="3"/>
  <c r="E456" i="3"/>
  <c r="E569" i="3"/>
  <c r="AJ6" i="3"/>
  <c r="E546" i="3"/>
  <c r="E15" i="3"/>
  <c r="E251" i="3"/>
  <c r="E56" i="3"/>
  <c r="E122" i="3"/>
  <c r="E208" i="3"/>
  <c r="E485" i="3"/>
  <c r="E483" i="3"/>
  <c r="E532" i="3"/>
  <c r="E340" i="3"/>
  <c r="E521" i="3"/>
  <c r="E130" i="3"/>
  <c r="E461" i="3"/>
  <c r="E328" i="3"/>
  <c r="E155" i="3"/>
  <c r="E346" i="3"/>
  <c r="E541" i="3"/>
  <c r="E557" i="3"/>
  <c r="E23" i="3"/>
  <c r="E41" i="3"/>
  <c r="E471" i="3"/>
  <c r="E418" i="3"/>
  <c r="E408" i="3"/>
  <c r="E92" i="3"/>
  <c r="E238" i="3"/>
  <c r="E414" i="3"/>
  <c r="E44" i="3"/>
  <c r="E202" i="3"/>
  <c r="E83" i="3"/>
  <c r="E124" i="3"/>
  <c r="E222" i="3"/>
  <c r="E388" i="3"/>
  <c r="E430" i="3"/>
  <c r="E146" i="3"/>
  <c r="E77" i="3"/>
  <c r="E434" i="3"/>
  <c r="E552" i="3"/>
  <c r="E57" i="3"/>
  <c r="E463" i="3"/>
  <c r="E292" i="3"/>
  <c r="E426" i="3"/>
  <c r="E60" i="3"/>
  <c r="E75" i="3"/>
  <c r="E178" i="3"/>
  <c r="J6" i="3"/>
  <c r="E48" i="3"/>
  <c r="E438" i="3"/>
  <c r="E455" i="3"/>
  <c r="E363" i="3"/>
  <c r="E79" i="3"/>
  <c r="E401" i="3"/>
  <c r="E272"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352" i="3"/>
  <c r="E138" i="3"/>
  <c r="E519" i="3"/>
  <c r="E252" i="3"/>
  <c r="E544" i="3"/>
  <c r="E523" i="3"/>
  <c r="E13" i="3"/>
  <c r="E572" i="3"/>
  <c r="F48" i="35"/>
  <c r="G48" i="35" s="1"/>
  <c r="H48" i="35" s="1"/>
  <c r="I48" i="35" s="1"/>
  <c r="J48" i="35" s="1"/>
  <c r="K48" i="35" s="1"/>
  <c r="L48" i="35" s="1"/>
  <c r="M48" i="35" s="1"/>
  <c r="N48" i="35" s="1"/>
  <c r="O48" i="35" s="1"/>
  <c r="H58" i="33"/>
  <c r="R37" i="36"/>
  <c r="E36" i="36"/>
  <c r="C115" i="46"/>
  <c r="D113" i="46" s="1"/>
  <c r="E524" i="3"/>
  <c r="C21" i="59"/>
  <c r="D20" i="59"/>
  <c r="AY6" i="3"/>
  <c r="I40" i="36"/>
  <c r="J40" i="36" s="1"/>
  <c r="I41" i="36"/>
  <c r="J41" i="36" s="1"/>
  <c r="G40" i="36"/>
  <c r="H40" i="36" s="1"/>
  <c r="G41" i="36"/>
  <c r="H41" i="36" s="1"/>
  <c r="M14" i="1"/>
  <c r="K16" i="1"/>
  <c r="E512" i="3"/>
  <c r="E481" i="3"/>
  <c r="T41" i="59"/>
  <c r="D41" i="59"/>
  <c r="T49" i="59"/>
  <c r="D49" i="59"/>
  <c r="H7" i="35"/>
  <c r="J7" i="35"/>
  <c r="F52" i="37"/>
  <c r="G59" i="34"/>
  <c r="G58" i="21"/>
  <c r="E489" i="3"/>
  <c r="T29" i="59"/>
  <c r="D29" i="59"/>
  <c r="E6" i="6"/>
  <c r="L38" i="9"/>
  <c r="B14" i="66" s="1"/>
  <c r="B1" i="66" s="1"/>
  <c r="D45" i="9"/>
  <c r="D16" i="43"/>
  <c r="C16" i="43" s="1"/>
  <c r="C21" i="4"/>
  <c r="O5" i="54" s="1"/>
  <c r="B45" i="63" s="1"/>
  <c r="D10" i="11"/>
  <c r="D46" i="9"/>
  <c r="J28" i="44"/>
  <c r="J31" i="44" s="1"/>
  <c r="J26" i="44"/>
  <c r="J20" i="44"/>
  <c r="F21" i="43"/>
  <c r="C23" i="43" s="1"/>
  <c r="D21" i="43" s="1"/>
  <c r="F24" i="15"/>
  <c r="C24" i="15" s="1"/>
  <c r="F26" i="44"/>
  <c r="C26" i="44" s="1"/>
  <c r="F26" i="12"/>
  <c r="C20" i="11"/>
  <c r="C21" i="11" s="1"/>
  <c r="C22" i="11" s="1"/>
  <c r="C23" i="11" s="1"/>
  <c r="B2" i="11" s="1"/>
  <c r="C34" i="44"/>
  <c r="C40" i="44"/>
  <c r="C52" i="15"/>
  <c r="C47" i="15" s="1"/>
  <c r="C10" i="15"/>
  <c r="J26" i="15"/>
  <c r="J24" i="15"/>
  <c r="J18" i="15"/>
  <c r="D16" i="12"/>
  <c r="L52" i="44"/>
  <c r="F41" i="15"/>
  <c r="T17" i="59" l="1"/>
  <c r="D17" i="59"/>
  <c r="F68" i="15"/>
  <c r="J29" i="15"/>
  <c r="E26" i="57"/>
  <c r="U6" i="1" s="1"/>
  <c r="AC6" i="3"/>
  <c r="H6" i="3"/>
  <c r="E6" i="3" s="1"/>
  <c r="I67" i="40"/>
  <c r="J65" i="40"/>
  <c r="J70" i="39"/>
  <c r="I72" i="39"/>
  <c r="C7" i="66"/>
  <c r="C8" i="66"/>
  <c r="D19" i="12"/>
  <c r="C19" i="12" s="1"/>
  <c r="C16" i="12"/>
  <c r="H58" i="21"/>
  <c r="AB7" i="35"/>
  <c r="T38" i="35" s="1"/>
  <c r="G38" i="35" s="1"/>
  <c r="U7" i="35"/>
  <c r="T13" i="1"/>
  <c r="M16" i="1"/>
  <c r="T10" i="1"/>
  <c r="T6" i="1"/>
  <c r="T8" i="1"/>
  <c r="O14" i="1"/>
  <c r="O16" i="1" s="1"/>
  <c r="T7" i="1"/>
  <c r="T9" i="1"/>
  <c r="T11" i="1"/>
  <c r="T12" i="1"/>
  <c r="T21" i="59"/>
  <c r="D21" i="59"/>
  <c r="M20" i="46" s="1"/>
  <c r="C19" i="46" s="1"/>
  <c r="E40" i="36"/>
  <c r="F40" i="36" s="1"/>
  <c r="E41" i="36"/>
  <c r="F41" i="36" s="1"/>
  <c r="F7" i="35"/>
  <c r="D13" i="11"/>
  <c r="C13" i="11" s="1"/>
  <c r="H59" i="34"/>
  <c r="G52" i="37"/>
  <c r="AC7" i="35"/>
  <c r="V38" i="35" s="1"/>
  <c r="I38" i="35" s="1"/>
  <c r="W7" i="35"/>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537" i="3"/>
  <c r="AY53" i="3"/>
  <c r="AY73" i="3"/>
  <c r="AY74" i="3"/>
  <c r="AY144" i="3"/>
  <c r="AY98"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04" i="3"/>
  <c r="AY100" i="3"/>
  <c r="AY83" i="3"/>
  <c r="AY47" i="3"/>
  <c r="AY182" i="3"/>
  <c r="AY126" i="3"/>
  <c r="AY45"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C37" i="36"/>
  <c r="B3" i="36" s="1"/>
  <c r="B2" i="36" s="1"/>
  <c r="C36" i="36"/>
  <c r="I58" i="33"/>
  <c r="I19" i="6"/>
  <c r="M27" i="6"/>
  <c r="Q69" i="44"/>
  <c r="L58" i="44"/>
  <c r="L61" i="44" s="1"/>
  <c r="B5" i="11"/>
  <c r="B3" i="11"/>
  <c r="B4" i="11"/>
  <c r="C59" i="15"/>
  <c r="C65" i="15"/>
  <c r="C27" i="12"/>
  <c r="D26" i="12" s="1"/>
  <c r="C32" i="12" s="1"/>
  <c r="D30" i="12" s="1"/>
  <c r="Q49" i="44"/>
  <c r="Q55" i="44" s="1"/>
  <c r="Q67" i="44"/>
  <c r="Q58" i="44"/>
  <c r="D22" i="12"/>
  <c r="C14" i="15"/>
  <c r="F6" i="15"/>
  <c r="C16" i="44"/>
  <c r="C6" i="15" l="1"/>
  <c r="C5" i="15" s="1"/>
  <c r="C38" i="15" s="1"/>
  <c r="C22" i="12"/>
  <c r="C20" i="12" s="1"/>
  <c r="P14" i="1"/>
  <c r="P16" i="1" s="1"/>
  <c r="C13" i="12" s="1"/>
  <c r="T16" i="1"/>
  <c r="K70" i="39"/>
  <c r="J72" i="39"/>
  <c r="K65" i="40"/>
  <c r="J67" i="40"/>
  <c r="C18" i="15"/>
  <c r="C15" i="15"/>
  <c r="C20" i="44"/>
  <c r="C17" i="44"/>
  <c r="S19" i="6"/>
  <c r="S27" i="6" s="1"/>
  <c r="I27" i="6"/>
  <c r="J58" i="33"/>
  <c r="H52" i="37"/>
  <c r="I59" i="34"/>
  <c r="C39" i="46"/>
  <c r="T7" i="46"/>
  <c r="V7" i="46" s="1"/>
  <c r="T9" i="46"/>
  <c r="V9" i="46" s="1"/>
  <c r="C37" i="46"/>
  <c r="T8" i="46"/>
  <c r="V8" i="46" s="1"/>
  <c r="T13" i="46"/>
  <c r="V13" i="46" s="1"/>
  <c r="C34" i="46"/>
  <c r="T15" i="46"/>
  <c r="V15" i="46" s="1"/>
  <c r="T5" i="46"/>
  <c r="V5" i="46" s="1"/>
  <c r="T10" i="46"/>
  <c r="V10" i="46" s="1"/>
  <c r="T2" i="46"/>
  <c r="V2" i="46" s="1"/>
  <c r="C38" i="46"/>
  <c r="C35" i="46"/>
  <c r="T12" i="46"/>
  <c r="V12" i="46" s="1"/>
  <c r="T3" i="46"/>
  <c r="V3" i="46" s="1"/>
  <c r="C33" i="46"/>
  <c r="T16" i="46"/>
  <c r="V16" i="46" s="1"/>
  <c r="C36" i="46"/>
  <c r="T4" i="46"/>
  <c r="V4" i="46" s="1"/>
  <c r="T11" i="46"/>
  <c r="V11" i="46" s="1"/>
  <c r="T14" i="46"/>
  <c r="V14" i="46" s="1"/>
  <c r="T6" i="46"/>
  <c r="V6" i="46" s="1"/>
  <c r="C29" i="46"/>
  <c r="C13" i="43"/>
  <c r="N16" i="1"/>
  <c r="C29" i="43" s="1"/>
  <c r="L16" i="1"/>
  <c r="E68" i="39"/>
  <c r="H19" i="6"/>
  <c r="K38" i="9"/>
  <c r="C14" i="66" s="1"/>
  <c r="B2" i="66" s="1"/>
  <c r="D24" i="6"/>
  <c r="D26" i="6"/>
  <c r="D22" i="6"/>
  <c r="D11" i="6"/>
  <c r="D12" i="6"/>
  <c r="H20" i="6"/>
  <c r="H25" i="6"/>
  <c r="D9" i="6"/>
  <c r="D5" i="6"/>
  <c r="D29" i="6"/>
  <c r="H22" i="6"/>
  <c r="D15" i="6"/>
  <c r="H26" i="6"/>
  <c r="F46" i="9"/>
  <c r="E46" i="9"/>
  <c r="E63" i="40"/>
  <c r="C22" i="4"/>
  <c r="D19" i="6"/>
  <c r="D21" i="6"/>
  <c r="D25" i="6"/>
  <c r="R25" i="6" s="1"/>
  <c r="D10" i="6"/>
  <c r="D13" i="6"/>
  <c r="H21" i="6"/>
  <c r="H24" i="6"/>
  <c r="D6" i="6"/>
  <c r="D23" i="6"/>
  <c r="D14" i="6"/>
  <c r="D28" i="6"/>
  <c r="D20" i="6"/>
  <c r="D8" i="6"/>
  <c r="H23" i="6"/>
  <c r="E45" i="9"/>
  <c r="F45" i="9"/>
  <c r="I42" i="35"/>
  <c r="J42" i="35" s="1"/>
  <c r="S7" i="35"/>
  <c r="AA7" i="35"/>
  <c r="R38" i="35" s="1"/>
  <c r="G43" i="35"/>
  <c r="H43" i="35" s="1"/>
  <c r="G42" i="35"/>
  <c r="H42" i="35" s="1"/>
  <c r="I58" i="21"/>
  <c r="Q68" i="44"/>
  <c r="Q77" i="44" s="1"/>
  <c r="Q59" i="44"/>
  <c r="Q64" i="44" s="1"/>
  <c r="R20" i="6" l="1"/>
  <c r="C32" i="15"/>
  <c r="C17" i="12"/>
  <c r="C14" i="12"/>
  <c r="H27" i="6"/>
  <c r="D16" i="6"/>
  <c r="D30" i="6"/>
  <c r="R23" i="6"/>
  <c r="C21" i="44"/>
  <c r="C22" i="44" s="1"/>
  <c r="C28" i="44" s="1"/>
  <c r="C19" i="15"/>
  <c r="C20" i="15" s="1"/>
  <c r="C26" i="15" s="1"/>
  <c r="L70" i="39"/>
  <c r="K72" i="39"/>
  <c r="K67" i="40"/>
  <c r="L65" i="40"/>
  <c r="J58" i="21"/>
  <c r="K58" i="21" s="1"/>
  <c r="L58" i="21" s="1"/>
  <c r="M58" i="21" s="1"/>
  <c r="N58" i="21" s="1"/>
  <c r="O58" i="21" s="1"/>
  <c r="H7" i="21"/>
  <c r="E38" i="35"/>
  <c r="R39" i="35"/>
  <c r="R21" i="6"/>
  <c r="A6" i="64"/>
  <c r="A6" i="51"/>
  <c r="B7" i="63" s="1"/>
  <c r="A20" i="64"/>
  <c r="A20" i="51"/>
  <c r="B15" i="63" s="1"/>
  <c r="N5" i="54"/>
  <c r="B43" i="63" s="1"/>
  <c r="R26" i="6"/>
  <c r="D8" i="66"/>
  <c r="D7" i="66"/>
  <c r="C17" i="43"/>
  <c r="C14" i="43"/>
  <c r="E36" i="46"/>
  <c r="G36" i="46"/>
  <c r="I36" i="46" s="1"/>
  <c r="G33" i="46"/>
  <c r="I33" i="46" s="1"/>
  <c r="E33" i="46"/>
  <c r="E38" i="46"/>
  <c r="G38" i="46"/>
  <c r="I38" i="46" s="1"/>
  <c r="G37" i="46"/>
  <c r="I37" i="46" s="1"/>
  <c r="E37" i="46"/>
  <c r="J59" i="34"/>
  <c r="I52" i="37"/>
  <c r="K58" i="33"/>
  <c r="R19" i="6"/>
  <c r="D27" i="6"/>
  <c r="D31" i="6" s="1"/>
  <c r="R22" i="6"/>
  <c r="R24" i="6"/>
  <c r="C30" i="46"/>
  <c r="E30" i="46" s="1"/>
  <c r="E29" i="46"/>
  <c r="E35" i="46"/>
  <c r="G35" i="46"/>
  <c r="I35" i="46" s="1"/>
  <c r="E34" i="46"/>
  <c r="G34" i="46"/>
  <c r="I34" i="46" s="1"/>
  <c r="G39" i="46"/>
  <c r="I39" i="46" s="1"/>
  <c r="E39" i="46"/>
  <c r="F7" i="67"/>
  <c r="C18" i="12" l="1"/>
  <c r="C23" i="12" s="1"/>
  <c r="C27" i="46"/>
  <c r="R27" i="6"/>
  <c r="R6" i="1"/>
  <c r="C18" i="43"/>
  <c r="C19" i="43" s="1"/>
  <c r="C25" i="43" s="1"/>
  <c r="C24" i="43" s="1"/>
  <c r="L67" i="40"/>
  <c r="M65" i="40"/>
  <c r="J7" i="21"/>
  <c r="F7" i="21"/>
  <c r="L72" i="39"/>
  <c r="M70" i="39"/>
  <c r="E4" i="67"/>
  <c r="I6" i="6"/>
  <c r="I5" i="6"/>
  <c r="C13" i="39" s="1"/>
  <c r="L58" i="33"/>
  <c r="M58" i="33" s="1"/>
  <c r="N58" i="33" s="1"/>
  <c r="O58" i="33" s="1"/>
  <c r="J7" i="33" s="1"/>
  <c r="C25" i="44"/>
  <c r="C31" i="44" s="1"/>
  <c r="J52" i="37"/>
  <c r="K59" i="34"/>
  <c r="E43" i="35"/>
  <c r="F43" i="35" s="1"/>
  <c r="E42" i="35"/>
  <c r="F42" i="35" s="1"/>
  <c r="I43" i="35"/>
  <c r="J43" i="35" s="1"/>
  <c r="AA7" i="21"/>
  <c r="R48" i="21" s="1"/>
  <c r="S7" i="21"/>
  <c r="C23" i="15"/>
  <c r="C29" i="15" s="1"/>
  <c r="W7" i="21"/>
  <c r="AC7" i="21"/>
  <c r="V48" i="21" s="1"/>
  <c r="I48" i="21" s="1"/>
  <c r="C26" i="46"/>
  <c r="C38" i="35"/>
  <c r="C39" i="35"/>
  <c r="B3" i="35" s="1"/>
  <c r="B2" i="35" s="1"/>
  <c r="AB7" i="21"/>
  <c r="T48" i="21" s="1"/>
  <c r="G48" i="21" s="1"/>
  <c r="U7" i="21"/>
  <c r="F35" i="15"/>
  <c r="E7" i="67"/>
  <c r="M21" i="15"/>
  <c r="C34" i="15" l="1"/>
  <c r="F62" i="15"/>
  <c r="C61" i="15" s="1"/>
  <c r="J20" i="15"/>
  <c r="F13" i="39"/>
  <c r="H13" i="39"/>
  <c r="J13" i="39"/>
  <c r="R16" i="1"/>
  <c r="F7" i="33"/>
  <c r="N70" i="39"/>
  <c r="N72" i="39" s="1"/>
  <c r="F9" i="39" s="1"/>
  <c r="M72" i="39"/>
  <c r="N65" i="40"/>
  <c r="N67" i="40" s="1"/>
  <c r="M67" i="40"/>
  <c r="J9" i="40" s="1"/>
  <c r="E3" i="67"/>
  <c r="Q51" i="44"/>
  <c r="J21" i="44"/>
  <c r="J19" i="44" s="1"/>
  <c r="C15" i="44"/>
  <c r="J16" i="44"/>
  <c r="C35" i="44"/>
  <c r="C33" i="44" s="1"/>
  <c r="C38" i="44"/>
  <c r="G52" i="21"/>
  <c r="H52" i="21" s="1"/>
  <c r="G53" i="21"/>
  <c r="H53" i="21" s="1"/>
  <c r="I52" i="21"/>
  <c r="J52" i="21" s="1"/>
  <c r="C22" i="43"/>
  <c r="C21" i="43" s="1"/>
  <c r="C28" i="43" s="1"/>
  <c r="C30" i="43" s="1"/>
  <c r="C32" i="43" s="1"/>
  <c r="B2" i="43" s="1"/>
  <c r="B2" i="46"/>
  <c r="L59" i="34"/>
  <c r="K52" i="37"/>
  <c r="H7" i="33"/>
  <c r="C36" i="15"/>
  <c r="C13" i="15"/>
  <c r="J19" i="15"/>
  <c r="C33" i="15"/>
  <c r="Q50" i="15"/>
  <c r="C56" i="15"/>
  <c r="J59" i="15"/>
  <c r="J60" i="15" s="1"/>
  <c r="J14" i="15"/>
  <c r="R49" i="21"/>
  <c r="E48" i="21"/>
  <c r="AA7" i="33"/>
  <c r="R48" i="33" s="1"/>
  <c r="S7" i="33"/>
  <c r="AC7" i="33"/>
  <c r="V48" i="33" s="1"/>
  <c r="I48" i="33" s="1"/>
  <c r="W7" i="33"/>
  <c r="B7" i="67"/>
  <c r="J17" i="15" l="1"/>
  <c r="C31" i="15"/>
  <c r="AC13" i="39"/>
  <c r="W13" i="39"/>
  <c r="AA13" i="39"/>
  <c r="S13" i="39"/>
  <c r="AB13" i="39"/>
  <c r="U13" i="39"/>
  <c r="W9" i="40"/>
  <c r="AC9" i="40"/>
  <c r="V44" i="40" s="1"/>
  <c r="I44" i="40" s="1"/>
  <c r="AA9" i="39"/>
  <c r="R49" i="39" s="1"/>
  <c r="S9" i="39"/>
  <c r="H9" i="40"/>
  <c r="F9" i="40"/>
  <c r="J9" i="39"/>
  <c r="H9" i="39"/>
  <c r="B2" i="67"/>
  <c r="E53" i="21"/>
  <c r="F53" i="21" s="1"/>
  <c r="E52" i="21"/>
  <c r="F52" i="21" s="1"/>
  <c r="J22" i="15"/>
  <c r="J13" i="15"/>
  <c r="J23" i="15" s="1"/>
  <c r="C60" i="15"/>
  <c r="C58" i="15" s="1"/>
  <c r="C63" i="15"/>
  <c r="J35" i="15"/>
  <c r="C55" i="15"/>
  <c r="C64" i="15" s="1"/>
  <c r="Q71" i="15"/>
  <c r="C37" i="15"/>
  <c r="I52" i="33"/>
  <c r="J52" i="33" s="1"/>
  <c r="R49" i="33"/>
  <c r="E48" i="33"/>
  <c r="I53" i="33" s="1"/>
  <c r="J53" i="33" s="1"/>
  <c r="C48" i="21"/>
  <c r="C49" i="21"/>
  <c r="B3" i="21" s="1"/>
  <c r="B2" i="21" s="1"/>
  <c r="Q49" i="15"/>
  <c r="L52" i="37"/>
  <c r="M59" i="34"/>
  <c r="B5" i="43"/>
  <c r="B3" i="43"/>
  <c r="B4" i="43"/>
  <c r="I53" i="21"/>
  <c r="J53" i="21" s="1"/>
  <c r="Q72" i="44"/>
  <c r="C39" i="44"/>
  <c r="C32" i="44" s="1"/>
  <c r="C42" i="44" s="1"/>
  <c r="C43" i="44"/>
  <c r="AB7" i="33"/>
  <c r="T48" i="33" s="1"/>
  <c r="G48" i="33" s="1"/>
  <c r="U7" i="33"/>
  <c r="B4" i="46"/>
  <c r="D4" i="46"/>
  <c r="B3" i="46"/>
  <c r="J24" i="44"/>
  <c r="J15" i="44"/>
  <c r="J25" i="44" s="1"/>
  <c r="C30" i="15" l="1"/>
  <c r="C39" i="15" s="1"/>
  <c r="J39" i="15" s="1"/>
  <c r="J40" i="15" s="1"/>
  <c r="J16" i="15"/>
  <c r="J25" i="15" s="1"/>
  <c r="J18" i="44"/>
  <c r="J27" i="44" s="1"/>
  <c r="U9" i="39"/>
  <c r="AB9" i="39"/>
  <c r="T49" i="39" s="1"/>
  <c r="G49" i="39" s="1"/>
  <c r="AA9" i="40"/>
  <c r="R44" i="40" s="1"/>
  <c r="S9" i="40"/>
  <c r="I48" i="40"/>
  <c r="J48" i="40" s="1"/>
  <c r="W9" i="39"/>
  <c r="AC9" i="39"/>
  <c r="V49" i="39" s="1"/>
  <c r="I49" i="39" s="1"/>
  <c r="AB9" i="40"/>
  <c r="T44" i="40" s="1"/>
  <c r="G44" i="40" s="1"/>
  <c r="U9" i="40"/>
  <c r="E49" i="39"/>
  <c r="Q71" i="44"/>
  <c r="Q70" i="44" s="1"/>
  <c r="C44" i="44"/>
  <c r="C45" i="44" s="1"/>
  <c r="B2" i="44" s="1"/>
  <c r="E52" i="33"/>
  <c r="F52" i="33" s="1"/>
  <c r="E53" i="33"/>
  <c r="F53" i="33" s="1"/>
  <c r="C57" i="15"/>
  <c r="C66" i="15" s="1"/>
  <c r="C67" i="15" s="1"/>
  <c r="G52" i="33"/>
  <c r="H52" i="33" s="1"/>
  <c r="G53" i="33"/>
  <c r="H53" i="33" s="1"/>
  <c r="N59" i="34"/>
  <c r="O59" i="34" s="1"/>
  <c r="J7" i="34"/>
  <c r="M52" i="37"/>
  <c r="N52" i="37" s="1"/>
  <c r="O52" i="37" s="1"/>
  <c r="J7" i="37" s="1"/>
  <c r="H7" i="37"/>
  <c r="F7" i="37"/>
  <c r="C48" i="33"/>
  <c r="C49" i="33"/>
  <c r="B3" i="33" s="1"/>
  <c r="B2" i="33" s="1"/>
  <c r="B3" i="67"/>
  <c r="B4" i="67"/>
  <c r="L51" i="15"/>
  <c r="C40" i="15" l="1"/>
  <c r="Q48" i="15" s="1"/>
  <c r="Q54" i="15" s="1"/>
  <c r="Q70" i="15"/>
  <c r="Q69" i="15" s="1"/>
  <c r="R50" i="39"/>
  <c r="C49" i="39" s="1"/>
  <c r="I53" i="39"/>
  <c r="J53" i="39" s="1"/>
  <c r="I54" i="39"/>
  <c r="J54" i="39" s="1"/>
  <c r="G54" i="39"/>
  <c r="H54" i="39" s="1"/>
  <c r="G53" i="39"/>
  <c r="H53" i="39" s="1"/>
  <c r="E54" i="39"/>
  <c r="F54" i="39" s="1"/>
  <c r="E53" i="39"/>
  <c r="F53" i="39" s="1"/>
  <c r="G48" i="40"/>
  <c r="H48" i="40" s="1"/>
  <c r="G49" i="40"/>
  <c r="H49" i="40" s="1"/>
  <c r="R45" i="40"/>
  <c r="E44" i="40"/>
  <c r="L57" i="15"/>
  <c r="L60" i="15" s="1"/>
  <c r="L46" i="15" s="1"/>
  <c r="Q68" i="15"/>
  <c r="U7" i="37"/>
  <c r="AB7" i="37"/>
  <c r="T42" i="37" s="1"/>
  <c r="G42" i="37" s="1"/>
  <c r="AC7" i="34"/>
  <c r="V49" i="34" s="1"/>
  <c r="I49" i="34" s="1"/>
  <c r="W7" i="34"/>
  <c r="C70" i="15"/>
  <c r="B3" i="44"/>
  <c r="B5" i="44"/>
  <c r="B4" i="44"/>
  <c r="AA7" i="37"/>
  <c r="R42" i="37" s="1"/>
  <c r="S7" i="37"/>
  <c r="AC7" i="37"/>
  <c r="V42" i="37" s="1"/>
  <c r="I42" i="37" s="1"/>
  <c r="W7" i="37"/>
  <c r="H7" i="34"/>
  <c r="F7" i="34"/>
  <c r="J42" i="15" l="1"/>
  <c r="J43" i="15" s="1"/>
  <c r="C43" i="15"/>
  <c r="C46" i="15"/>
  <c r="Q57" i="15"/>
  <c r="Q66" i="15"/>
  <c r="B2" i="15"/>
  <c r="C10" i="12" s="1"/>
  <c r="C6" i="12" s="1"/>
  <c r="C50" i="39"/>
  <c r="B63" i="39" s="1"/>
  <c r="F63" i="39" s="1"/>
  <c r="B3" i="15"/>
  <c r="C8" i="12" s="1"/>
  <c r="E48" i="40"/>
  <c r="F48" i="40" s="1"/>
  <c r="E49" i="40"/>
  <c r="F49" i="40" s="1"/>
  <c r="I49" i="40"/>
  <c r="J49" i="40" s="1"/>
  <c r="C45" i="40"/>
  <c r="C44" i="40"/>
  <c r="AB7" i="34"/>
  <c r="T49" i="34" s="1"/>
  <c r="G49" i="34" s="1"/>
  <c r="U7" i="34"/>
  <c r="I46" i="37"/>
  <c r="J46" i="37" s="1"/>
  <c r="E42" i="37"/>
  <c r="R43" i="37"/>
  <c r="G46" i="37"/>
  <c r="H46" i="37" s="1"/>
  <c r="G47" i="37"/>
  <c r="H47" i="37" s="1"/>
  <c r="AA7" i="34"/>
  <c r="R49" i="34" s="1"/>
  <c r="S7" i="34"/>
  <c r="I53" i="34"/>
  <c r="J53" i="34" s="1"/>
  <c r="Q67" i="15"/>
  <c r="Q58" i="15"/>
  <c r="B65" i="39" l="1"/>
  <c r="F65" i="39" s="1"/>
  <c r="Q63" i="15"/>
  <c r="Q76" i="15"/>
  <c r="B60" i="39"/>
  <c r="F60" i="39" s="1"/>
  <c r="B58" i="39"/>
  <c r="F58" i="39" s="1"/>
  <c r="B59" i="39"/>
  <c r="F59" i="39" s="1"/>
  <c r="B64" i="39"/>
  <c r="F64" i="39" s="1"/>
  <c r="B62" i="39"/>
  <c r="F62" i="39" s="1"/>
  <c r="B67" i="39"/>
  <c r="F67" i="39" s="1"/>
  <c r="B61" i="39"/>
  <c r="F61" i="39" s="1"/>
  <c r="B66" i="39"/>
  <c r="F66" i="39" s="1"/>
  <c r="C24" i="12"/>
  <c r="C29" i="12"/>
  <c r="F68" i="39"/>
  <c r="B2" i="39" s="1"/>
  <c r="B5" i="39" s="1"/>
  <c r="B4" i="39"/>
  <c r="B54" i="40"/>
  <c r="F54" i="40" s="1"/>
  <c r="B55" i="40"/>
  <c r="F55" i="40" s="1"/>
  <c r="B62" i="40"/>
  <c r="F62" i="40" s="1"/>
  <c r="B53" i="40"/>
  <c r="F53" i="40" s="1"/>
  <c r="B57" i="40"/>
  <c r="F57" i="40" s="1"/>
  <c r="F63" i="40"/>
  <c r="B2" i="40" s="1"/>
  <c r="B56" i="40"/>
  <c r="F56" i="40" s="1"/>
  <c r="B60" i="40"/>
  <c r="F60" i="40" s="1"/>
  <c r="B61" i="40"/>
  <c r="F61" i="40" s="1"/>
  <c r="B58" i="40"/>
  <c r="F58" i="40" s="1"/>
  <c r="B59" i="40"/>
  <c r="F59" i="40" s="1"/>
  <c r="R50" i="34"/>
  <c r="E49" i="34"/>
  <c r="E46" i="37"/>
  <c r="F46" i="37" s="1"/>
  <c r="E47" i="37"/>
  <c r="F47" i="37" s="1"/>
  <c r="G53" i="34"/>
  <c r="H53" i="34" s="1"/>
  <c r="G54" i="34"/>
  <c r="H54" i="34" s="1"/>
  <c r="C43" i="37"/>
  <c r="B3" i="37" s="1"/>
  <c r="B2" i="37" s="1"/>
  <c r="C42" i="37"/>
  <c r="I47" i="37"/>
  <c r="J47" i="37" s="1"/>
  <c r="C21" i="9"/>
  <c r="C19" i="9"/>
  <c r="B3" i="39" l="1"/>
  <c r="C28" i="12"/>
  <c r="C26" i="12" s="1"/>
  <c r="C31" i="12" s="1"/>
  <c r="C30" i="12" s="1"/>
  <c r="C35" i="12"/>
  <c r="C33" i="12" s="1"/>
  <c r="L43" i="9"/>
  <c r="B3" i="40"/>
  <c r="B4" i="40"/>
  <c r="B5" i="40"/>
  <c r="E54" i="34"/>
  <c r="F54" i="34" s="1"/>
  <c r="E53" i="34"/>
  <c r="F53" i="34" s="1"/>
  <c r="I54" i="34"/>
  <c r="J54" i="34" s="1"/>
  <c r="C50" i="34"/>
  <c r="B3" i="34" s="1"/>
  <c r="B2" i="34" s="1"/>
  <c r="C49" i="34"/>
  <c r="C20" i="9"/>
  <c r="C36" i="12" l="1"/>
  <c r="B2" i="12" s="1"/>
  <c r="D19" i="9"/>
  <c r="B4" i="12" l="1"/>
  <c r="B3" i="12"/>
  <c r="B5" i="12"/>
  <c r="L44" i="9"/>
  <c r="D22" i="9"/>
  <c r="G19" i="9"/>
  <c r="C32" i="9" s="1"/>
  <c r="C33" i="9" s="1"/>
  <c r="D42" i="9" s="1"/>
  <c r="Q5" i="54" s="1"/>
  <c r="B47" i="63" s="1"/>
  <c r="D20" i="9"/>
  <c r="D21" i="9"/>
  <c r="G21" i="9" l="1"/>
  <c r="G20" i="9"/>
  <c r="G22" i="9"/>
  <c r="C34" i="9"/>
  <c r="E42" i="9" s="1"/>
  <c r="P5" i="54" s="1"/>
  <c r="B46" i="63" s="1"/>
  <c r="O38" i="9"/>
  <c r="C42" i="9"/>
  <c r="O43" i="9"/>
  <c r="C35" i="9"/>
  <c r="F42" i="9" s="1"/>
  <c r="N43" i="9"/>
  <c r="N38" i="9"/>
  <c r="K28" i="9" s="1"/>
  <c r="M38" i="9" l="1"/>
  <c r="K27" i="9" s="1"/>
  <c r="R5" i="54"/>
  <c r="B48" i="63" s="1"/>
  <c r="N68" i="9"/>
  <c r="C44" i="9"/>
  <c r="D63" i="9"/>
  <c r="D14" i="66"/>
  <c r="K26" i="9"/>
  <c r="K25" i="9"/>
  <c r="C90" i="9" l="1"/>
  <c r="C96" i="9"/>
  <c r="C91" i="9" s="1"/>
  <c r="C103" i="9"/>
  <c r="D77" i="9"/>
  <c r="N75" i="9" s="1"/>
  <c r="C111" i="9"/>
  <c r="C104" i="9" s="1"/>
  <c r="C82" i="9"/>
  <c r="C81" i="9" s="1"/>
  <c r="C85" i="9" s="1"/>
  <c r="C86" i="9" s="1"/>
  <c r="D72" i="9" s="1"/>
  <c r="D70" i="9"/>
  <c r="D71" i="9"/>
  <c r="D66" i="9" s="1"/>
  <c r="N72" i="9" s="1"/>
  <c r="E14" i="66"/>
  <c r="F14" i="66"/>
  <c r="B5" i="66"/>
  <c r="N69" i="9"/>
  <c r="D44" i="9"/>
  <c r="F44" i="9"/>
  <c r="G14" i="66"/>
  <c r="B6" i="66" s="1"/>
  <c r="E44" i="9"/>
  <c r="O39" i="9"/>
  <c r="C97" i="9" l="1"/>
  <c r="C98" i="9" s="1"/>
  <c r="E98" i="9" s="1"/>
  <c r="E99" i="9" s="1"/>
  <c r="D6" i="66"/>
  <c r="C6" i="66"/>
  <c r="C113" i="9"/>
  <c r="M88" i="9"/>
  <c r="N88" i="9" s="1"/>
  <c r="M85" i="9"/>
  <c r="N85" i="9" s="1"/>
  <c r="M87" i="9"/>
  <c r="N87" i="9" s="1"/>
  <c r="M84" i="9"/>
  <c r="N84" i="9" s="1"/>
  <c r="M83" i="9"/>
  <c r="N83" i="9" s="1"/>
  <c r="M86" i="9"/>
  <c r="N86" i="9" s="1"/>
  <c r="R6" i="54"/>
  <c r="B50" i="63" s="1"/>
  <c r="K29" i="9"/>
  <c r="K30" i="9" s="1"/>
  <c r="D5" i="66"/>
  <c r="C5" i="66"/>
  <c r="N89" i="9" l="1"/>
  <c r="O89" i="9" s="1"/>
  <c r="C99" i="9"/>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<sst xmlns="http://schemas.openxmlformats.org/spreadsheetml/2006/main" count="7012" uniqueCount="3094">
  <si>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</si>
  <si>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</si>
  <si>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</si>
  <si>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</si>
  <si>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</si>
  <si>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</si>
  <si>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</si>
  <si>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</si>
  <si>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</si>
  <si>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</si>
  <si>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</si>
  <si>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</si>
  <si>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</si>
  <si>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</si>
  <si>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</si>
  <si>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</si>
  <si>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</si>
  <si>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</si>
  <si>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</si>
  <si>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</si>
  <si>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</si>
  <si>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</si>
  <si>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</si>
  <si>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</si>
  <si>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</si>
  <si>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</si>
  <si>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</si>
  <si>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</si>
  <si>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</si>
  <si>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</si>
  <si>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</si>
  <si>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</si>
  <si>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</si>
  <si>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</si>
  <si>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</si>
  <si>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</si>
  <si>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</si>
  <si>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</si>
  <si>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</si>
  <si>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</si>
  <si>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</si>
  <si>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</si>
  <si>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</si>
  <si>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</si>
  <si>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</si>
  <si>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</si>
  <si>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</si>
  <si>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</si>
  <si>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</si>
  <si>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</si>
  <si>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</si>
  <si>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</si>
  <si>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</si>
  <si>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</si>
  <si>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</si>
  <si>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</si>
  <si>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</si>
  <si>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</si>
  <si>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</si>
  <si>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</si>
  <si>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</si>
  <si>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</si>
  <si>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</si>
  <si>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</si>
  <si>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</si>
  <si>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</si>
  <si>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</si>
  <si>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</si>
  <si>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</si>
  <si>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</si>
  <si>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</si>
  <si>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</si>
  <si>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</si>
  <si>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</si>
  <si>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</si>
  <si>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</si>
  <si>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</si>
  <si>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</si>
  <si>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</si>
  <si>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</si>
  <si>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</si>
  <si>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</si>
  <si>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</si>
  <si>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</si>
  <si>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</si>
  <si>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</si>
  <si>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</si>
  <si>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</si>
  <si>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</si>
  <si>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</si>
  <si>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</si>
  <si>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</si>
  <si>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</si>
  <si>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</si>
  <si>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</si>
  <si>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</si>
  <si>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</si>
  <si>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</si>
  <si>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</si>
  <si>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</si>
  <si>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</si>
  <si>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</si>
  <si>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</si>
  <si>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</si>
  <si>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</si>
  <si>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</si>
  <si>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</si>
  <si>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</si>
  <si>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</si>
  <si>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</si>
  <si>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</si>
  <si>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</si>
  <si>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</si>
  <si>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</si>
  <si>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</si>
  <si>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</si>
  <si>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</si>
  <si>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</si>
  <si>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</si>
  <si>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</si>
  <si>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</si>
  <si>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</si>
  <si>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</si>
  <si>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</si>
  <si>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</si>
  <si>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</si>
  <si>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</si>
  <si>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</si>
  <si>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</si>
  <si>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</si>
  <si>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</si>
  <si>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</si>
  <si>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</si>
  <si>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</si>
  <si>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</si>
  <si>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</si>
  <si>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</si>
  <si>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</si>
  <si>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</si>
  <si>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</si>
  <si>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</si>
  <si>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</si>
  <si>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</si>
  <si>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</si>
  <si>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</si>
  <si>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</si>
  <si>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</si>
  <si>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</si>
  <si>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</si>
  <si>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</si>
  <si>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</si>
  <si>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</si>
  <si>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</si>
  <si>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</si>
  <si>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</si>
  <si>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</si>
  <si>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</si>
  <si>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</si>
  <si>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</si>
  <si>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</si>
  <si>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</si>
  <si>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</si>
  <si>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</si>
  <si>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</si>
  <si>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</si>
  <si>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</si>
  <si>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</si>
  <si>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</si>
  <si>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</si>
  <si>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</si>
  <si>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</si>
  <si>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</si>
  <si>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</si>
  <si>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</si>
  <si>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</si>
  <si>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</si>
  <si>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</si>
  <si>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</si>
  <si>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</si>
  <si>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</si>
  <si>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</si>
  <si>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</si>
  <si>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</si>
  <si>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</si>
  <si>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</si>
  <si>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</si>
  <si>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</si>
  <si>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</si>
  <si>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</si>
  <si>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</si>
  <si>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</si>
  <si>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</si>
  <si>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</si>
  <si>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</si>
  <si>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</si>
  <si>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</si>
  <si>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</si>
  <si>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</si>
  <si>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</si>
  <si>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</si>
  <si>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</si>
  <si>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</si>
  <si>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</si>
  <si>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</si>
  <si>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</si>
  <si>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</si>
  <si>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</si>
  <si>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</si>
  <si>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</si>
  <si>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</si>
  <si>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</si>
  <si>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</si>
  <si>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</si>
  <si>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</si>
  <si>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</si>
  <si>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</si>
  <si>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</si>
  <si>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</si>
  <si>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</si>
  <si>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</si>
  <si>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</si>
  <si>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</si>
  <si>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</si>
  <si>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</si>
  <si>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</si>
  <si>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</si>
  <si>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</si>
  <si>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</si>
  <si>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</si>
  <si>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</si>
  <si>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</si>
  <si>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</si>
  <si>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</si>
  <si>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</si>
  <si>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</si>
  <si>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</si>
  <si>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</si>
  <si>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</si>
  <si>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</si>
  <si>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</si>
  <si>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</si>
  <si>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</si>
  <si>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</si>
  <si>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</si>
  <si>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</si>
  <si>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</si>
  <si>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</si>
  <si>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</si>
  <si>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</si>
  <si>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</si>
  <si>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</si>
  <si>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</si>
  <si>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</si>
  <si>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</si>
  <si>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</si>
  <si>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</si>
  <si>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</si>
  <si>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</si>
  <si>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</si>
  <si>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</si>
  <si>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</si>
  <si>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</si>
  <si>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</si>
  <si>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</si>
  <si>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</si>
  <si>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</si>
  <si>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</si>
  <si>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</si>
  <si>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</si>
  <si>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</si>
  <si>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</si>
  <si>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</si>
  <si>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</si>
  <si>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</si>
  <si>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</si>
  <si>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</si>
  <si>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</si>
  <si>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</si>
  <si>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</si>
  <si>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</si>
  <si>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</si>
  <si>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</si>
  <si>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</si>
  <si>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</si>
  <si>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</si>
  <si>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</si>
  <si>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</si>
  <si>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</si>
  <si>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</si>
  <si>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</si>
  <si>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</si>
  <si>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</si>
  <si>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</si>
  <si>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</si>
  <si>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</si>
  <si>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</si>
  <si>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</si>
  <si>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</si>
  <si>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</si>
  <si>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</si>
  <si>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</si>
  <si>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</si>
  <si>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</si>
  <si>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</si>
  <si>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</si>
  <si>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</si>
  <si>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</si>
  <si>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</si>
  <si>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</si>
  <si>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</si>
  <si>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</si>
  <si>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</si>
  <si>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</si>
  <si>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</si>
  <si>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</si>
  <si>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</si>
  <si>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</si>
  <si>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</si>
  <si>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</si>
  <si>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</si>
  <si>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</si>
  <si>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</si>
  <si>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</si>
  <si>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</si>
  <si>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</si>
  <si>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</si>
  <si>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</si>
  <si>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</si>
  <si>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</si>
  <si>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</si>
  <si>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</si>
  <si>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</si>
  <si>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</si>
  <si>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</si>
  <si>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</si>
  <si>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</si>
  <si>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</si>
  <si>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</si>
  <si>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</si>
  <si>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</si>
  <si>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</si>
  <si>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</si>
  <si>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</si>
  <si>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</si>
  <si>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</si>
  <si>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</si>
  <si>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</si>
  <si>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</si>
  <si>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</si>
  <si>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</si>
  <si>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</si>
  <si>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</si>
  <si>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</si>
  <si>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</si>
  <si>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</si>
  <si>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</si>
  <si>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</si>
  <si>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</si>
  <si>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</si>
  <si>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</si>
  <si>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</si>
  <si>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</si>
  <si>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</si>
  <si>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</si>
  <si>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</si>
  <si>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</si>
  <si>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</si>
  <si>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</si>
  <si>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</si>
  <si>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</si>
  <si>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</si>
  <si>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</si>
  <si>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</si>
  <si>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</si>
  <si>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</si>
  <si>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</si>
  <si>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</si>
  <si>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</si>
  <si>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</si>
  <si>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</si>
  <si>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</si>
  <si>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</si>
  <si>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</si>
  <si>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</si>
  <si>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</si>
  <si>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</si>
  <si>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</si>
  <si>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</si>
  <si>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</si>
  <si>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</si>
  <si>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</si>
  <si>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</si>
  <si>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</si>
  <si>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</si>
  <si>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</si>
  <si>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</si>
  <si>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</si>
  <si>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</si>
  <si>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</si>
  <si>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</si>
  <si>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</si>
  <si>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</si>
  <si>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</si>
  <si>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</si>
  <si>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</si>
  <si>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</si>
  <si>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</si>
  <si>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</si>
  <si>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</si>
  <si>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</si>
  <si>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</si>
  <si>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</si>
  <si>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</si>
  <si>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</si>
  <si>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</si>
  <si>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</si>
  <si>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</si>
  <si>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</si>
  <si>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</si>
  <si>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</si>
  <si>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</si>
  <si>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</si>
  <si>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</si>
  <si>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</si>
  <si>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</si>
  <si>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</si>
  <si>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</si>
  <si>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</si>
  <si>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</si>
  <si>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</si>
  <si>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</si>
  <si>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</si>
  <si>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</si>
  <si>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</si>
  <si>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</si>
  <si>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</si>
  <si>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</si>
  <si>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</si>
  <si>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</si>
  <si>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</si>
  <si>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</si>
  <si>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</si>
  <si>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</si>
  <si>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</si>
  <si>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</si>
  <si>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</si>
  <si>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</si>
  <si>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</si>
  <si>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</si>
  <si>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</si>
  <si>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</si>
  <si>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</si>
  <si>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</si>
  <si>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</si>
  <si>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</si>
  <si>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</si>
  <si>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</si>
  <si>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</si>
  <si>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</si>
  <si>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</si>
  <si>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</si>
  <si>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</si>
  <si>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</si>
  <si>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</si>
  <si>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</si>
  <si>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</si>
  <si>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</si>
  <si>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</si>
  <si>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</si>
  <si>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</si>
  <si>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</si>
  <si>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</si>
  <si>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</si>
  <si>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</si>
  <si>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</si>
  <si>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</si>
  <si>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</si>
  <si>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</si>
  <si>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</si>
  <si>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</si>
  <si>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</si>
  <si>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</si>
  <si>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</si>
  <si>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</si>
  <si>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</si>
  <si>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</si>
  <si>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</si>
  <si>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</si>
  <si>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</si>
  <si>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</si>
  <si>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</si>
  <si>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</si>
  <si>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</si>
  <si>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</si>
  <si>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</si>
  <si>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</si>
  <si>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</si>
  <si>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</si>
  <si>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</si>
  <si>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</si>
  <si>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</si>
  <si>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</si>
  <si>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</si>
  <si>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</si>
  <si>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</si>
  <si>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</si>
  <si>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</si>
  <si>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</si>
  <si>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</si>
  <si>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</si>
  <si>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</si>
  <si>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</si>
  <si>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</si>
  <si>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</si>
  <si>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</si>
  <si>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</si>
  <si>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</si>
  <si>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</si>
  <si>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</si>
  <si>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</si>
  <si>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</si>
  <si>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</si>
  <si>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</si>
  <si>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</si>
  <si>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</si>
  <si>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</si>
  <si>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</si>
  <si>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</si>
  <si>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</si>
  <si>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</si>
  <si>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</si>
  <si>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</si>
  <si>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</si>
  <si>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</si>
  <si>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</si>
  <si>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</si>
  <si>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</si>
  <si>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</si>
  <si>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</si>
  <si>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</si>
  <si>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</si>
  <si>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</si>
  <si>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</si>
  <si>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</si>
  <si>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</si>
  <si>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</si>
  <si>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</si>
  <si>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</si>
  <si>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</si>
  <si>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</si>
  <si>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</si>
  <si>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</si>
  <si>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</si>
  <si>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</si>
  <si>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</si>
  <si>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</si>
  <si>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</si>
  <si>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</si>
  <si>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</si>
  <si>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</si>
  <si>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</si>
  <si>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</si>
  <si>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</si>
  <si>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</si>
  <si>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</si>
  <si>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</si>
  <si>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</si>
  <si>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</si>
  <si>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</si>
  <si>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</si>
  <si>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</si>
  <si>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</si>
  <si>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</si>
  <si>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</si>
  <si>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</si>
  <si>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</si>
  <si>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</si>
  <si>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</si>
  <si>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</si>
  <si>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</si>
  <si>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</si>
  <si>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</si>
  <si>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</si>
  <si>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</si>
  <si>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</si>
  <si>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</si>
  <si>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</si>
  <si>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</si>
  <si>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</si>
  <si>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</si>
  <si>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</si>
  <si>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</si>
  <si>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</si>
  <si>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</si>
  <si>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</si>
  <si>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</si>
  <si>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</si>
  <si>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</si>
  <si>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</si>
  <si>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</si>
  <si>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</si>
  <si>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</si>
  <si>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</si>
  <si>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</si>
  <si>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</si>
  <si>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</si>
  <si>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</si>
  <si>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</si>
  <si>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</si>
  <si>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</si>
  <si>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</si>
  <si>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</si>
  <si>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</si>
  <si>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</si>
  <si>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</si>
  <si>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</si>
  <si>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</si>
  <si>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</si>
  <si>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</si>
  <si>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</si>
  <si>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</si>
  <si>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</si>
  <si>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</si>
  <si>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</si>
  <si>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</si>
  <si>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</si>
  <si>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</si>
  <si>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</si>
  <si>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</si>
  <si>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</si>
  <si>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</si>
  <si>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</si>
  <si>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</si>
  <si>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</si>
  <si>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</si>
  <si>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</si>
  <si>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</si>
  <si>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</si>
  <si>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</si>
  <si>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</si>
  <si>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</si>
  <si>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</si>
  <si>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</si>
  <si>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</si>
  <si>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</si>
  <si>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</si>
  <si>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</si>
  <si>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</si>
  <si>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</si>
  <si>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</si>
  <si>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</si>
  <si>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</si>
  <si>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</si>
  <si>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</si>
  <si>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</si>
  <si>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</si>
  <si>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</si>
  <si>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</si>
  <si>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</si>
  <si>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</si>
  <si>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</si>
  <si>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</si>
  <si>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</si>
  <si>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</si>
  <si>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</si>
  <si>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</si>
  <si>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</si>
  <si>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</si>
  <si>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</si>
  <si>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</si>
  <si>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</si>
  <si>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</si>
  <si>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</si>
  <si>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</si>
  <si>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</si>
  <si>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</si>
  <si>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</si>
  <si>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</si>
  <si>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</si>
  <si>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</si>
  <si>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</si>
  <si>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</si>
  <si>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</si>
  <si>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</si>
  <si>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</si>
  <si>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</si>
  <si>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</si>
  <si>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</si>
  <si>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</si>
  <si>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</si>
  <si>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</si>
  <si>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</si>
  <si>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</si>
  <si>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</si>
  <si>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</si>
  <si>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</si>
  <si>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</si>
  <si>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</si>
  <si>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</si>
  <si>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</si>
  <si>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</si>
  <si>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</si>
  <si>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</si>
  <si>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</si>
  <si>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</si>
  <si>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</si>
  <si>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</si>
  <si>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</si>
  <si>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</si>
  <si>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</si>
  <si>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</si>
  <si>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</si>
  <si>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</si>
  <si>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</si>
  <si>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</si>
  <si>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</si>
  <si>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</si>
  <si>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</si>
  <si>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</si>
  <si>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</si>
  <si>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</si>
  <si>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</si>
  <si>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</si>
  <si>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</si>
  <si>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</si>
  <si>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</si>
  <si>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</si>
  <si>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</si>
  <si>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</si>
  <si>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</si>
  <si>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</si>
  <si>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</si>
  <si>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</si>
  <si>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</si>
  <si>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</si>
  <si>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</si>
  <si>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</si>
  <si>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</si>
  <si>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</si>
  <si>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</si>
  <si>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</si>
  <si>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</si>
  <si>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</si>
  <si>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</si>
  <si>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</si>
  <si>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</si>
  <si>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</si>
  <si>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</si>
  <si>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</si>
  <si>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</si>
  <si>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</si>
  <si>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</si>
  <si>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</si>
  <si>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</si>
  <si>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</si>
  <si>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</si>
  <si>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</si>
  <si>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</si>
  <si>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</si>
  <si>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</si>
  <si>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</si>
  <si>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</si>
  <si>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</si>
  <si>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</si>
  <si>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</si>
  <si>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</si>
  <si>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</si>
  <si>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</si>
  <si>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</si>
  <si>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</si>
  <si>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</si>
  <si>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</si>
  <si>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</si>
  <si>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</si>
  <si>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</si>
  <si>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</si>
  <si>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</si>
  <si>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</si>
  <si>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</si>
  <si>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</si>
  <si>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</si>
  <si>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</si>
  <si>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</si>
  <si>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</si>
  <si>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</si>
  <si>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</si>
  <si>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</si>
  <si>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</si>
  <si>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</si>
  <si>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</si>
  <si>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</si>
  <si>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</si>
  <si>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</si>
  <si>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</si>
  <si>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</si>
  <si>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</si>
  <si>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</si>
  <si>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</si>
  <si>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</si>
  <si>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</si>
  <si>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</si>
  <si>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</si>
  <si>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</si>
  <si>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</si>
  <si>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</si>
  <si>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</si>
  <si>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</si>
  <si>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</si>
  <si>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</si>
  <si>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</si>
  <si>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</si>
  <si>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</si>
  <si>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</si>
  <si>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</si>
  <si>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</si>
  <si>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</si>
  <si>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</si>
  <si>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</si>
  <si>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</si>
  <si>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</si>
  <si>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</si>
  <si>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</si>
  <si>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</si>
  <si>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</si>
  <si>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</si>
  <si>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</si>
  <si>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</si>
  <si>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</si>
  <si>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</si>
  <si>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</si>
  <si>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</si>
  <si>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</si>
  <si>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</si>
  <si>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</si>
  <si>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</si>
  <si>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</si>
  <si>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</si>
  <si>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</si>
  <si>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</si>
  <si>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</si>
  <si>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</si>
  <si>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</si>
  <si>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</si>
  <si>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</si>
  <si>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</si>
  <si>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</si>
  <si>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</si>
  <si>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</si>
  <si>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</si>
  <si>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</si>
  <si>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</si>
  <si>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</si>
  <si>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</si>
  <si>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</si>
  <si>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</si>
  <si>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</si>
  <si>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</si>
  <si>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</si>
  <si>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</si>
  <si>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</si>
  <si>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</si>
  <si>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</si>
  <si>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</si>
  <si>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</si>
  <si>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</si>
  <si>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</si>
  <si>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</si>
  <si>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</si>
  <si>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</si>
  <si>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</si>
  <si>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</si>
  <si>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</si>
  <si>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</si>
  <si>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</si>
  <si>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</si>
  <si>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</si>
  <si>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</si>
  <si>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</si>
  <si>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</si>
  <si>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</si>
  <si>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</si>
  <si>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</si>
  <si>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</si>
  <si>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</si>
  <si>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</si>
  <si>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</si>
  <si>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</si>
  <si>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</si>
  <si>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</si>
  <si>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</si>
  <si>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</si>
  <si>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</si>
  <si>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</si>
  <si>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</si>
  <si>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</si>
  <si>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</si>
  <si>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</si>
  <si>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</si>
  <si>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</si>
  <si>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</si>
  <si>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</si>
  <si>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</si>
  <si>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</si>
  <si>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</si>
  <si>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</si>
  <si>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</si>
  <si>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</si>
  <si>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</si>
  <si>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</si>
  <si>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</si>
  <si>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</si>
  <si>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</si>
  <si>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</si>
  <si>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</si>
  <si>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</si>
  <si>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</si>
  <si>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</si>
  <si>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</si>
  <si>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</si>
  <si>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</si>
  <si>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</si>
  <si>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</si>
  <si>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</si>
  <si>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</si>
  <si>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</si>
  <si>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</si>
  <si>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</si>
  <si>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</si>
  <si>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</si>
  <si>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</si>
  <si>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</si>
  <si>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</si>
  <si>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</si>
  <si>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</si>
  <si>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</si>
  <si>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</si>
  <si>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</si>
  <si>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</si>
  <si>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</si>
  <si>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</si>
  <si>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</si>
  <si>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</si>
  <si>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</si>
  <si>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</si>
  <si>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</si>
  <si>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</si>
  <si>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</si>
  <si>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</si>
  <si>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</si>
  <si>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</si>
  <si>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</si>
  <si>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</si>
  <si>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</si>
  <si>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</si>
  <si>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</si>
  <si>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</si>
  <si>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</si>
  <si>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</si>
  <si>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</si>
  <si>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</si>
  <si>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</si>
  <si>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</si>
  <si>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</si>
  <si>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</si>
  <si>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</si>
  <si>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</si>
  <si>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</si>
  <si>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</si>
  <si>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</si>
  <si>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</si>
  <si>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</si>
  <si>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</si>
  <si>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</si>
  <si>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</si>
  <si>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</si>
  <si>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</si>
  <si>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</si>
  <si>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</si>
  <si>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</si>
  <si>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</si>
  <si>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</si>
  <si>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</si>
  <si>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</si>
  <si>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</si>
  <si>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</si>
  <si>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</si>
  <si>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</si>
  <si>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</si>
  <si>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</si>
  <si>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</si>
  <si>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</si>
  <si>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</si>
  <si>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</si>
  <si>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</si>
  <si>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</si>
  <si>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</si>
  <si>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</si>
  <si>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</si>
  <si>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</si>
  <si>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</si>
  <si>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</si>
  <si>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</si>
  <si>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</si>
  <si>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</si>
  <si>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</si>
  <si>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</si>
  <si>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</si>
  <si>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</si>
  <si>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</si>
  <si>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</si>
  <si>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</si>
  <si>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</si>
  <si>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</si>
  <si>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</si>
  <si>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</si>
  <si>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</si>
  <si>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</si>
  <si>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</si>
  <si>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</si>
  <si>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</si>
  <si>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</si>
  <si>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</si>
  <si>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</si>
  <si>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</si>
  <si>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</si>
  <si>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</si>
  <si>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</si>
  <si>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</si>
  <si>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</si>
  <si>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</si>
  <si>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</si>
  <si>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</si>
  <si>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</si>
  <si>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</si>
  <si>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</si>
  <si>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</si>
  <si>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</si>
  <si>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</si>
  <si>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</si>
  <si>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</si>
  <si>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</si>
  <si>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</si>
  <si>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</si>
  <si>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</si>
  <si>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</si>
  <si>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</si>
  <si>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</si>
  <si>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</si>
  <si>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</si>
  <si>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</si>
  <si>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</si>
  <si>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</si>
  <si>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</si>
  <si>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</si>
  <si>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</si>
  <si>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</si>
  <si>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</si>
  <si>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</si>
  <si>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</si>
  <si>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</si>
  <si>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</si>
  <si>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</si>
  <si>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</si>
  <si>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</si>
  <si>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</si>
  <si>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</si>
  <si>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</si>
  <si>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</si>
  <si>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</si>
  <si>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</si>
  <si>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</si>
  <si>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</si>
  <si>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</si>
  <si>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</si>
  <si>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</si>
  <si>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</si>
  <si>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</si>
  <si>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</si>
  <si>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</si>
  <si>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</si>
  <si>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</si>
  <si>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</si>
  <si>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</si>
  <si>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</si>
  <si>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</si>
  <si>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</si>
  <si>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</si>
  <si>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</si>
  <si>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</si>
  <si>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</si>
  <si>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</si>
  <si>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</si>
  <si>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</si>
  <si>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</si>
  <si>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</si>
  <si>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</si>
  <si>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</si>
  <si>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</si>
  <si>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</si>
  <si>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</si>
  <si>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</si>
  <si>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</si>
  <si>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</si>
  <si>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</si>
  <si>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</si>
  <si>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</si>
  <si>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</si>
  <si>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</si>
  <si>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</si>
  <si>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</si>
  <si>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</si>
  <si>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</si>
  <si>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</si>
  <si>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</si>
  <si>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</si>
  <si>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</si>
  <si>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</si>
  <si>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</si>
  <si>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</si>
  <si>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</si>
  <si>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</si>
  <si>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</si>
  <si>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</si>
  <si>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</si>
  <si>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</si>
  <si>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</si>
  <si>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</si>
  <si>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</si>
  <si>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</si>
  <si>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</si>
  <si>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</si>
  <si>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</si>
  <si>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</si>
  <si>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</si>
  <si>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</si>
  <si>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</si>
  <si>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</si>
  <si>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</si>
  <si>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</si>
  <si>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</si>
  <si>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</si>
  <si>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</si>
  <si>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</si>
  <si>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</si>
  <si>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</si>
  <si>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</si>
  <si>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</si>
  <si>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</si>
  <si>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</si>
  <si>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</si>
  <si>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</si>
  <si>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</si>
  <si>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</si>
  <si>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</si>
  <si>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</si>
  <si>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</si>
  <si>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</si>
  <si>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</si>
  <si>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</si>
  <si>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</si>
  <si>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</si>
  <si>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</si>
  <si>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</si>
  <si>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</si>
  <si>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</si>
  <si>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</si>
  <si>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</si>
  <si>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</si>
  <si>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</si>
  <si>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</si>
  <si>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</si>
  <si>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</si>
  <si>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</si>
  <si>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</si>
  <si>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</si>
  <si>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</si>
  <si>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</si>
  <si>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</si>
  <si>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</si>
  <si>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</si>
  <si>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</si>
  <si>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</si>
  <si>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</si>
  <si>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</si>
  <si>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</si>
  <si>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</si>
  <si>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</si>
  <si>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</si>
  <si>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</si>
  <si>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</si>
  <si>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</si>
  <si>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</si>
  <si>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</si>
  <si>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</si>
  <si>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</si>
  <si>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</si>
  <si>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</si>
  <si>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</si>
  <si>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</si>
  <si>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</si>
  <si>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</si>
  <si>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</si>
  <si>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</si>
  <si>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</si>
  <si>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</si>
  <si>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</si>
  <si>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</si>
  <si>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</si>
  <si>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</si>
  <si>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</si>
  <si>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</si>
  <si>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</si>
  <si>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</si>
  <si>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</si>
  <si>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</si>
  <si>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</si>
  <si>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</si>
  <si>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</si>
  <si>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</si>
  <si>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</si>
  <si>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</si>
  <si>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</si>
  <si>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</si>
  <si>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</si>
  <si>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</si>
  <si>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</si>
  <si>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</si>
  <si>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</si>
  <si>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</si>
  <si>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</si>
  <si>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</si>
  <si>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</si>
  <si>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</si>
  <si>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</si>
  <si>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</si>
  <si>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</si>
  <si>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</si>
  <si>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</si>
  <si>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</si>
  <si>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</si>
  <si>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</si>
  <si>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</si>
  <si>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</si>
  <si>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</si>
  <si>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</si>
  <si>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</si>
  <si>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</si>
  <si>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</si>
  <si>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</si>
  <si>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</si>
  <si>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</si>
  <si>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</si>
  <si>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</si>
  <si>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</si>
  <si>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</si>
  <si>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</si>
  <si>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</si>
  <si>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</si>
  <si>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</si>
  <si>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</si>
  <si>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</si>
  <si>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</si>
  <si>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</si>
  <si>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</si>
  <si>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</si>
  <si>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</si>
  <si>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</si>
  <si>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</si>
  <si>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</si>
  <si>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</si>
  <si>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</si>
  <si>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</si>
  <si>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</si>
  <si>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</si>
  <si>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</si>
  <si>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</si>
  <si>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</si>
  <si>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</si>
  <si>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</si>
  <si>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</si>
  <si>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</si>
  <si>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</si>
  <si>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</si>
  <si>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</si>
  <si>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</si>
  <si>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</si>
  <si>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</si>
  <si>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</si>
  <si>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</si>
  <si>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</si>
  <si>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</si>
  <si>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</si>
  <si>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</si>
  <si>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</si>
  <si>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</si>
  <si>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</si>
  <si>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</si>
  <si>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</si>
  <si>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</si>
  <si>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</si>
  <si>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</si>
  <si>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</si>
  <si>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</si>
  <si>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</si>
  <si>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</si>
  <si>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</si>
  <si>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</si>
  <si>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</si>
  <si>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</si>
  <si>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</si>
  <si>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</si>
  <si>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</si>
  <si>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</si>
  <si>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</si>
  <si>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</si>
  <si>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</si>
  <si>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</si>
  <si>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</si>
  <si>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</si>
  <si>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</si>
  <si>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</si>
  <si>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</si>
  <si>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</si>
  <si>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</si>
  <si>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</si>
  <si>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</si>
  <si>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</si>
  <si>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</si>
  <si>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</si>
  <si>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</si>
  <si>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</si>
  <si>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</si>
  <si>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</si>
  <si>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</si>
  <si>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</si>
  <si>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</si>
  <si>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</si>
  <si>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</si>
  <si>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</si>
  <si>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</si>
  <si>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</si>
  <si>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</si>
  <si>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</si>
  <si>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</si>
  <si>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</si>
  <si>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</si>
  <si>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</si>
  <si>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</si>
  <si>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</si>
  <si>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</si>
  <si>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</si>
  <si>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</si>
  <si>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</si>
  <si>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</si>
  <si>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</si>
  <si>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</si>
  <si>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</si>
  <si>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</si>
  <si>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</si>
  <si>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</si>
  <si>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</si>
  <si>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</si>
  <si>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</si>
  <si>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</si>
  <si>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</si>
  <si>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</si>
  <si>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</si>
  <si>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</si>
  <si>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</si>
  <si>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</si>
  <si>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</si>
  <si>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</si>
  <si>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</si>
  <si>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</si>
  <si>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</si>
  <si>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</si>
  <si>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</si>
  <si>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</si>
  <si>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</si>
  <si>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</si>
  <si>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</si>
  <si>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</si>
  <si>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</si>
  <si>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</si>
  <si>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</si>
  <si>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</si>
  <si>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</si>
  <si>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</si>
  <si>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</si>
  <si>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</si>
  <si>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</si>
  <si>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</si>
  <si>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</si>
  <si>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</si>
  <si>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</si>
  <si>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</si>
  <si>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</si>
  <si>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</si>
  <si>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</si>
  <si>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</si>
  <si>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</si>
  <si>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</si>
  <si>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</si>
  <si>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</si>
  <si>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</si>
  <si>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</si>
  <si>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</si>
  <si>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</si>
  <si>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</si>
  <si>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</si>
  <si>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</si>
  <si>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</si>
  <si>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</si>
  <si>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</si>
  <si>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</si>
  <si>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</si>
  <si>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</si>
  <si>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</si>
  <si>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</si>
  <si>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</si>
  <si>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</si>
  <si>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</si>
  <si>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</si>
  <si>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</si>
  <si>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</si>
  <si>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</si>
  <si>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</si>
  <si>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</si>
  <si>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</si>
  <si>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</si>
  <si>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</si>
  <si>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</si>
  <si>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</si>
  <si>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</si>
  <si>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</si>
  <si>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</si>
  <si>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</si>
  <si>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</si>
  <si>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</si>
  <si>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</si>
  <si>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</si>
  <si>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</si>
  <si>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</si>
  <si>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</si>
  <si>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</si>
  <si>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</si>
  <si>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</si>
  <si>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</si>
  <si>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</si>
  <si>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</si>
  <si>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</si>
  <si>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</si>
  <si>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</si>
  <si>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</si>
  <si>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</si>
  <si>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</si>
  <si>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</si>
  <si>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</si>
  <si>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</si>
  <si>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</si>
  <si>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</si>
  <si>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</si>
  <si>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</si>
  <si>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</si>
  <si>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</si>
  <si>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</si>
  <si>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</si>
  <si>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</si>
  <si>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</si>
  <si>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</si>
  <si>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</si>
  <si>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</si>
  <si>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</si>
  <si>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</si>
  <si>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</si>
  <si>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</si>
  <si>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</si>
  <si>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</si>
  <si>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</si>
  <si>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</si>
  <si>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</si>
  <si>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</si>
  <si>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</si>
  <si>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</si>
  <si>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</si>
  <si>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</si>
  <si>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</si>
  <si>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</si>
  <si>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</si>
  <si>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</si>
  <si>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</si>
  <si>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</si>
  <si>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</si>
  <si>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</si>
  <si>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</si>
  <si>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</si>
  <si>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</si>
  <si>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</si>
  <si>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</si>
  <si>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</si>
  <si>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</si>
  <si>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</si>
  <si>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</si>
  <si>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</si>
  <si>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</si>
  <si>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</si>
  <si>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</si>
  <si>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</si>
  <si>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</si>
  <si>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</si>
  <si>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</si>
  <si>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</si>
  <si>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</si>
  <si>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</si>
  <si>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</si>
  <si>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</si>
  <si>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</si>
  <si>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</si>
  <si>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</si>
  <si>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</si>
  <si>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</si>
  <si>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</si>
  <si>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</si>
  <si>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</si>
  <si>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</si>
  <si>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</si>
  <si>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</si>
  <si>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</si>
  <si>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</si>
  <si>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</si>
  <si>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</si>
  <si>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</si>
  <si>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</si>
  <si>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</si>
  <si>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</si>
  <si>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</si>
  <si>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</si>
  <si>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</si>
  <si>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</si>
  <si>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</si>
  <si>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</si>
  <si>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</si>
  <si>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</si>
  <si>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</si>
  <si>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</si>
  <si>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</si>
  <si>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</si>
  <si>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</si>
  <si>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</si>
  <si>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</si>
  <si>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</si>
  <si>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</si>
  <si>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</si>
  <si>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</si>
  <si>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</si>
  <si>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</si>
  <si>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</si>
  <si>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</si>
  <si>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</si>
  <si>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</si>
  <si>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</si>
  <si>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</si>
  <si>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</si>
  <si>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</si>
  <si>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</si>
  <si>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</si>
  <si>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</si>
  <si>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</si>
  <si>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</si>
  <si>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</si>
  <si>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</si>
  <si>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</si>
  <si>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</si>
  <si>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</si>
  <si>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</si>
  <si>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</si>
  <si>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</si>
  <si>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</si>
  <si>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</si>
  <si>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</si>
  <si>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</si>
  <si>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</si>
  <si>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</si>
  <si>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</si>
  <si>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</si>
  <si>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</si>
  <si>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</si>
  <si>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</si>
  <si>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</si>
  <si>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</si>
  <si>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</si>
  <si>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</si>
  <si>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</si>
  <si>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</si>
  <si>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</si>
  <si>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</si>
  <si>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</si>
  <si>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</si>
  <si>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</si>
  <si>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</si>
  <si>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</si>
  <si>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</si>
  <si>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</si>
  <si>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</si>
  <si>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</si>
  <si>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</si>
  <si>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</si>
  <si>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</si>
  <si>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</si>
  <si>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</si>
  <si>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</si>
  <si>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</si>
  <si>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</si>
  <si>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</si>
  <si>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</si>
  <si>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</si>
  <si>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</si>
  <si>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</si>
  <si>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</si>
  <si>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</si>
  <si>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</si>
  <si>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</si>
  <si>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</si>
  <si>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</si>
  <si>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</si>
  <si>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</si>
  <si>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</si>
  <si>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</si>
  <si>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</si>
  <si>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</si>
  <si>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</si>
  <si>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</si>
  <si>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</si>
  <si>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</si>
  <si>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</si>
  <si>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</si>
  <si>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</si>
  <si>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</si>
  <si>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</si>
  <si>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</si>
  <si>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</si>
  <si>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</si>
  <si>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</si>
  <si>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</si>
  <si>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</si>
  <si>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</si>
  <si>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</si>
  <si>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</si>
  <si>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</si>
  <si>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</si>
  <si>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</si>
  <si>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</si>
  <si>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</si>
  <si>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</si>
  <si>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</si>
  <si>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</si>
  <si>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</si>
  <si>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</si>
  <si>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</si>
  <si>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</si>
  <si>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</si>
  <si>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</si>
  <si>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</si>
  <si>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</si>
  <si>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</si>
  <si>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</si>
  <si>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</si>
  <si>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</si>
  <si>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</si>
  <si>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</si>
  <si>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</si>
  <si>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</si>
  <si>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</si>
  <si>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</si>
  <si>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</si>
  <si>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</si>
  <si>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</si>
  <si>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</si>
  <si>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</si>
  <si>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</si>
  <si>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</si>
  <si>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</si>
  <si>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</si>
  <si>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</si>
  <si>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</si>
  <si>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</si>
  <si>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</si>
  <si>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</si>
  <si>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</si>
  <si>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</si>
  <si>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</si>
  <si>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</si>
  <si>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</si>
  <si>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</si>
  <si>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</si>
  <si>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</si>
  <si>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</si>
  <si>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</si>
  <si>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</si>
  <si>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</si>
  <si>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</si>
  <si>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</si>
  <si>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</si>
  <si>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</si>
  <si>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</si>
  <si>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</si>
  <si>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</si>
  <si>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</si>
  <si>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</si>
  <si>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</si>
  <si>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</si>
  <si>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</si>
  <si>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</si>
  <si>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</si>
  <si>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</si>
  <si>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</si>
  <si>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</si>
  <si>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</si>
  <si>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</si>
  <si>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</si>
  <si>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</si>
  <si>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</si>
  <si>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</si>
  <si>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</si>
  <si>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</si>
  <si>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</si>
  <si>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</si>
  <si>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</si>
  <si>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</si>
  <si>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</si>
  <si>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</si>
  <si>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</si>
  <si>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</si>
  <si>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</si>
  <si>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</si>
  <si>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</si>
  <si>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</si>
  <si>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</si>
  <si>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</si>
  <si>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</si>
  <si>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</si>
  <si>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</si>
  <si>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</si>
  <si>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</si>
  <si>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</si>
  <si>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</si>
  <si>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</si>
  <si>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</si>
  <si>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</si>
  <si>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</si>
  <si>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</si>
  <si>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</si>
  <si>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</si>
  <si>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</si>
  <si>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</si>
  <si>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</si>
  <si>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</si>
  <si>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</si>
  <si>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</si>
  <si>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</si>
  <si>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</si>
  <si>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</si>
  <si>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</si>
  <si>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</si>
  <si>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</si>
  <si>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</si>
  <si>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</si>
  <si>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</si>
  <si>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</si>
  <si>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</si>
  <si>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</si>
  <si>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</si>
  <si>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</si>
  <si>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</si>
  <si>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</si>
  <si>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</si>
  <si>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</si>
  <si>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</si>
  <si>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</si>
  <si>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</si>
  <si>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</si>
  <si>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</si>
  <si>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</si>
  <si>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</si>
  <si>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</si>
  <si>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</si>
  <si>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</si>
  <si>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</si>
  <si>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</si>
  <si>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</si>
  <si>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</si>
  <si>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</si>
  <si>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</si>
  <si>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</si>
  <si>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</si>
  <si>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</si>
  <si>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</si>
  <si>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</si>
  <si>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</si>
  <si>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</si>
  <si>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</si>
  <si>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</si>
  <si>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</si>
  <si>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</si>
  <si>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</si>
  <si>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</si>
  <si>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</si>
  <si>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</si>
  <si>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</si>
  <si>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</si>
  <si>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</si>
  <si>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</si>
  <si>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</si>
  <si>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</si>
  <si>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</si>
  <si>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</si>
  <si>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</si>
  <si>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</si>
  <si>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</si>
  <si>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</si>
  <si>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</si>
  <si>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</si>
  <si>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</si>
  <si>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</si>
  <si>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</si>
  <si>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</si>
  <si>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</si>
  <si>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</si>
  <si>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</si>
  <si>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</si>
  <si>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</si>
  <si>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</si>
  <si>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</si>
  <si>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</si>
  <si>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</si>
  <si>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</si>
  <si>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</si>
  <si>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</si>
  <si>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</si>
  <si>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</si>
  <si>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</si>
  <si>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</si>
  <si>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</si>
  <si>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</si>
  <si>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</si>
  <si>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</si>
  <si>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</si>
  <si>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</si>
  <si>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</si>
  <si>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</si>
  <si>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</si>
  <si>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</si>
  <si>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</si>
  <si>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</si>
  <si>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</si>
  <si>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</si>
  <si>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</si>
  <si>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</si>
  <si>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</si>
  <si>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</si>
  <si>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</si>
  <si>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</si>
  <si>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</si>
  <si>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</si>
  <si>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</si>
  <si>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</si>
  <si>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</si>
  <si>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</si>
  <si>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</si>
  <si>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</si>
  <si>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</si>
  <si>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</si>
  <si>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</si>
  <si>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</si>
  <si>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</si>
  <si>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</si>
  <si>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</si>
  <si>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</si>
  <si>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</si>
  <si>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</si>
  <si>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</si>
  <si>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</si>
  <si>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</si>
  <si>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</si>
  <si>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</si>
  <si>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</si>
  <si>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</si>
  <si>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</si>
  <si>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</si>
  <si>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</si>
  <si>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</si>
  <si>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</si>
  <si>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</si>
  <si>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</si>
  <si>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</si>
  <si>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</si>
  <si>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</si>
  <si>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</si>
  <si>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</si>
  <si>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</si>
  <si>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</si>
  <si>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</si>
  <si>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</si>
  <si>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</si>
  <si>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</si>
  <si>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</si>
  <si>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</si>
  <si>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</si>
  <si>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</si>
  <si>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</si>
  <si>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</si>
  <si>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</si>
  <si>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</si>
  <si>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</si>
  <si>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</si>
  <si>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</si>
  <si>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</si>
  <si>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</si>
  <si>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</si>
  <si>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</si>
  <si>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</si>
  <si>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</si>
  <si>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</si>
  <si>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</si>
  <si>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</si>
  <si>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</si>
  <si>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</si>
  <si>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</si>
  <si>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</si>
  <si>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</si>
  <si>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</si>
  <si>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</si>
  <si>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</si>
  <si>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</si>
  <si>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</si>
  <si>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</si>
  <si>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</si>
  <si>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</si>
  <si>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</si>
  <si>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</si>
  <si>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</si>
  <si>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</si>
  <si>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</si>
  <si>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</si>
  <si>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</si>
  <si>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</si>
  <si>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</si>
  <si>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</si>
  <si>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</si>
  <si>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</si>
  <si>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</si>
  <si>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</si>
  <si>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</si>
  <si>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</si>
  <si>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</si>
  <si>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</si>
  <si>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</si>
  <si>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</si>
  <si>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</si>
  <si>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</si>
  <si>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</si>
  <si>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</si>
  <si>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</si>
  <si>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</si>
  <si>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</si>
  <si>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</si>
  <si>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</si>
  <si>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</si>
  <si>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</si>
  <si>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</si>
  <si>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</si>
  <si>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</si>
  <si>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</si>
  <si>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</si>
  <si>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</si>
  <si>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</si>
  <si>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</si>
  <si>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</si>
  <si>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</si>
  <si>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</si>
  <si>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</si>
  <si>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</si>
  <si>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</si>
  <si>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</si>
  <si>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</si>
  <si>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</si>
  <si>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</si>
  <si>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</si>
  <si>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</si>
  <si>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</si>
  <si>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</si>
  <si>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</si>
  <si>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</si>
  <si>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</si>
  <si>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</si>
  <si>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</si>
  <si>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</si>
  <si>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</si>
  <si>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</si>
  <si>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</si>
  <si>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</si>
  <si>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</si>
  <si>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</si>
  <si>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</si>
  <si>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</si>
  <si>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</si>
  <si>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</si>
  <si>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</si>
  <si>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</si>
  <si>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</si>
  <si>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</si>
  <si>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</si>
  <si>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</si>
  <si>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</si>
  <si>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</si>
  <si>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</si>
  <si>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</si>
  <si>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</si>
  <si>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</si>
  <si>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</si>
  <si>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</si>
  <si>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</si>
  <si>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</si>
  <si>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</si>
  <si>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</si>
  <si>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</si>
  <si>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</si>
  <si>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</si>
  <si>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</si>
  <si>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</si>
  <si>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</si>
  <si>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</si>
  <si>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</si>
  <si>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</si>
  <si>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</si>
  <si>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</si>
  <si>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</si>
  <si>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</si>
  <si>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</si>
  <si>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</si>
  <si>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</si>
  <si>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</si>
  <si>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</si>
  <si>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</si>
  <si>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</si>
  <si>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</si>
  <si>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</si>
  <si>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</si>
  <si>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</si>
  <si>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</si>
  <si>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</si>
  <si>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</si>
  <si>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</si>
  <si>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</si>
  <si>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</si>
  <si>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</si>
  <si>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</si>
  <si>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</si>
  <si>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</si>
  <si>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</si>
  <si>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</si>
  <si>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</si>
  <si>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</si>
  <si>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</si>
  <si>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</si>
  <si>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</si>
  <si>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</si>
  <si>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</si>
  <si>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</si>
  <si>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</si>
  <si>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</si>
  <si>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</si>
  <si>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</si>
  <si>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</si>
  <si>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</si>
  <si>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</si>
  <si>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</si>
  <si>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</si>
  <si>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</si>
  <si>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</si>
  <si>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</si>
  <si>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</si>
  <si>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</si>
  <si>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</si>
  <si>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</si>
  <si>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</si>
  <si>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</si>
  <si>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</si>
  <si>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</si>
  <si>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</si>
  <si>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</si>
  <si>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</si>
  <si>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</si>
  <si>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</si>
  <si>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</si>
  <si>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</si>
  <si>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</si>
  <si>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</si>
  <si>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</si>
  <si>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</si>
  <si>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</si>
  <si>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</si>
  <si>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</si>
  <si>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</si>
  <si>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</si>
  <si>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</si>
  <si>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</si>
  <si>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</si>
  <si>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</si>
  <si>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</si>
  <si>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</si>
  <si>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</si>
  <si>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</si>
  <si>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</si>
  <si>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</si>
  <si>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</si>
  <si>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</si>
  <si>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</si>
  <si>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</si>
  <si>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</si>
  <si>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</si>
  <si>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</si>
  <si>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</si>
  <si>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</si>
  <si>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</si>
  <si>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</si>
  <si>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</si>
  <si>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</si>
  <si>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</si>
  <si>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</si>
  <si>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</si>
  <si>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</si>
  <si>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</si>
  <si>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</si>
  <si>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</si>
  <si>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</si>
  <si>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</si>
  <si>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</si>
  <si>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</si>
  <si>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</si>
  <si>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</si>
  <si>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</si>
  <si>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</si>
  <si>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</si>
  <si>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</si>
  <si>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</si>
  <si>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</si>
  <si>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</si>
  <si>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</si>
  <si>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</si>
  <si>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</si>
  <si>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</si>
  <si>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</si>
  <si>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</si>
  <si>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</si>
  <si>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</si>
  <si>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</si>
  <si>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</si>
  <si>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</si>
  <si>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</si>
  <si>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</si>
  <si>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</si>
  <si>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</si>
  <si>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</si>
  <si>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</si>
  <si>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</si>
  <si>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</si>
  <si>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</si>
  <si>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</si>
  <si>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</si>
  <si>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</si>
  <si>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</si>
  <si>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</si>
  <si>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</si>
  <si>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</si>
  <si>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</si>
  <si>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</si>
  <si>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</si>
  <si>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</si>
  <si>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</si>
  <si>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</si>
  <si>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</si>
  <si>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</si>
  <si>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</si>
  <si>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</si>
  <si>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</si>
  <si>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</si>
  <si>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</si>
  <si>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</si>
  <si>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</si>
  <si>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</si>
  <si>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</si>
  <si>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</si>
  <si>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</si>
  <si>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</si>
  <si>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</si>
  <si>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</si>
  <si>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</si>
  <si>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</si>
  <si>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</si>
  <si>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</si>
  <si>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</si>
  <si>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</si>
  <si>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</si>
  <si>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</si>
  <si>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</si>
  <si>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</si>
  <si>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</si>
  <si>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</si>
  <si>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</si>
  <si>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</si>
  <si>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</si>
  <si>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</si>
  <si>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</si>
  <si>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</si>
  <si>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</si>
  <si>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</si>
  <si>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</si>
  <si>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</si>
  <si>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</si>
  <si>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</si>
  <si>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</si>
  <si>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</si>
  <si>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</si>
  <si>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</si>
  <si>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</si>
  <si>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</si>
  <si>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</si>
  <si>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</si>
  <si>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</si>
  <si>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</si>
  <si>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</si>
  <si>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</si>
  <si>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</si>
  <si>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</si>
  <si>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</si>
  <si>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</si>
  <si>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</si>
  <si>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</si>
  <si>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</si>
  <si>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</si>
  <si>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</si>
  <si>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</si>
  <si>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</si>
  <si>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</si>
  <si>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</si>
  <si>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</si>
  <si>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</si>
  <si>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</si>
  <si>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</si>
  <si>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</si>
  <si>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</si>
  <si>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</si>
  <si>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</si>
  <si>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</si>
  <si>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</si>
  <si>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</si>
  <si>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</si>
  <si>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</si>
  <si>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</si>
  <si>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</si>
  <si>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</si>
  <si>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</si>
  <si>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</si>
  <si>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</si>
  <si>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</si>
  <si>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</si>
  <si>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</si>
  <si>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</si>
  <si>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</si>
  <si>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</si>
  <si>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</si>
  <si>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</si>
  <si>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</si>
  <si>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</si>
  <si>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</si>
  <si>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</si>
  <si>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</si>
  <si>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</si>
  <si>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</si>
  <si>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</si>
  <si>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</si>
  <si>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</si>
  <si>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</si>
  <si>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</si>
  <si>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</si>
  <si>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</si>
  <si>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</si>
  <si>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</si>
  <si>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</si>
  <si>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</si>
  <si>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</si>
  <si>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</si>
  <si>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</si>
  <si>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</si>
  <si>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</si>
  <si>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</si>
  <si>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</si>
  <si>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</si>
  <si>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</si>
  <si>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</si>
  <si>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</si>
  <si>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</si>
  <si>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</si>
  <si>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</si>
  <si>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</si>
  <si>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</si>
  <si>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</si>
  <si>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</si>
  <si>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</si>
  <si>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</si>
  <si>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</si>
  <si>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</si>
  <si>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</si>
  <si>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</si>
  <si>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</si>
  <si>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</si>
  <si>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</si>
  <si>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</si>
  <si>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</si>
  <si>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</si>
  <si>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</si>
  <si>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</si>
  <si>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</si>
  <si>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</si>
  <si>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</si>
  <si>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</si>
  <si>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</si>
  <si>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</si>
  <si>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</si>
  <si>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</si>
  <si>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</si>
  <si>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</si>
  <si>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</si>
  <si>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</si>
  <si>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</si>
  <si>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</si>
  <si>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</si>
  <si>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</si>
  <si>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</si>
  <si>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</si>
  <si>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</si>
  <si>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</si>
  <si>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</si>
  <si>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</si>
  <si>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</si>
  <si>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</si>
  <si>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</si>
  <si>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</si>
  <si>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</si>
  <si>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</si>
  <si>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</si>
  <si>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</si>
  <si>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</si>
  <si>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</si>
  <si>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</si>
  <si>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</si>
  <si>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</si>
  <si>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</si>
  <si>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</si>
  <si>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</si>
  <si>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</si>
  <si>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</si>
  <si>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</si>
  <si>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</si>
  <si>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</si>
  <si>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</si>
  <si>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</si>
  <si>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</si>
  <si>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</si>
  <si>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</si>
  <si>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</si>
  <si>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</si>
  <si>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</si>
  <si>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</si>
  <si>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</si>
  <si>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</si>
  <si>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</si>
  <si>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</si>
  <si>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</si>
  <si>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</si>
  <si>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</si>
  <si>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</si>
  <si>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</si>
  <si>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</si>
  <si>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</si>
  <si>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</si>
  <si>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</si>
  <si>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</si>
  <si>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</si>
  <si>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</si>
  <si>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</si>
  <si>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</si>
  <si>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</si>
  <si>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</si>
  <si>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</si>
  <si>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</si>
  <si>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</si>
  <si>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</si>
  <si>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</si>
  <si>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</si>
  <si>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</si>
  <si>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</si>
  <si>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</si>
  <si>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</si>
  <si>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</si>
  <si>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</si>
  <si>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</si>
  <si>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</si>
  <si>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</si>
  <si>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</si>
  <si>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</si>
  <si>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</si>
  <si>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</si>
  <si>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</si>
  <si>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</si>
  <si>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</si>
  <si>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</si>
  <si>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</si>
  <si>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</si>
  <si>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</si>
  <si>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</si>
  <si>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</si>
  <si>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</si>
  <si>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</si>
  <si>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</si>
  <si>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</si>
  <si>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</si>
  <si>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</si>
  <si>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</si>
  <si>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</si>
  <si>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</si>
  <si>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</si>
  <si>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</si>
  <si>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</si>
  <si>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</si>
  <si>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</si>
  <si>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</si>
  <si>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</si>
  <si>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</si>
  <si>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</si>
  <si>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</si>
  <si>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</si>
  <si>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</si>
  <si>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</si>
  <si>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</si>
  <si>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</si>
  <si>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</si>
  <si>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</si>
  <si>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</si>
  <si>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</si>
  <si>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</si>
  <si>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</si>
  <si>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</si>
  <si>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</si>
  <si>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</si>
  <si>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</si>
  <si>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</si>
  <si>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</si>
  <si>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</si>
  <si>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</si>
  <si>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</si>
  <si>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</si>
  <si>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</si>
  <si>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</si>
  <si>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</si>
  <si>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</si>
  <si>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</si>
  <si>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</si>
  <si>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</si>
  <si>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</si>
  <si>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</si>
  <si>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</si>
  <si>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</si>
  <si>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</si>
  <si>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</si>
  <si>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</si>
  <si>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</si>
  <si>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</si>
  <si>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</si>
  <si>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</si>
  <si>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</si>
  <si>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</si>
  <si>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</si>
  <si>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</si>
  <si>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</si>
  <si>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</si>
  <si>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</si>
  <si>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</si>
  <si>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</si>
  <si>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</si>
  <si>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</si>
  <si>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</si>
  <si>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</si>
  <si>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</si>
  <si>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</si>
  <si>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</si>
  <si>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</si>
  <si>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</si>
  <si>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</si>
  <si>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</si>
  <si>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</si>
  <si>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</si>
  <si>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</si>
  <si>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</si>
  <si>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</si>
  <si>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</si>
  <si>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</si>
  <si>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</si>
  <si>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</si>
  <si>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</si>
  <si>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</si>
  <si>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</si>
  <si>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</si>
  <si>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</si>
  <si>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</si>
  <si>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</si>
  <si>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</si>
  <si>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</si>
  <si>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</si>
  <si>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</si>
  <si>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</si>
  <si>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</si>
  <si>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</si>
  <si>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</si>
  <si>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</si>
  <si>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</si>
  <si>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</si>
  <si>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</si>
  <si>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</si>
  <si>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</si>
  <si>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</si>
  <si>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</si>
  <si>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</si>
  <si>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</si>
  <si>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</si>
  <si>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</si>
  <si>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</si>
  <si>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</si>
  <si>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</si>
  <si>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</si>
  <si>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</si>
  <si>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</si>
  <si>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</si>
  <si>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</si>
  <si>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</si>
  <si>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</si>
  <si>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</si>
  <si>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</si>
  <si>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</si>
  <si>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</si>
  <si>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</si>
  <si>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</si>
  <si>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</si>
  <si>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</si>
  <si>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</si>
  <si>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</si>
  <si>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</si>
  <si>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</si>
  <si>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</si>
  <si>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</si>
  <si>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</si>
  <si>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</si>
  <si>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</si>
  <si>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</si>
  <si>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</si>
  <si>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</si>
  <si>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</si>
  <si>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</si>
  <si>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</si>
  <si>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</si>
  <si>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</si>
  <si>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</si>
  <si>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</si>
  <si>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</si>
  <si>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</si>
  <si>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</si>
  <si>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</si>
  <si>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</si>
  <si>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</si>
  <si>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</si>
  <si>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</si>
  <si>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</si>
  <si>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</si>
  <si>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</si>
  <si>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</si>
  <si>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</si>
  <si>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</si>
  <si>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</si>
  <si>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</si>
  <si>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</si>
  <si>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</si>
  <si>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</si>
  <si>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</si>
  <si>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</si>
  <si>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</si>
  <si>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</si>
  <si>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</si>
  <si>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</si>
  <si>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</si>
  <si>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</si>
  <si>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</si>
  <si>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</si>
  <si>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</si>
  <si>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</si>
  <si>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</si>
  <si>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</si>
  <si>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</si>
  <si>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</si>
  <si>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</si>
  <si>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</si>
  <si>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</si>
  <si>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</si>
  <si>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</si>
  <si>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</si>
  <si>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</si>
  <si>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</si>
  <si>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</si>
  <si>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</si>
  <si>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</si>
  <si>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</si>
  <si>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</si>
  <si>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</si>
  <si>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</si>
  <si>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</si>
  <si>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</si>
  <si>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</si>
  <si>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</si>
  <si>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</si>
  <si>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</si>
  <si>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</si>
  <si>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</si>
  <si>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</si>
  <si>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</si>
  <si>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</si>
  <si>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</si>
  <si>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</si>
  <si>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</si>
  <si>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</si>
  <si>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</si>
  <si>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</si>
  <si>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</si>
  <si>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</si>
  <si>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</si>
  <si>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</si>
  <si>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</si>
  <si>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</si>
  <si>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</si>
  <si>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</si>
  <si>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</si>
  <si>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</si>
  <si>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</si>
  <si>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</si>
  <si>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</si>
  <si>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</si>
  <si>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</si>
  <si>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</si>
  <si>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</si>
  <si>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</si>
  <si>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</si>
  <si>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</si>
  <si>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</si>
  <si>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</si>
  <si>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</si>
  <si>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</si>
  <si>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</si>
  <si>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</si>
  <si>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</si>
  <si>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</si>
  <si>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</si>
  <si>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</si>
  <si>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</si>
  <si>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</si>
  <si>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</si>
  <si>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</si>
  <si>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</si>
  <si>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</si>
  <si>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</si>
  <si>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</si>
  <si>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</si>
  <si>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</si>
  <si>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</si>
  <si>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</si>
  <si>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</si>
  <si>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</si>
  <si>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</si>
  <si>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</si>
  <si>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</si>
  <si>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</si>
  <si>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</si>
  <si>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</si>
  <si>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</si>
  <si>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</si>
  <si>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</si>
  <si>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</si>
  <si>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</si>
  <si>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</si>
  <si>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</si>
  <si>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</si>
  <si>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</si>
  <si>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</si>
  <si>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</si>
  <si>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</si>
  <si>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</si>
  <si>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</si>
  <si>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</si>
  <si>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</si>
  <si>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</si>
  <si>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</si>
  <si>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</si>
  <si>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</si>
  <si>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</si>
  <si>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</si>
  <si>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</si>
  <si>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</si>
  <si>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</si>
  <si>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</si>
  <si>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</si>
  <si>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</si>
  <si>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</si>
  <si>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</si>
  <si>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</si>
  <si>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</si>
  <si>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</si>
  <si>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</si>
  <si>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</si>
  <si>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</si>
  <si>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</si>
  <si>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</si>
  <si>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</si>
  <si>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</si>
  <si>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</si>
  <si>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</si>
  <si>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</si>
  <si>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</si>
  <si>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</si>
  <si>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</si>
  <si>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</si>
  <si>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</si>
  <si>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</si>
  <si>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</si>
  <si>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</si>
  <si>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</si>
  <si>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</si>
  <si>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</si>
  <si>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</si>
  <si>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</si>
  <si>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</si>
  <si>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</si>
  <si>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</si>
  <si>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</si>
  <si>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</si>
  <si>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</si>
  <si>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</si>
  <si>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</si>
  <si>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</si>
  <si>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</si>
  <si>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</si>
  <si>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</si>
  <si>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</si>
  <si>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</si>
  <si>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</si>
  <si>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</si>
  <si>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</si>
  <si>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</si>
  <si>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</si>
  <si>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</si>
  <si>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</si>
  <si>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</si>
  <si>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</si>
  <si>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</si>
  <si>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</si>
  <si>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</si>
  <si>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</si>
  <si>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</si>
  <si>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</si>
  <si>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</si>
  <si>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</si>
  <si>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</si>
  <si>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</si>
  <si>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</si>
  <si>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</si>
  <si>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</si>
  <si>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</si>
  <si>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</si>
  <si>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</si>
  <si>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</si>
  <si>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</si>
  <si>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</si>
  <si>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</si>
  <si>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</si>
  <si>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</si>
  <si>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</si>
  <si>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</si>
  <si>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</si>
  <si>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</si>
  <si>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</si>
  <si>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</si>
  <si>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</si>
  <si>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</si>
  <si>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</si>
  <si>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</si>
  <si>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</si>
  <si>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</si>
  <si>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</si>
  <si>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</si>
  <si>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</si>
  <si>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</si>
  <si>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</si>
  <si>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</si>
  <si>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</si>
  <si>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</si>
  <si>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</si>
  <si>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</si>
  <si>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</si>
  <si>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</si>
  <si>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</si>
  <si>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</si>
  <si>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</si>
  <si>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</si>
  <si>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</si>
  <si>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</si>
  <si>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</si>
  <si>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</si>
  <si>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</si>
  <si>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</si>
  <si>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</si>
  <si>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</si>
  <si>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</si>
  <si>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</si>
  <si>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</si>
  <si>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</si>
  <si>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</si>
  <si>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</si>
  <si>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</si>
  <si>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</si>
  <si>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</si>
  <si>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</si>
  <si>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</si>
  <si>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</si>
  <si>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</si>
  <si>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</si>
  <si>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</si>
  <si>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</si>
  <si>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</si>
  <si>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</si>
  <si>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</si>
  <si>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</si>
  <si>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</si>
  <si>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</si>
  <si>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</si>
  <si>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</si>
  <si>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</si>
  <si>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</si>
  <si>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</si>
  <si>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</si>
  <si>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</si>
  <si>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</si>
  <si>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</si>
  <si>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</si>
  <si>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</si>
  <si>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</si>
  <si>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</si>
  <si>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</si>
  <si>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</si>
  <si>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</si>
  <si>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</si>
  <si>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</si>
  <si>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</si>
  <si>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</si>
  <si>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</si>
  <si>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</si>
  <si>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</si>
  <si>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</si>
  <si>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</si>
  <si>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</si>
  <si>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</si>
  <si>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</si>
  <si>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</si>
  <si>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</si>
  <si>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</si>
  <si>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</si>
  <si>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</si>
  <si>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</si>
  <si>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</si>
  <si>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</si>
  <si>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</si>
  <si>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</si>
  <si>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</si>
  <si>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</si>
  <si>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</si>
  <si>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</si>
  <si>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</si>
  <si>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</si>
  <si>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</si>
  <si>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</si>
  <si>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</si>
  <si>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</si>
  <si>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</si>
  <si>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</si>
  <si>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</si>
  <si>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</si>
  <si>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</si>
  <si>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</si>
  <si>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</si>
  <si>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</si>
  <si>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</si>
  <si>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</si>
  <si>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</si>
  <si>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</si>
  <si>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</si>
  <si>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</si>
  <si>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</si>
  <si>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</si>
  <si>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</si>
  <si>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</si>
  <si>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</si>
  <si>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</si>
  <si>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</si>
  <si>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</si>
  <si>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</si>
  <si>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</si>
  <si>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</si>
  <si>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</si>
  <si>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</si>
  <si>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</si>
  <si>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</si>
  <si>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</si>
  <si>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</si>
  <si>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</si>
  <si>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</si>
  <si>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</si>
  <si>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</si>
  <si>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</si>
  <si>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</si>
  <si>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</si>
  <si>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</si>
  <si>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</si>
  <si>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</si>
  <si>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</si>
  <si>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</si>
  <si>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</si>
  <si>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</si>
  <si>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</si>
  <si>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</si>
  <si>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</si>
  <si>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</si>
  <si>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</si>
  <si>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</si>
  <si>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</si>
  <si>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</si>
  <si>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</si>
  <si>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</si>
  <si>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</si>
  <si>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</si>
  <si>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</si>
  <si>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</si>
  <si>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</si>
  <si>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</si>
  <si>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</si>
  <si>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</si>
  <si>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</si>
  <si>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</si>
  <si>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</si>
  <si>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</si>
  <si>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</si>
  <si>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</si>
  <si>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</si>
  <si>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</si>
  <si>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</si>
  <si>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</si>
  <si>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</si>
  <si>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</si>
  <si>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</si>
  <si>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</si>
  <si>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</si>
  <si>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</si>
  <si>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</si>
  <si>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</si>
  <si>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</si>
  <si>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</si>
  <si>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</si>
  <si>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</si>
  <si>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</si>
  <si>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</si>
  <si>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</si>
  <si>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</si>
  <si>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</si>
  <si>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</si>
  <si>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</si>
  <si>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</si>
  <si>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</si>
  <si>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</si>
  <si>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</si>
  <si>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</si>
  <si>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</si>
  <si>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</si>
  <si>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其他：</t>
  </si>
  <si>
    <t>企业</t>
  </si>
  <si>
    <t>一致</t>
  </si>
  <si>
    <t>符合</t>
  </si>
  <si>
    <t>出让</t>
  </si>
  <si>
    <t>商业</t>
  </si>
  <si>
    <t>地上</t>
  </si>
  <si>
    <t>酒店</t>
  </si>
  <si>
    <t>酒店</t>
    <phoneticPr fontId="7" type="noConversion"/>
  </si>
  <si>
    <t>比较法-住宅、综合</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</si>
  <si>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</si>
  <si>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</si>
  <si>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</si>
  <si>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</si>
  <si>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</si>
  <si>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</si>
  <si>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</si>
  <si>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</si>
  <si>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</si>
  <si>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</si>
  <si>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</si>
  <si>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</si>
  <si>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</si>
  <si>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</si>
  <si>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海口市西海岸新区南片区</t>
  </si>
  <si>
    <t>海口市</t>
  </si>
  <si>
    <t>商业/办公用地</t>
  </si>
  <si>
    <t>≤2.3</t>
  </si>
  <si>
    <t>挂牌</t>
  </si>
  <si>
    <t>2018-12-29</t>
  </si>
  <si>
    <t>海南复兴城产业园投资管理有限公司</t>
  </si>
  <si>
    <t>2星</t>
  </si>
  <si>
    <t>海口市滨海大道西侧、新港经六街以东</t>
  </si>
  <si>
    <t>≤2.26</t>
  </si>
  <si>
    <t>2018-12-17</t>
  </si>
  <si>
    <t>国旅(海口)投资发展有限公司</t>
  </si>
  <si>
    <t>4星</t>
  </si>
  <si>
    <t>≤1.7</t>
  </si>
  <si>
    <t>≤2.8</t>
  </si>
  <si>
    <t>≤2.5</t>
  </si>
  <si>
    <t>海口市博义盐灶棚改项目B-08地块</t>
  </si>
  <si>
    <t>≤4</t>
  </si>
  <si>
    <t>拍卖</t>
  </si>
  <si>
    <t>2016-11-28</t>
  </si>
  <si>
    <t>海口农村商业银行股份有限公司</t>
  </si>
  <si>
    <t>海甸岛沿江西路南侧</t>
  </si>
  <si>
    <t>2016-10-09</t>
  </si>
  <si>
    <t>海南天汇房地产开发有限公司</t>
  </si>
  <si>
    <t>秀英区秀英大道东侧</t>
  </si>
  <si>
    <t>≤2.494</t>
  </si>
  <si>
    <t>2016-06-15</t>
  </si>
  <si>
    <t>海南泰河置业有限公司</t>
  </si>
  <si>
    <t>3星</t>
  </si>
  <si>
    <t>海口市龙华区城西镇丁村</t>
  </si>
  <si>
    <t>≤3.5</t>
  </si>
  <si>
    <t>2016-04-15</t>
  </si>
  <si>
    <t>唐建华、唐洁、苏冠文</t>
  </si>
  <si>
    <t>海口市长秀片区蓝城大道西与紫园路交叉口西北角</t>
  </si>
  <si>
    <t>≤2</t>
  </si>
  <si>
    <t>2016-03-11</t>
  </si>
  <si>
    <t>海南恩祥房地产开发有限公司</t>
  </si>
  <si>
    <t>演丰镇演美路北侧</t>
  </si>
  <si>
    <t>≤1.07</t>
  </si>
  <si>
    <t>2016-03-09</t>
  </si>
  <si>
    <t>海南美信置业有限公司</t>
  </si>
  <si>
    <t>海口市茉莉路与民生东路交叉口东北侧</t>
  </si>
  <si>
    <t>≤3</t>
  </si>
  <si>
    <t>2016-03-02</t>
  </si>
  <si>
    <t>海南灵狮创意产业投资有限公司</t>
  </si>
  <si>
    <t>海口市广场路北侧、椰树门广场地下</t>
  </si>
  <si>
    <t>≤1</t>
  </si>
  <si>
    <t>2016-01-22</t>
  </si>
  <si>
    <t>海南城昭房地产开发有限公司</t>
  </si>
  <si>
    <t>海口市新大洲大道南侧玉龙泉湿地公园范围内</t>
  </si>
  <si>
    <t>≤0.6</t>
  </si>
  <si>
    <t>2016-01-05</t>
  </si>
  <si>
    <t>海南汇鑫源置业有限公司、海南玉龙泉建设有限公司、海口天峡假日开发有限公司</t>
  </si>
  <si>
    <t>正常</t>
    <phoneticPr fontId="26" type="noConversion"/>
  </si>
  <si>
    <t>商业</t>
    <phoneticPr fontId="26" type="noConversion"/>
  </si>
  <si>
    <t>商业</t>
    <phoneticPr fontId="26" type="noConversion"/>
  </si>
  <si>
    <t>40</t>
    <phoneticPr fontId="26" type="noConversion"/>
  </si>
  <si>
    <t>较好</t>
    <phoneticPr fontId="26" type="noConversion"/>
  </si>
  <si>
    <t>较好</t>
    <phoneticPr fontId="26" type="noConversion"/>
  </si>
  <si>
    <t>六通</t>
    <phoneticPr fontId="26" type="noConversion"/>
  </si>
  <si>
    <t>较规则</t>
    <phoneticPr fontId="26" type="noConversion"/>
  </si>
  <si>
    <t>较好</t>
    <phoneticPr fontId="26" type="noConversion"/>
  </si>
  <si>
    <t>三通</t>
    <phoneticPr fontId="26" type="noConversion"/>
  </si>
  <si>
    <t>不动产收益法</t>
  </si>
  <si>
    <t>土地（套用方法）</t>
  </si>
  <si>
    <t>自定义</t>
  </si>
  <si>
    <t>钢混</t>
  </si>
  <si>
    <t>单位面积地价</t>
  </si>
  <si>
    <r>
      <rPr>
        <sz val="10"/>
        <rFont val="宋体"/>
        <family val="3"/>
        <charset val="134"/>
      </rPr>
      <t>地面单价</t>
    </r>
    <phoneticPr fontId="228" type="noConversion"/>
  </si>
  <si>
    <t>六通</t>
    <phoneticPr fontId="26" type="noConversion"/>
  </si>
  <si>
    <t>五通</t>
    <phoneticPr fontId="26" type="noConversion"/>
  </si>
  <si>
    <t>四通</t>
    <phoneticPr fontId="26" type="noConversion"/>
  </si>
  <si>
    <t>三通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</si>
</sst>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86" fillId="6" borderId="0" xfId="16"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0" fillId="0" borderId="0" xfId="0" applyFill="1">
      <alignment vertical="center"/>
    </xf>
    <xf numFmtId="0" fontId="86" fillId="0" borderId="0" xfId="16" applyFill="1"/>
    <xf numFmtId="185" fontId="71" fillId="8" borderId="0" xfId="0" applyNumberFormat="1" applyFont="1" applyFill="1" applyAlignment="1" applyProtection="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819150</xdr:colOff>
      <xdr:row>16</xdr:row>
      <xdr:rowOff>104775</xdr:rowOff>
    </xdr:from>
    <xdr:to>
      <xdr:col>10</xdr:col>
      <xdr:colOff>608459</xdr:colOff>
      <xdr:row>53</xdr:row>
      <xdr:rowOff>151602</xdr:rowOff>
    </xdr:to>
    <xdr:pic>
      <xdr:nvPicPr>
        <xdr:cNvPr id="2" name="图片 1"/>
        <xdr:cNvPicPr>
          <a:picLocks noChangeAspect="1"/>
        </xdr:cNvPicPr>
      </xdr:nvPicPr>
      <xdr:blipFill>
        <a:blip xmlns:r="http://schemas.openxmlformats.org/officeDocument/2006/relationships" r:embed="rId1"/>
        <a:stretch>
          <a:fillRect/>
        </a:stretch>
      </xdr:blipFill>
      <xdr:spPr>
        <a:xfrm>
          <a:off x="819150" y="2847975"/>
          <a:ext cx="9133334" cy="63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2656</v>
      </c>
      <c r="B1" s="2870" t="s">
        <v>2753</v>
      </c>
    </row>
    <row r="2" spans="1:55" s="2874" customFormat="1" ht="15" thickTop="1">
      <c r="A2" s="2872" t="s">
        <v>2660</v>
      </c>
      <c r="B2" s="2873" t="str">
        <f>'预评函-封皮'!B37</f>
        <v>出让国有建设用地使用权抵押价格预评估</v>
      </c>
      <c r="AX2" s="2875"/>
      <c r="AZ2" s="2875"/>
      <c r="BA2" s="2876"/>
      <c r="BC2" s="2876"/>
    </row>
    <row r="3" spans="1:55" s="2877" customFormat="1">
      <c r="A3" s="2856" t="s">
        <v>2661</v>
      </c>
      <c r="B3" s="2859">
        <f>'预评函-封皮'!B40</f>
        <v>0</v>
      </c>
    </row>
    <row r="4" spans="1:55" s="2858" customFormat="1">
      <c r="A4" s="2856" t="s">
        <v>2662</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2663</v>
      </c>
      <c r="B5" s="2879" t="str">
        <f>'预评函-封皮'!B49</f>
        <v>康正预评字号</v>
      </c>
    </row>
    <row r="6" spans="1:55" s="2880" customFormat="1" ht="15" thickTop="1">
      <c r="A6" s="2872" t="s">
        <v>2705</v>
      </c>
      <c r="B6" s="2873" t="str">
        <f>'预评函-1'!A4</f>
        <v>受贵公司委托，我公司对出让国有建设用地使用权抵押价格进行了预评估。</v>
      </c>
      <c r="AM6" s="2881"/>
    </row>
    <row r="7" spans="1:55" s="2855" customFormat="1">
      <c r="A7" s="2856" t="s">
        <v>2657</v>
      </c>
      <c r="B7" s="2857" t="str">
        <f>'预评函-1'!A6</f>
        <v>估价对象为使用的、位于出让国有建设用地使用权。根据《国有土地使用证》[]，估价对象（分摊）出让国有建设用地使用权面积为68972.94平方米。根据《建设工程规划许可证》[]、《出让合同》[]，估价对象规划建筑面积为87244平方米。</v>
      </c>
    </row>
    <row r="8" spans="1:55" s="2855" customFormat="1">
      <c r="A8" s="2856" t="s">
        <v>2658</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2708</v>
      </c>
      <c r="B9" s="285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2659</v>
      </c>
      <c r="B10" s="2857" t="str">
        <f>'预评函-1'!A11</f>
        <v>2019年2月14日</v>
      </c>
    </row>
    <row r="11" spans="1:55" s="2855" customFormat="1">
      <c r="A11" s="2856" t="s">
        <v>2665</v>
      </c>
      <c r="B11" s="2857" t="str">
        <f>'预评函-1'!A14</f>
        <v>根据《国有土地使用证》[]，本次评估估价对象证载（地类）用途为。</v>
      </c>
    </row>
    <row r="12" spans="1:55" s="2855" customFormat="1">
      <c r="A12" s="2856" t="s">
        <v>2666</v>
      </c>
      <c r="B12" s="2857" t="str">
        <f>'预评函-1'!A15</f>
        <v>本次评估设定用途即为证载用途。</v>
      </c>
    </row>
    <row r="13" spans="1:55" s="2855" customFormat="1">
      <c r="A13" s="2856" t="s">
        <v>2667</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2668</v>
      </c>
      <c r="B14" s="2857" t="str">
        <f>'预评函-1'!A18</f>
        <v>。本次评估设定土地开发程度为红线外市政基础设施达“七通”、宗地红线内场地平整。</v>
      </c>
    </row>
    <row r="15" spans="1:55" s="2855" customFormat="1">
      <c r="A15" s="2856" t="s">
        <v>2664</v>
      </c>
      <c r="B15" s="2857" t="str">
        <f>'预评函-1'!A20</f>
        <v>根据《国有土地使用证》[]，估价对象（分摊）出让国有建设用地使用权面积为68972.94平方米。根据《建设工程规划许可证》[]、《出让合同》[]，估价对象规划建筑面积为87244平方米。</v>
      </c>
    </row>
    <row r="16" spans="1:55" s="2855" customFormat="1">
      <c r="A16" s="2856" t="s">
        <v>2669</v>
      </c>
      <c r="B16" s="2857" t="str">
        <f>'预评函-1'!A22</f>
        <v>本次估价对象为出让国有建设用地使用权，《国有土地使用证》[]证载土地终止日期为商业2053年1月11日。截至估价期日，出让国有建设用地使用权剩余土地使用年限为。</v>
      </c>
    </row>
    <row r="17" spans="1:48" s="2855" customFormat="1">
      <c r="A17" s="2856" t="s">
        <v>2670</v>
      </c>
      <c r="B17" s="2857" t="str">
        <f>'预评函-1'!A23</f>
        <v>本次评估设定估价对象剩余土地使用年限为。</v>
      </c>
    </row>
    <row r="18" spans="1:48" s="2855" customFormat="1">
      <c r="A18" s="2856" t="s">
        <v>2671</v>
      </c>
      <c r="B18" s="2857" t="str">
        <f>'预评函-1'!A25</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19" spans="1:48" s="2855" customFormat="1">
      <c r="A19" s="2856" t="s">
        <v>2672</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2673</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2674</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2675</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2676</v>
      </c>
      <c r="B23" s="2857" t="str">
        <f>'预评函-2'!K2</f>
        <v>估价期日：2019年2月14日</v>
      </c>
    </row>
    <row r="24" spans="1:48">
      <c r="A24" s="2856" t="s">
        <v>2677</v>
      </c>
      <c r="B24" s="2857" t="str">
        <f>'预评函-2'!R2</f>
        <v>估价期日的国有建设用地使用权性质：出让</v>
      </c>
    </row>
    <row r="25" spans="1:48">
      <c r="A25" s="2856" t="s">
        <v>2733</v>
      </c>
      <c r="B25" s="2857" t="str">
        <f>'预评函-2'!A3</f>
        <v>估价期日土地使用者</v>
      </c>
    </row>
    <row r="26" spans="1:48">
      <c r="A26" s="2856" t="s">
        <v>2709</v>
      </c>
      <c r="B26" s="2857" t="str">
        <f>'预评函-2'!A5</f>
        <v>中信开发</v>
      </c>
    </row>
    <row r="27" spans="1:48">
      <c r="A27" s="2856" t="s">
        <v>2734</v>
      </c>
      <c r="B27" s="2857" t="str">
        <f>'预评函-2'!B3</f>
        <v>宗地编号/不动产单元号</v>
      </c>
    </row>
    <row r="28" spans="1:48">
      <c r="A28" s="2856" t="s">
        <v>2710</v>
      </c>
      <c r="B28" s="2857" t="str">
        <f>'预评函-2'!B5</f>
        <v>11111111111</v>
      </c>
    </row>
    <row r="29" spans="1:48">
      <c r="A29" s="2856" t="s">
        <v>2736</v>
      </c>
      <c r="B29" s="2857">
        <f>'预评函-2'!C5</f>
        <v>22</v>
      </c>
    </row>
    <row r="30" spans="1:48">
      <c r="A30" s="2856" t="s">
        <v>2737</v>
      </c>
      <c r="B30" s="2857" t="str">
        <f>'预评函-2'!D3</f>
        <v>土地使用证编号/不动产权证书编号</v>
      </c>
    </row>
    <row r="31" spans="1:48">
      <c r="A31" s="2856" t="s">
        <v>2711</v>
      </c>
      <c r="B31" s="2857" t="str">
        <f>'预评函-2'!D5</f>
        <v>京国土字第111号</v>
      </c>
    </row>
    <row r="32" spans="1:48">
      <c r="A32" s="2856" t="s">
        <v>2712</v>
      </c>
      <c r="B32" s="2857">
        <f>'预评函-2'!E5</f>
        <v>0</v>
      </c>
      <c r="AV32" s="2861"/>
    </row>
    <row r="33" spans="1:2">
      <c r="A33" s="2856" t="s">
        <v>2713</v>
      </c>
      <c r="B33" s="2857">
        <f>'预评函-2'!F5</f>
        <v>258</v>
      </c>
    </row>
    <row r="34" spans="1:2">
      <c r="A34" s="2856" t="s">
        <v>2714</v>
      </c>
      <c r="B34" s="2857">
        <f>'预评函-2'!G5</f>
        <v>0</v>
      </c>
    </row>
    <row r="35" spans="1:2">
      <c r="A35" s="2856" t="s">
        <v>2715</v>
      </c>
      <c r="B35" s="2857">
        <f>'预评函-2'!H5</f>
        <v>1.5</v>
      </c>
    </row>
    <row r="36" spans="1:2">
      <c r="A36" s="2856" t="s">
        <v>2716</v>
      </c>
      <c r="B36" s="2857">
        <f>'预评函-2'!I5</f>
        <v>1.5</v>
      </c>
    </row>
    <row r="37" spans="1:2">
      <c r="A37" s="2856" t="s">
        <v>2717</v>
      </c>
      <c r="B37" s="2857">
        <f>'预评函-2'!J5</f>
        <v>1.5</v>
      </c>
    </row>
    <row r="38" spans="1:2">
      <c r="A38" s="2856" t="s">
        <v>2718</v>
      </c>
      <c r="B38" s="2857" t="str">
        <f>'预评函-2'!K5</f>
        <v>红线外七通、宗地红线内</v>
      </c>
    </row>
    <row r="39" spans="1:2">
      <c r="A39" s="2856" t="s">
        <v>2719</v>
      </c>
      <c r="B39" s="2857" t="str">
        <f>'预评函-2'!L5</f>
        <v>红线外七通、宗地红线内场地</v>
      </c>
    </row>
    <row r="40" spans="1:2">
      <c r="A40" s="2856" t="s">
        <v>2738</v>
      </c>
      <c r="B40" s="2857" t="str">
        <f>'预评函-2'!M3</f>
        <v>（剩余）土地使用年限/年</v>
      </c>
    </row>
    <row r="41" spans="1:2">
      <c r="A41" s="2856" t="s">
        <v>2720</v>
      </c>
      <c r="B41" s="2857">
        <f>'预评函-2'!M5</f>
        <v>0</v>
      </c>
    </row>
    <row r="42" spans="1:2">
      <c r="A42" s="2856" t="s">
        <v>2739</v>
      </c>
      <c r="B42" s="2857" t="str">
        <f>'预评函-2'!N3</f>
        <v>（分摊）出让国有建设用地使用权面积/㎡</v>
      </c>
    </row>
    <row r="43" spans="1:2">
      <c r="A43" s="2856" t="s">
        <v>2721</v>
      </c>
      <c r="B43" s="2857">
        <f>'预评函-2'!N5</f>
        <v>68972.94</v>
      </c>
    </row>
    <row r="44" spans="1:2">
      <c r="A44" s="2856" t="s">
        <v>2740</v>
      </c>
      <c r="B44" s="2857" t="str">
        <f>'预评函-2'!O3</f>
        <v>规划建筑面积/㎡</v>
      </c>
    </row>
    <row r="45" spans="1:2">
      <c r="A45" s="2856" t="s">
        <v>2722</v>
      </c>
      <c r="B45" s="2857">
        <f>'预评函-2'!O5</f>
        <v>87244</v>
      </c>
    </row>
    <row r="46" spans="1:2">
      <c r="A46" s="2856" t="s">
        <v>2723</v>
      </c>
      <c r="B46" s="2857">
        <f ca="1">'预评函-2'!P5</f>
        <v>6598</v>
      </c>
    </row>
    <row r="47" spans="1:2">
      <c r="A47" s="2856" t="s">
        <v>2724</v>
      </c>
      <c r="B47" s="2857">
        <f ca="1">'预评函-2'!Q5</f>
        <v>5216</v>
      </c>
    </row>
    <row r="48" spans="1:2">
      <c r="A48" s="2856" t="s">
        <v>2725</v>
      </c>
      <c r="B48" s="2857">
        <f ca="1">'预评函-2'!R5</f>
        <v>45505</v>
      </c>
    </row>
    <row r="49" spans="1:2">
      <c r="A49" s="2856" t="s">
        <v>2741</v>
      </c>
      <c r="B49" s="2857" t="str">
        <f>'预评函-2'!A6</f>
        <v>抵押价格</v>
      </c>
    </row>
    <row r="50" spans="1:2">
      <c r="A50" s="2856" t="s">
        <v>2726</v>
      </c>
      <c r="B50" s="2857">
        <f ca="1">'预评函-2'!R6</f>
        <v>45505</v>
      </c>
    </row>
    <row r="51" spans="1:2">
      <c r="A51" s="2856" t="s">
        <v>2742</v>
      </c>
      <c r="B51" s="2857" t="str">
        <f>'预评函-2'!A7</f>
        <v>——</v>
      </c>
    </row>
    <row r="52" spans="1:2">
      <c r="A52" s="2856" t="s">
        <v>2727</v>
      </c>
      <c r="B52" s="2857" t="str">
        <f>'预评函-2'!R7</f>
        <v>——</v>
      </c>
    </row>
    <row r="53" spans="1:2">
      <c r="A53" s="2856" t="s">
        <v>2743</v>
      </c>
      <c r="B53" s="2857">
        <f>'预评函-2'!A8</f>
        <v>0</v>
      </c>
    </row>
    <row r="54" spans="1:2" s="2871" customFormat="1" ht="15" thickBot="1">
      <c r="A54" s="2878" t="s">
        <v>2728</v>
      </c>
      <c r="B54" s="2879" t="str">
        <f>'预评函-2'!R8</f>
        <v>——</v>
      </c>
    </row>
    <row r="55" spans="1:2" ht="15" thickTop="1">
      <c r="A55" s="2867" t="s">
        <v>2678</v>
      </c>
      <c r="B55" s="2868" t="str">
        <f>'预评函-3'!A2</f>
        <v>1.权利限制：根据估价对象《不动产权证书》原件、《国有土地使用权》复印件，截至估价期日，估价对象抵押权未见登记。未设定租赁等其他他项权利。</v>
      </c>
    </row>
    <row r="56" spans="1:2">
      <c r="A56" s="2856" t="s">
        <v>2679</v>
      </c>
      <c r="B56" s="2857" t="str">
        <f>'预评函-3'!A3</f>
        <v>2.基础设施条件：估价对象实际开发程度为红线外七通、宗地红线内；本次评估设定开发程度为红线外七通、宗地红线内场地。</v>
      </c>
    </row>
    <row r="57" spans="1:2">
      <c r="A57" s="2856" t="s">
        <v>2680</v>
      </c>
      <c r="B57" s="2857" t="str">
        <f>'预评函-3'!A4</f>
        <v>3.估价规划限制条件：详见《建设工程规划许可证》[]、《出让合同》[]。</v>
      </c>
    </row>
    <row r="58" spans="1:2" s="2871" customFormat="1" ht="15" thickBot="1">
      <c r="A58" s="2878" t="s">
        <v>2729</v>
      </c>
      <c r="B58" s="2879" t="str">
        <f>'预评函-3'!A5</f>
        <v>4.影响价格的其他限定条件：无。</v>
      </c>
    </row>
    <row r="59" spans="1:2" ht="15" thickTop="1">
      <c r="A59" s="2867" t="s">
        <v>2681</v>
      </c>
      <c r="B59" s="2868" t="str">
        <f>'预评函-3'!A8</f>
        <v>2.本《评估意见函》仅供金融机构进行内部审核使用，不做其他目的之用。</v>
      </c>
    </row>
    <row r="60" spans="1:2">
      <c r="A60" s="2856" t="s">
        <v>2682</v>
      </c>
      <c r="B60" s="2857" t="str">
        <f>'预评函-3'!A9</f>
        <v>3.抵押双方在办理抵押登记手续时，应使用本公司出具的正式《土地估价报告》，特提请报告使用者注意。</v>
      </c>
    </row>
    <row r="61" spans="1:2">
      <c r="A61" s="2856" t="s">
        <v>2684</v>
      </c>
      <c r="B61" s="2857" t="str">
        <f>'预评函-3'!A10</f>
        <v>4.估价师所知悉的法定优先受偿款情况为：</v>
      </c>
    </row>
    <row r="62" spans="1:2">
      <c r="A62" s="2856" t="s">
        <v>2683</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2685</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2686</v>
      </c>
      <c r="B64" s="2862" t="str">
        <f>'预评函-3'!A13</f>
        <v>（3）。</v>
      </c>
    </row>
    <row r="65" spans="1:2">
      <c r="A65" s="2856" t="s">
        <v>2687</v>
      </c>
      <c r="B65" s="2863" t="str">
        <f>'预评函-3'!A14</f>
        <v>综上，本次评估不存在估价师知悉的法定优先受偿款</v>
      </c>
    </row>
    <row r="66" spans="1:2">
      <c r="A66" s="2856" t="s">
        <v>2688</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2689</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2692</v>
      </c>
      <c r="B68" s="2882">
        <f>'预评函-3'!D30</f>
        <v>42558</v>
      </c>
    </row>
    <row r="69" spans="1:2" ht="15" thickTop="1">
      <c r="A69" s="2867" t="s">
        <v>2690</v>
      </c>
      <c r="B69" s="2868" t="str">
        <f>'预评函-3'!A20</f>
        <v>土地估价师</v>
      </c>
    </row>
    <row r="70" spans="1:2">
      <c r="A70" s="2856" t="s">
        <v>2690</v>
      </c>
      <c r="B70" s="2863">
        <f>'预评函-3'!B20</f>
        <v>0</v>
      </c>
    </row>
    <row r="71" spans="1:2">
      <c r="A71" s="2856" t="s">
        <v>2691</v>
      </c>
      <c r="B71" s="2857" t="str">
        <f>'预评函-3'!A21</f>
        <v>土地估价师</v>
      </c>
    </row>
    <row r="72" spans="1:2" s="2871" customFormat="1" ht="15" thickBot="1">
      <c r="A72" s="2878" t="s">
        <v>2691</v>
      </c>
      <c r="B72" s="2884">
        <f>'预评函-3'!B21</f>
        <v>0</v>
      </c>
    </row>
    <row r="73" spans="1:2" ht="15" thickTop="1">
      <c r="A73" s="2867" t="s">
        <v>2750</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2751</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2752</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2787</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40" t="str">
        <f>IF(B10="北京市","北京市",C10)&amp;F10&amp;B16&amp;"国有建设用地使用权"&amp;B9&amp;"预评估"</f>
        <v>出让国有建设用地使用权抵押价格预评估</v>
      </c>
      <c r="C1" s="3241"/>
      <c r="D1" s="3241"/>
      <c r="E1" s="3241"/>
      <c r="F1" s="3241"/>
      <c r="G1" s="3241"/>
      <c r="H1" s="3241"/>
      <c r="I1" s="3242"/>
      <c r="J1" s="1693"/>
      <c r="K1" s="2434"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c r="C3" s="1662" t="s">
        <v>1996</v>
      </c>
      <c r="D3" s="1661">
        <v>43510</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2889</v>
      </c>
      <c r="C4" s="1845">
        <f>SUMIF(土地估价师,B4,估价师及机构信息!E3:E24)</f>
        <v>0</v>
      </c>
      <c r="D4" s="1842" t="s">
        <v>2889</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2706</v>
      </c>
      <c r="B6" s="1788"/>
      <c r="C6" s="1760"/>
      <c r="D6" s="1667"/>
      <c r="E6" s="1693"/>
      <c r="F6" s="1693"/>
      <c r="G6" s="1693"/>
      <c r="H6" s="1659"/>
      <c r="I6" s="1694"/>
      <c r="J6" s="1693"/>
      <c r="K6" s="3030" t="str">
        <f>IF(COUNTIF(B6,"*上海银行*"),"上海银行","")</f>
        <v/>
      </c>
      <c r="L6" s="1722"/>
      <c r="M6" s="1722"/>
      <c r="N6" s="1693"/>
      <c r="O6" s="1694"/>
      <c r="P6" s="1693"/>
      <c r="Q6" s="1693"/>
      <c r="R6" s="1693"/>
      <c r="S6" s="1693"/>
      <c r="T6" s="1693"/>
      <c r="U6" s="1693"/>
    </row>
    <row r="7" spans="1:21">
      <c r="A7" s="1668" t="s">
        <v>2707</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2995</v>
      </c>
      <c r="C8" s="1670"/>
      <c r="D8" s="3246" t="s">
        <v>1945</v>
      </c>
      <c r="E8" s="1843" t="s">
        <v>2996</v>
      </c>
      <c r="F8" s="1671"/>
      <c r="G8" s="1659"/>
      <c r="H8" s="1659"/>
      <c r="I8" s="1706"/>
      <c r="J8" s="1693"/>
      <c r="K8" s="1773"/>
      <c r="L8" s="1722"/>
      <c r="M8" s="1722"/>
      <c r="N8" s="1693"/>
      <c r="O8" s="1694"/>
      <c r="P8" s="1693"/>
      <c r="Q8" s="1693"/>
      <c r="R8" s="1693"/>
      <c r="S8" s="1693"/>
      <c r="T8" s="1693"/>
      <c r="U8" s="1693"/>
    </row>
    <row r="9" spans="1:21" ht="15" thickBot="1">
      <c r="A9" s="1672" t="s">
        <v>1944</v>
      </c>
      <c r="B9" s="1673" t="s">
        <v>2996</v>
      </c>
      <c r="C9" s="1674"/>
      <c r="D9" s="3247"/>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2997</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2998</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43"/>
      <c r="C12" s="3244"/>
      <c r="D12" s="3245"/>
      <c r="E12" s="1698" t="s">
        <v>2062</v>
      </c>
      <c r="F12" s="3261" t="s">
        <v>2890</v>
      </c>
      <c r="G12" s="3262"/>
      <c r="H12" s="3262"/>
      <c r="I12" s="3263"/>
      <c r="J12" s="1693"/>
      <c r="K12" s="1773"/>
      <c r="L12" s="1722"/>
      <c r="M12" s="1722"/>
      <c r="N12" s="1693"/>
      <c r="O12" s="1694"/>
      <c r="P12" s="1693"/>
      <c r="Q12" s="1693"/>
      <c r="R12" s="1693"/>
      <c r="S12" s="1693"/>
      <c r="T12" s="1693"/>
      <c r="U12" s="1693"/>
    </row>
    <row r="13" spans="1:21">
      <c r="A13" s="1686" t="s">
        <v>2060</v>
      </c>
      <c r="B13" s="3243"/>
      <c r="C13" s="3244"/>
      <c r="D13" s="3245"/>
      <c r="E13" s="1698" t="s">
        <v>2062</v>
      </c>
      <c r="F13" s="3261" t="s">
        <v>2891</v>
      </c>
      <c r="G13" s="3262"/>
      <c r="H13" s="3262"/>
      <c r="I13" s="3263"/>
      <c r="J13" s="1693"/>
      <c r="K13" s="1773"/>
      <c r="L13" s="1722"/>
      <c r="M13" s="1722"/>
      <c r="N13" s="1693"/>
      <c r="O13" s="1694"/>
      <c r="P13" s="1693"/>
      <c r="Q13" s="1693"/>
      <c r="R13" s="1693"/>
      <c r="S13" s="1693"/>
      <c r="T13" s="1693"/>
      <c r="U13" s="1693"/>
    </row>
    <row r="14" spans="1:21">
      <c r="A14" s="1660" t="s">
        <v>2063</v>
      </c>
      <c r="B14" s="1698"/>
      <c r="C14" s="1844" t="s">
        <v>2999</v>
      </c>
      <c r="D14" s="1732" t="str">
        <f>IF(C14="不一致","是否符合证载地类范围","")</f>
        <v/>
      </c>
      <c r="E14" s="1698"/>
      <c r="F14" s="1789" t="s">
        <v>3000</v>
      </c>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3001</v>
      </c>
      <c r="C16" s="1698" t="s">
        <v>1949</v>
      </c>
      <c r="D16" s="2625" t="s">
        <v>1950</v>
      </c>
      <c r="E16" s="1721" t="s">
        <v>3002</v>
      </c>
      <c r="F16" s="1721"/>
      <c r="G16" s="1721"/>
      <c r="H16" s="1721"/>
      <c r="I16" s="1685" t="s">
        <v>1955</v>
      </c>
      <c r="J16" s="1693"/>
      <c r="K16" s="2435" t="str">
        <f>IF(D17="","",D16&amp;TEXT(D17,"yyyy年m月d日;;"))</f>
        <v/>
      </c>
      <c r="L16" s="1698" t="str">
        <f>IF(OR(K16="",M16=""),"","、")</f>
        <v/>
      </c>
      <c r="M16" s="2435" t="str">
        <f>IF(E17="","",E16&amp;TEXT(E17,"yyyy年m月d日;;"))</f>
        <v>商业2053年1月11日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c r="E17" s="1699">
        <v>55895</v>
      </c>
      <c r="F17" s="1699"/>
      <c r="G17" s="1699"/>
      <c r="H17" s="1699"/>
      <c r="I17" s="1699"/>
      <c r="J17" s="1693"/>
      <c r="K17" s="2434" t="str">
        <f>CONCATENATE(K16,L16,M16,N16,O16,P16,Q16,R16,S16,T16,,U16)</f>
        <v>商业2053年1月11日</v>
      </c>
      <c r="L17" s="1722"/>
      <c r="M17" s="1722"/>
      <c r="N17" s="1693"/>
      <c r="O17" s="1694"/>
      <c r="P17" s="1693"/>
      <c r="Q17" s="1693"/>
      <c r="R17" s="1693"/>
      <c r="S17" s="1693"/>
      <c r="T17" s="1693"/>
      <c r="U17" s="1693"/>
    </row>
    <row r="18" spans="1:21">
      <c r="A18" s="1762"/>
      <c r="B18" s="1681"/>
      <c r="C18" s="1682" t="s">
        <v>1957</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f>IF(B16="出让",IF(E17="","",ROUNDDOWN(MIN((E17-$D$3)/365,E18),2)),E18)</f>
        <v>33.93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58"/>
      <c r="E20" s="3259"/>
      <c r="F20" s="3259"/>
      <c r="G20" s="3259"/>
      <c r="H20" s="3259"/>
      <c r="I20" s="3260"/>
      <c r="J20" s="1693"/>
      <c r="K20" s="1773"/>
      <c r="L20" s="1722"/>
      <c r="M20" s="1722"/>
      <c r="N20" s="1693"/>
      <c r="O20" s="1694"/>
      <c r="P20" s="1693"/>
      <c r="Q20" s="1693"/>
      <c r="R20" s="1693"/>
      <c r="S20" s="1693"/>
      <c r="T20" s="1693"/>
      <c r="U20" s="1693"/>
    </row>
    <row r="21" spans="1:21">
      <c r="A21" s="1762" t="s">
        <v>1959</v>
      </c>
      <c r="B21" s="1763" t="s">
        <v>1960</v>
      </c>
      <c r="C21" s="1758">
        <f>'数据-汇总表'!E3</f>
        <v>87244</v>
      </c>
      <c r="D21" s="1759" t="s">
        <v>1961</v>
      </c>
      <c r="E21" s="3248" t="s">
        <v>1999</v>
      </c>
      <c r="F21" s="3249"/>
      <c r="G21" s="3249"/>
      <c r="H21" s="3249"/>
      <c r="I21" s="3250"/>
      <c r="J21" s="1693"/>
      <c r="K21" s="1773"/>
      <c r="L21" s="1722"/>
      <c r="M21" s="1722"/>
      <c r="N21" s="1693"/>
      <c r="O21" s="1694"/>
      <c r="P21" s="1693"/>
      <c r="Q21" s="1693"/>
      <c r="R21" s="1693"/>
      <c r="S21" s="1693"/>
      <c r="T21" s="1693"/>
      <c r="U21" s="1693"/>
    </row>
    <row r="22" spans="1:21">
      <c r="A22" s="3120" t="s">
        <v>952</v>
      </c>
      <c r="B22" s="1660" t="s">
        <v>1962</v>
      </c>
      <c r="C22" s="1685">
        <f>'数据-汇总表'!D3</f>
        <v>68972.94</v>
      </c>
      <c r="D22" s="1686" t="s">
        <v>1961</v>
      </c>
      <c r="E22" s="3248" t="s">
        <v>2892</v>
      </c>
      <c r="F22" s="3249"/>
      <c r="G22" s="3249"/>
      <c r="H22" s="3249"/>
      <c r="I22" s="3250"/>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51" t="s">
        <v>1967</v>
      </c>
      <c r="C24" s="3252"/>
      <c r="D24" s="3253" t="s">
        <v>1968</v>
      </c>
      <c r="E24" s="3254"/>
      <c r="F24" s="1707" t="s">
        <v>1969</v>
      </c>
      <c r="G24" s="1693"/>
      <c r="H24" s="1693"/>
      <c r="I24" s="1706"/>
      <c r="J24" s="1693"/>
      <c r="K24" s="3239"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39"/>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39"/>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25" t="s">
        <v>2002</v>
      </c>
      <c r="B31" s="1763" t="s">
        <v>2003</v>
      </c>
      <c r="C31" s="3264"/>
      <c r="D31" s="3265"/>
      <c r="E31" s="1693"/>
      <c r="F31" s="1693"/>
      <c r="G31" s="1693"/>
      <c r="H31" s="1693"/>
      <c r="I31" s="1706"/>
      <c r="J31" s="1693"/>
      <c r="K31" s="2437"/>
      <c r="L31" s="1693"/>
      <c r="M31" s="1693"/>
      <c r="N31" s="1693"/>
      <c r="O31" s="1693"/>
      <c r="P31" s="1693"/>
      <c r="Q31" s="1693"/>
      <c r="R31" s="1693"/>
      <c r="S31" s="1693"/>
      <c r="T31" s="1693"/>
      <c r="U31" s="1693"/>
    </row>
    <row r="32" spans="1:21">
      <c r="A32" s="3225"/>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25"/>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26"/>
      <c r="B34" s="1660" t="s">
        <v>2006</v>
      </c>
      <c r="C34" s="3227"/>
      <c r="D34" s="3228"/>
      <c r="E34" s="1693"/>
      <c r="F34" s="1693"/>
      <c r="G34" s="1693"/>
      <c r="H34" s="1693"/>
      <c r="I34" s="1706"/>
      <c r="J34" s="1693"/>
      <c r="K34" s="2437"/>
      <c r="L34" s="1693"/>
      <c r="M34" s="1693"/>
      <c r="N34" s="1693"/>
      <c r="O34" s="1693"/>
      <c r="P34" s="1693"/>
      <c r="Q34" s="1693"/>
      <c r="R34" s="1693"/>
      <c r="S34" s="1693"/>
      <c r="T34" s="1693"/>
      <c r="U34" s="1693"/>
    </row>
    <row r="35" spans="1:21">
      <c r="A35" s="3229" t="s">
        <v>847</v>
      </c>
      <c r="B35" s="1721"/>
      <c r="C35" s="1775" t="str">
        <f>IF(B35="场地平整","——","具体情况：")</f>
        <v>具体情况：</v>
      </c>
      <c r="D35" s="3231"/>
      <c r="E35" s="3232"/>
      <c r="F35" s="3232"/>
      <c r="G35" s="3232"/>
      <c r="H35" s="3232"/>
      <c r="I35" s="3233"/>
      <c r="J35" s="1693"/>
      <c r="K35" s="1774"/>
      <c r="L35" s="1722"/>
      <c r="M35" s="1722"/>
      <c r="N35" s="1693"/>
      <c r="O35" s="1694"/>
      <c r="P35" s="1693"/>
      <c r="Q35" s="1693"/>
      <c r="R35" s="1693"/>
      <c r="S35" s="1693"/>
      <c r="T35" s="1693"/>
      <c r="U35" s="1693"/>
    </row>
    <row r="36" spans="1:21">
      <c r="A36" s="3225"/>
      <c r="B36" s="3234" t="s">
        <v>2055</v>
      </c>
      <c r="C36" s="3235"/>
      <c r="D36" s="1791"/>
      <c r="E36" s="3236"/>
      <c r="F36" s="3236"/>
      <c r="G36" s="1686" t="str">
        <f>IF(B35="场地未平整","估价结果处理","")</f>
        <v/>
      </c>
      <c r="H36" s="3237"/>
      <c r="I36" s="3237"/>
      <c r="J36" s="1693"/>
      <c r="K36" s="1774"/>
      <c r="L36" s="1722"/>
      <c r="M36" s="1722"/>
      <c r="N36" s="1693"/>
      <c r="O36" s="1694"/>
      <c r="P36" s="1693"/>
      <c r="Q36" s="1693"/>
      <c r="R36" s="1693"/>
      <c r="S36" s="1693"/>
      <c r="T36" s="1693"/>
      <c r="U36" s="1693"/>
    </row>
    <row r="37" spans="1:21" ht="28.5">
      <c r="A37" s="3225"/>
      <c r="B37" s="3255"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25"/>
      <c r="B38" s="3256"/>
      <c r="C38" s="1668" t="s">
        <v>850</v>
      </c>
      <c r="D38" s="1790">
        <f>ROUNDDOWN(MIN(('数据-取费表'!$B$2-D37)/365,D34),1)</f>
        <v>119.2</v>
      </c>
      <c r="E38" s="1726" t="s">
        <v>851</v>
      </c>
      <c r="F38" s="1693"/>
      <c r="G38" s="1693"/>
      <c r="H38" s="1693"/>
      <c r="I38" s="1706"/>
      <c r="J38" s="1693"/>
      <c r="K38" s="1774"/>
      <c r="L38" s="1693"/>
      <c r="M38" s="1693"/>
      <c r="N38" s="1693"/>
      <c r="O38" s="1693"/>
      <c r="P38" s="1693"/>
      <c r="Q38" s="1693"/>
      <c r="R38" s="1693"/>
      <c r="S38" s="1693"/>
      <c r="T38" s="1693"/>
      <c r="U38" s="1693"/>
    </row>
    <row r="39" spans="1:21">
      <c r="A39" s="3226"/>
      <c r="B39" s="3257"/>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38" t="s">
        <v>1986</v>
      </c>
      <c r="T40" s="1730" t="str">
        <f>NUMBERSTRING(7-K40,1)&amp;"通"</f>
        <v>七通</v>
      </c>
      <c r="U40" s="1693"/>
    </row>
    <row r="41" spans="1:21">
      <c r="A41" s="1662"/>
      <c r="B41" s="3230" t="s">
        <v>1722</v>
      </c>
      <c r="C41" s="3230"/>
      <c r="D41" s="3230"/>
      <c r="E41" s="3230"/>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38"/>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7" customFormat="1" ht="21" thickBot="1">
      <c r="A45" s="3048" t="s">
        <v>2893</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G13" activePane="bottomRight" state="frozen"/>
      <selection pane="topRight" activeCell="E1" sqref="E1"/>
      <selection pane="bottomLeft" activeCell="A12" sqref="A12"/>
      <selection pane="bottomRight" activeCell="AN14" sqref="AN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68972.94</v>
      </c>
      <c r="B3" s="22">
        <f>IF(C3="否",G5-AT5,G5)</f>
        <v>87244</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87244</v>
      </c>
      <c r="H5" s="27">
        <f t="shared" ref="H5:AT5" si="0">SUM(H13:H641)</f>
        <v>69044</v>
      </c>
      <c r="I5" s="27">
        <f t="shared" si="0"/>
        <v>69044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18200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18200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87244</v>
      </c>
      <c r="BA5" s="29">
        <f t="shared" si="1"/>
        <v>69044</v>
      </c>
      <c r="BB5" s="29">
        <f t="shared" si="1"/>
        <v>69044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18200</v>
      </c>
      <c r="BM5" s="29">
        <f t="shared" si="1"/>
        <v>0</v>
      </c>
      <c r="BN5" s="29">
        <f t="shared" si="1"/>
        <v>0</v>
      </c>
      <c r="BO5" s="29">
        <f t="shared" si="1"/>
        <v>0</v>
      </c>
      <c r="BP5" s="29">
        <f t="shared" si="1"/>
        <v>0</v>
      </c>
      <c r="BQ5" s="29">
        <f t="shared" si="1"/>
        <v>0</v>
      </c>
      <c r="BR5" s="29">
        <f t="shared" si="1"/>
        <v>18200</v>
      </c>
      <c r="BS5" s="29">
        <f t="shared" si="1"/>
        <v>0</v>
      </c>
      <c r="BT5" s="30">
        <f t="shared" si="1"/>
        <v>0</v>
      </c>
    </row>
    <row r="6" spans="1:72" s="37" customFormat="1" ht="12.75">
      <c r="A6" s="26" t="s">
        <v>169</v>
      </c>
      <c r="B6" s="31"/>
      <c r="C6" s="31"/>
      <c r="D6" s="32"/>
      <c r="E6" s="27">
        <f>H6+AC6+AT6</f>
        <v>68972.94</v>
      </c>
      <c r="F6" s="27" t="s">
        <v>1</v>
      </c>
      <c r="G6" s="27" t="s">
        <v>2</v>
      </c>
      <c r="H6" s="33">
        <f>SUMIF(I$12:AB$12,"总值",I6:AB6)</f>
        <v>54584.47</v>
      </c>
      <c r="I6" s="27">
        <f t="shared" ref="I6:AB6" si="2">ROUND($A$3*I5/$B$3,2)</f>
        <v>54584.47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14388.47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14388.47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68972.94</v>
      </c>
      <c r="AZ6" s="27" t="s">
        <v>3</v>
      </c>
      <c r="BA6" s="27">
        <f>ROUND($AY$6*BA5/$AZ$5,2)</f>
        <v>54584.47</v>
      </c>
      <c r="BB6" s="27">
        <f>ROUND($AY$6*BB5/$AZ$5,2)</f>
        <v>54584.47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14388.47</v>
      </c>
      <c r="BM6" s="27">
        <f t="shared" si="5"/>
        <v>0</v>
      </c>
      <c r="BN6" s="27">
        <f t="shared" si="5"/>
        <v>0</v>
      </c>
      <c r="BO6" s="27">
        <f t="shared" si="5"/>
        <v>0</v>
      </c>
      <c r="BP6" s="27">
        <f t="shared" si="5"/>
        <v>0</v>
      </c>
      <c r="BQ6" s="27">
        <f t="shared" si="5"/>
        <v>0</v>
      </c>
      <c r="BR6" s="27">
        <f t="shared" si="5"/>
        <v>14388.47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3003</v>
      </c>
      <c r="J9" s="51"/>
      <c r="K9" s="2993"/>
      <c r="L9" s="51"/>
      <c r="M9" s="299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3002</v>
      </c>
      <c r="J10" s="51"/>
      <c r="K10" s="2995"/>
      <c r="L10" s="51"/>
      <c r="M10" s="2995"/>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t="s">
        <v>3004</v>
      </c>
      <c r="J11" s="71"/>
      <c r="K11" s="2994"/>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酒店</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c r="D13" s="2989" t="s">
        <v>1679</v>
      </c>
      <c r="E13" s="27">
        <f t="shared" ref="E13:E20" si="6">IF($C$3="是",ROUND($A$3*G13/$B$3,2),ROUND($A$3*(G13-AT13)/$B$3,2))</f>
        <v>68972.94</v>
      </c>
      <c r="F13" s="81"/>
      <c r="G13" s="82">
        <f t="shared" ref="G13:G20" si="7">H13+AC13+AT13</f>
        <v>87244</v>
      </c>
      <c r="H13" s="33">
        <f t="shared" ref="H13:H20" si="8">SUMIF(I$12:AB$12,"总值",I13:AB13)</f>
        <v>69044</v>
      </c>
      <c r="I13" s="2992">
        <v>69044</v>
      </c>
      <c r="J13" s="2992"/>
      <c r="K13" s="2992"/>
      <c r="L13" s="2992"/>
      <c r="M13" s="2992"/>
      <c r="N13" s="83"/>
      <c r="O13" s="83"/>
      <c r="P13" s="83"/>
      <c r="Q13" s="83"/>
      <c r="R13" s="83"/>
      <c r="S13" s="83"/>
      <c r="T13" s="83"/>
      <c r="U13" s="83"/>
      <c r="V13" s="83"/>
      <c r="W13" s="83"/>
      <c r="X13" s="83"/>
      <c r="Y13" s="83"/>
      <c r="Z13" s="83"/>
      <c r="AA13" s="83"/>
      <c r="AB13" s="83"/>
      <c r="AC13" s="27">
        <f t="shared" ref="AC13:AC20" si="9">SUMIF(AD$12:AS$12,"总值",AD13:AS13)</f>
        <v>18200</v>
      </c>
      <c r="AD13" s="2996"/>
      <c r="AE13" s="2996"/>
      <c r="AF13" s="2996"/>
      <c r="AG13" s="2996"/>
      <c r="AH13" s="2996"/>
      <c r="AI13" s="2996"/>
      <c r="AJ13" s="2996"/>
      <c r="AK13" s="2996"/>
      <c r="AL13" s="2996"/>
      <c r="AM13" s="2996"/>
      <c r="AN13" s="2996">
        <v>18200</v>
      </c>
      <c r="AO13" s="2996"/>
      <c r="AP13" s="2996"/>
      <c r="AQ13" s="2996"/>
      <c r="AR13" s="2996"/>
      <c r="AS13" s="2996"/>
      <c r="AT13" s="2997"/>
      <c r="AU13" s="2998"/>
      <c r="AV13" s="17">
        <f t="shared" ref="AV13:AX20" si="10">A13</f>
        <v>0</v>
      </c>
      <c r="AW13" s="17">
        <f t="shared" si="10"/>
        <v>0</v>
      </c>
      <c r="AX13" s="17">
        <f t="shared" si="10"/>
        <v>0</v>
      </c>
      <c r="AY13" s="996">
        <f t="shared" ref="AY13:AY20" si="11">ROUND($AY$6*AZ13/$AZ$5,2)</f>
        <v>68972.94</v>
      </c>
      <c r="AZ13" s="27">
        <f t="shared" ref="AZ13:AZ20" si="12">BA13+BL13</f>
        <v>87244</v>
      </c>
      <c r="BA13" s="27">
        <f t="shared" ref="BA13:BA20" si="13">SUM(BB13:BK13)</f>
        <v>69044</v>
      </c>
      <c r="BB13" s="27">
        <f t="shared" ref="BB13:BB20" si="14">IF($D13="是",I13-J13,0)</f>
        <v>69044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18200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18200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5" sqref="I35"/>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77" t="s">
        <v>203</v>
      </c>
      <c r="B2" s="3277"/>
      <c r="C2" s="3277"/>
      <c r="D2" s="1975" t="s">
        <v>204</v>
      </c>
      <c r="E2" s="106" t="s">
        <v>205</v>
      </c>
      <c r="F2" s="1984"/>
      <c r="G2" s="1198"/>
      <c r="H2" s="1199"/>
      <c r="I2" s="1200" t="s">
        <v>857</v>
      </c>
      <c r="J2" s="1984"/>
      <c r="K2" s="1984"/>
      <c r="L2" s="1984"/>
    </row>
    <row r="3" spans="1:16" ht="15.75" thickBot="1">
      <c r="A3" s="3278" t="s">
        <v>206</v>
      </c>
      <c r="B3" s="3278"/>
      <c r="C3" s="3278"/>
      <c r="D3" s="107">
        <f>'数据-基础表'!AY6</f>
        <v>68972.94</v>
      </c>
      <c r="E3" s="107">
        <f>'数据-基础表'!AZ5</f>
        <v>87244</v>
      </c>
      <c r="F3" s="1984"/>
      <c r="G3" s="280" t="s">
        <v>858</v>
      </c>
      <c r="H3" s="275" t="s">
        <v>859</v>
      </c>
      <c r="I3" s="1976">
        <f>ROUND('数据-基础表'!B3/'数据-基础表'!A3,2)</f>
        <v>1.26</v>
      </c>
      <c r="J3" s="1984"/>
      <c r="K3" s="1984"/>
      <c r="L3" s="1984"/>
    </row>
    <row r="4" spans="1:16" ht="15">
      <c r="A4" s="3279"/>
      <c r="B4" s="3280"/>
      <c r="C4" s="3281"/>
      <c r="D4" s="108" t="s">
        <v>204</v>
      </c>
      <c r="E4" s="109" t="s">
        <v>205</v>
      </c>
      <c r="F4" s="1984"/>
      <c r="G4" s="1201"/>
      <c r="H4" s="275" t="s">
        <v>860</v>
      </c>
      <c r="I4" s="1976">
        <f>ROUND(SUMIF('数据-基础表'!I9:AS9,"地上",'数据-基础表'!I5:AS5)/'数据-基础表'!A3,2)</f>
        <v>1</v>
      </c>
      <c r="J4" s="1984"/>
      <c r="K4" s="1984"/>
      <c r="L4" s="1984"/>
    </row>
    <row r="5" spans="1:16">
      <c r="A5" s="110" t="s">
        <v>207</v>
      </c>
      <c r="B5" s="3282" t="s">
        <v>230</v>
      </c>
      <c r="C5" s="3282"/>
      <c r="D5" s="111">
        <f>ROUND($D$3*E5/$E$3,2)</f>
        <v>0</v>
      </c>
      <c r="E5" s="112">
        <f>SUMIF('数据-基础表'!$11:$11,"住宅",'数据-基础表'!$5:$5)</f>
        <v>0</v>
      </c>
      <c r="F5" s="1984"/>
      <c r="G5" s="280" t="s">
        <v>861</v>
      </c>
      <c r="H5" s="275" t="s">
        <v>859</v>
      </c>
      <c r="I5" s="1976">
        <f>ROUND(E31/D31,2)</f>
        <v>1.26</v>
      </c>
      <c r="J5" s="1984"/>
      <c r="K5" s="1984"/>
      <c r="L5" s="1984"/>
    </row>
    <row r="6" spans="1:16" ht="15" thickBot="1">
      <c r="A6" s="113"/>
      <c r="B6" s="3282" t="s">
        <v>208</v>
      </c>
      <c r="C6" s="3282"/>
      <c r="D6" s="111">
        <f>ROUND($D$3*E6/$E$3,2)</f>
        <v>68972.94</v>
      </c>
      <c r="E6" s="112">
        <f>E3-E5</f>
        <v>87244</v>
      </c>
      <c r="F6" s="1984"/>
      <c r="G6" s="1201"/>
      <c r="H6" s="275" t="s">
        <v>860</v>
      </c>
      <c r="I6" s="1976">
        <f>ROUND(F31/D31,2)</f>
        <v>1</v>
      </c>
      <c r="J6" s="1984"/>
      <c r="K6" s="1984"/>
      <c r="L6" s="1984"/>
    </row>
    <row r="7" spans="1:16" ht="15">
      <c r="A7" s="3274"/>
      <c r="B7" s="3275"/>
      <c r="C7" s="3276"/>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54584.47</v>
      </c>
      <c r="E8" s="116">
        <f>SUMIF('数据-基础表'!BB10:BK10,"地上",'数据-基础表'!BB5:BK5)</f>
        <v>69044</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54584.47</v>
      </c>
      <c r="E16" s="120">
        <f>SUM(E8:E15)</f>
        <v>69044</v>
      </c>
      <c r="F16" s="1984"/>
      <c r="G16" s="1986"/>
      <c r="H16" s="968" t="s">
        <v>219</v>
      </c>
      <c r="I16" s="969"/>
      <c r="J16" s="1984"/>
      <c r="K16" s="3268" t="s">
        <v>2567</v>
      </c>
      <c r="L16" s="3269"/>
      <c r="M16" s="3269"/>
      <c r="N16" s="3269"/>
      <c r="O16" s="3269"/>
      <c r="P16" s="3270"/>
    </row>
    <row r="17" spans="1:19" ht="15">
      <c r="A17" s="121" t="s">
        <v>216</v>
      </c>
      <c r="B17" s="122" t="s">
        <v>217</v>
      </c>
      <c r="C17" s="2298" t="s">
        <v>2314</v>
      </c>
      <c r="D17" s="108" t="s">
        <v>204</v>
      </c>
      <c r="E17" s="124" t="s">
        <v>205</v>
      </c>
      <c r="F17" s="125"/>
      <c r="G17" s="1366"/>
      <c r="H17" s="970" t="s">
        <v>218</v>
      </c>
      <c r="I17" s="971" t="s">
        <v>2313</v>
      </c>
      <c r="J17" s="1984"/>
      <c r="K17" s="3271" t="s">
        <v>2568</v>
      </c>
      <c r="L17" s="3272"/>
      <c r="M17" s="3273"/>
      <c r="N17" s="3271" t="s">
        <v>2569</v>
      </c>
      <c r="O17" s="3272"/>
      <c r="P17" s="3273"/>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2999" t="s">
        <v>3005</v>
      </c>
      <c r="D19" s="111">
        <f t="shared" ref="D19:D26" si="1">ROUND($D$3*E19/$E$3,2)</f>
        <v>54584.47</v>
      </c>
      <c r="E19" s="134">
        <f t="shared" ref="E19:E26" si="2">SUM(F19:G19)</f>
        <v>69044</v>
      </c>
      <c r="F19" s="135">
        <f>'数据-基础表'!I13</f>
        <v>69044</v>
      </c>
      <c r="G19" s="1368"/>
      <c r="H19" s="974">
        <f>ROUND($D$3*I19/$E$3,2)</f>
        <v>14388.47</v>
      </c>
      <c r="I19" s="116">
        <f>IF($I$17="自定义",P19,M19)</f>
        <v>18200</v>
      </c>
      <c r="J19" s="1984"/>
      <c r="K19" s="2587">
        <f t="shared" ref="K19:K26" si="3">ROUND(E$28*E19/E$27,2)</f>
        <v>18200</v>
      </c>
      <c r="L19" s="275">
        <f t="shared" ref="L19:L26" si="4">ROUND(IF(COUNTIF(C19,"*住宅*")&gt;0,E$29*E19/E$32,0),2)</f>
        <v>0</v>
      </c>
      <c r="M19" s="2588">
        <f>K19+L19</f>
        <v>18200</v>
      </c>
      <c r="N19" s="2589"/>
      <c r="O19" s="2590"/>
      <c r="P19" s="2591">
        <f>N19+O19</f>
        <v>0</v>
      </c>
      <c r="R19" s="275">
        <f t="shared" ref="R19:S26" si="5">D19+H19</f>
        <v>68972.94</v>
      </c>
      <c r="S19" s="2301">
        <f t="shared" si="5"/>
        <v>87244</v>
      </c>
    </row>
    <row r="20" spans="1:19">
      <c r="A20" s="138"/>
      <c r="B20" s="115" t="s">
        <v>226</v>
      </c>
      <c r="C20" s="2999"/>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2999"/>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54584.47</v>
      </c>
      <c r="E27" s="143">
        <f>IF(SUM(E19:E26)='数据-基础表'!BA5,SUM(E19:E26),IF(F27="地上面积有误","面积有误","地下面积有误"))</f>
        <v>69044</v>
      </c>
      <c r="F27" s="134">
        <f>IF(SUM(F19:F26)=E8,SUM(F19:F26),"地上面积有误")</f>
        <v>69044</v>
      </c>
      <c r="G27" s="112">
        <f>SUM(G19:G26)</f>
        <v>0</v>
      </c>
      <c r="H27" s="975">
        <f>SUM(H19:H26)</f>
        <v>14388.47</v>
      </c>
      <c r="I27" s="976">
        <f>SUM(I19:I26)</f>
        <v>18200</v>
      </c>
      <c r="J27" s="1984"/>
      <c r="K27" s="2596">
        <f>SUM(K19:K26)</f>
        <v>18200</v>
      </c>
      <c r="L27" s="2597">
        <f>SUM(L19:L26)</f>
        <v>0</v>
      </c>
      <c r="M27" s="2598">
        <f>SUM(M19:M26)</f>
        <v>18200</v>
      </c>
      <c r="N27" s="2596">
        <f t="shared" ref="N27:O27" si="10">SUM(N19:N26)</f>
        <v>0</v>
      </c>
      <c r="O27" s="2597">
        <f t="shared" si="10"/>
        <v>0</v>
      </c>
      <c r="P27" s="2599">
        <f>SUM(P19:P26)</f>
        <v>0</v>
      </c>
      <c r="R27" s="2305">
        <f>IF(SUM(R19:R26)=$D$3,SUM(R19:R26),SUM(R19:R26)&amp;"误差"&amp;ROUND(SUM(R19:R26)-$D$3,2))</f>
        <v>68972.94</v>
      </c>
      <c r="S27" s="275">
        <f>IF(SUM(S19:S26)=$E$3,SUM(S19:S26),SUM(S19:S26)&amp;"误差"&amp;ROUND(SUM(S19:S26)-E3,2))</f>
        <v>87244</v>
      </c>
    </row>
    <row r="28" spans="1:19">
      <c r="A28" s="138"/>
      <c r="B28" s="115" t="s">
        <v>227</v>
      </c>
      <c r="C28" s="136" t="s">
        <v>228</v>
      </c>
      <c r="D28" s="111">
        <f>ROUND($D$3*E28/$E$3,2)</f>
        <v>14388.47</v>
      </c>
      <c r="E28" s="134">
        <f>SUM(F28:G28)</f>
        <v>18200</v>
      </c>
      <c r="F28" s="144">
        <f>'数据-基础表'!BQ5+'数据-基础表'!BS5</f>
        <v>0</v>
      </c>
      <c r="G28" s="145">
        <f>'数据-基础表'!BR5+'数据-基础表'!BT5</f>
        <v>18200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14388.47</v>
      </c>
      <c r="E30" s="134">
        <f>SUM(E28:E29)</f>
        <v>18200</v>
      </c>
      <c r="F30" s="134">
        <f>SUM(F28:F29)</f>
        <v>0</v>
      </c>
      <c r="G30" s="112">
        <f>SUM(G28:G29)</f>
        <v>18200</v>
      </c>
      <c r="H30" s="1984"/>
      <c r="I30" s="1984"/>
      <c r="J30" s="1984"/>
      <c r="K30" s="1984"/>
      <c r="L30" s="1984"/>
    </row>
    <row r="31" spans="1:19" ht="32.25" customHeight="1" thickBot="1">
      <c r="A31" s="1370"/>
      <c r="B31" s="1371" t="s">
        <v>229</v>
      </c>
      <c r="C31" s="2330" t="s">
        <v>2323</v>
      </c>
      <c r="D31" s="1372">
        <f>D27+D30</f>
        <v>68972.94</v>
      </c>
      <c r="E31" s="1372">
        <f>E27+E30</f>
        <v>87244</v>
      </c>
      <c r="F31" s="1373">
        <f>F27+F30</f>
        <v>69044</v>
      </c>
      <c r="G31" s="1374">
        <f>G27+G30</f>
        <v>18200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43510</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酒店</v>
      </c>
      <c r="B6" s="2337" t="str">
        <f>IF(A6=0,"","经营性")</f>
        <v>经营性</v>
      </c>
      <c r="C6" s="173" t="s">
        <v>3002</v>
      </c>
      <c r="D6" s="2308">
        <f>SUMIF(项目基本情况!D$15:I$15,C6,项目基本情况!D$18:I$18)</f>
        <v>40</v>
      </c>
      <c r="E6" s="2309">
        <f>IF(B6="","",SUMIF(项目基本情况!D$15:I$15,C6,项目基本情况!D$17:I$17))</f>
        <v>55895</v>
      </c>
      <c r="F6" s="174">
        <f>SUMIF(项目基本情况!D$15:I$15,C6,项目基本情况!D$19:I$19)</f>
        <v>33.93</v>
      </c>
      <c r="G6" s="175">
        <f>IF(ISERROR(ROUND(POWER(1+H6,D6-F6)*(POWER(1+H6,F6)-1)/(POWER(1+H6,D6)-1),3)),0,ROUND(POWER(1+H6,D6-F6)*(POWER(1+H6,F6)-1)/(POWER(1+H6,D6)-1),3))</f>
        <v>0.94299999999999995</v>
      </c>
      <c r="H6" s="3000">
        <v>0.05</v>
      </c>
      <c r="I6" s="3000">
        <v>5.5E-2</v>
      </c>
      <c r="J6" s="176">
        <v>0.08</v>
      </c>
      <c r="K6" s="179">
        <f>SUMIF('数据-汇总表'!C$19:C$33,'数据-取费表'!A6,'数据-汇总表'!E$19:E$33)</f>
        <v>69044</v>
      </c>
      <c r="L6" s="3001">
        <v>6000</v>
      </c>
      <c r="M6" s="177">
        <f t="shared" ref="M6:M14" si="0">ROUND(K6*L6/10000,0)</f>
        <v>41426</v>
      </c>
      <c r="N6" s="3002">
        <v>0</v>
      </c>
      <c r="O6" s="177">
        <f>IF($N$5="成新度","——",ROUND(M6*N6,0))</f>
        <v>0</v>
      </c>
      <c r="P6" s="178">
        <f>IF($N$5="成新度","——",M6-O6)</f>
        <v>41426</v>
      </c>
      <c r="Q6" s="3003">
        <v>0.2</v>
      </c>
      <c r="R6" s="179">
        <f>SUMIF('数据-汇总表'!C$19:C$33,A6,'数据-汇总表'!R$19:R$33)</f>
        <v>68972.94</v>
      </c>
      <c r="S6" s="132">
        <f>IF('数据-汇总表'!$I$17="按面积比例",SUMIF('数据-汇总表'!C$19:C$33,A6,'数据-汇总表'!K$19:K$33),SUMIF('数据-汇总表'!C$19:C$33,A6,'数据-汇总表'!N$19:N$33))</f>
        <v>18200</v>
      </c>
      <c r="T6" s="2234">
        <f>IF($T$4="按面积比例",IF(ISERROR(ROUND($M$14*S6/S$16,0)),"0",ROUND($M$14*S6/S$16,0)),"需自行计算录入")</f>
        <v>4550</v>
      </c>
      <c r="U6" s="180">
        <f ca="1">酒店收入计算!E26/不动产收益法!F7/不动产收益法!F8*10000</f>
        <v>5.2858887681708628</v>
      </c>
      <c r="V6" s="181">
        <v>0</v>
      </c>
      <c r="W6" s="181">
        <v>0</v>
      </c>
      <c r="X6" s="2321"/>
      <c r="Y6" s="182">
        <v>1</v>
      </c>
      <c r="Z6" s="183"/>
      <c r="AA6" s="176"/>
      <c r="AB6" s="176"/>
      <c r="AC6" s="2324"/>
      <c r="AD6" s="184"/>
      <c r="AE6" s="972">
        <f ca="1">IF(AN6="",0,SUMIF(INDIRECT("'"&amp;AN6&amp;"'"&amp;"!E:E"),$AE$5,INDIRECT("'"&amp;AN6&amp;"'"&amp;"!F:F")))</f>
        <v>31.93</v>
      </c>
      <c r="AF6" s="141"/>
      <c r="AG6" s="1213">
        <f>IF(AF6="",0,AE6-AF6)</f>
        <v>0</v>
      </c>
      <c r="AH6" s="141"/>
      <c r="AI6" s="187">
        <v>365</v>
      </c>
      <c r="AJ6" s="188"/>
      <c r="AK6" s="189">
        <v>1.4999999999999999E-2</v>
      </c>
      <c r="AL6" s="190">
        <v>1.5E-3</v>
      </c>
      <c r="AM6" s="3014">
        <v>0.04</v>
      </c>
      <c r="AN6" s="2371" t="s">
        <v>3084</v>
      </c>
      <c r="AO6" s="2000"/>
      <c r="AP6" s="1204">
        <f>ROUND(1-1/(1+H6)^F6,3)</f>
        <v>0.80900000000000005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0"/>
      <c r="I7" s="3000"/>
      <c r="J7" s="176"/>
      <c r="K7" s="179">
        <f>SUMIF('数据-汇总表'!C$19:C$33,'数据-取费表'!A7,'数据-汇总表'!E$19:E$33)</f>
        <v>0</v>
      </c>
      <c r="L7" s="3001"/>
      <c r="M7" s="177">
        <f t="shared" si="0"/>
        <v>0</v>
      </c>
      <c r="N7" s="3002"/>
      <c r="O7" s="177">
        <f t="shared" ref="O7:O14" si="3">IF($N$5="成新度","——",ROUND(M7*N7,0))</f>
        <v>0</v>
      </c>
      <c r="P7" s="178">
        <f t="shared" ref="P7:P14" si="4">IF($N$5="成新度","——",M7-O7)</f>
        <v>0</v>
      </c>
      <c r="Q7" s="3003"/>
      <c r="R7" s="179">
        <f>SUMIF('数据-汇总表'!C$19:C$33,A7,'数据-汇总表'!R$19:R$33)</f>
        <v>0</v>
      </c>
      <c r="S7" s="132">
        <f>IF('数据-汇总表'!$I$17="按面积比例",SUMIF('数据-汇总表'!C$19:C$33,A7,'数据-汇总表'!K$19:K$33),SUMIF('数据-汇总表'!C$19:C$33,A7,'数据-汇总表'!N$19:N$33))</f>
        <v>0</v>
      </c>
      <c r="T7" s="2234">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0"/>
      <c r="I8" s="3000"/>
      <c r="J8" s="176"/>
      <c r="K8" s="179">
        <f>SUMIF('数据-汇总表'!C$19:C$33,'数据-取费表'!A8,'数据-汇总表'!E$19:E$33)</f>
        <v>0</v>
      </c>
      <c r="L8" s="3001"/>
      <c r="M8" s="177">
        <f>ROUND(K8*L8/10000,0)</f>
        <v>0</v>
      </c>
      <c r="N8" s="3002"/>
      <c r="O8" s="177">
        <f t="shared" si="3"/>
        <v>0</v>
      </c>
      <c r="P8" s="178">
        <f t="shared" si="4"/>
        <v>0</v>
      </c>
      <c r="Q8" s="3003"/>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18200</v>
      </c>
      <c r="L14" s="193">
        <v>2500</v>
      </c>
      <c r="M14" s="177">
        <f t="shared" si="0"/>
        <v>4550</v>
      </c>
      <c r="N14" s="194">
        <v>0</v>
      </c>
      <c r="O14" s="177">
        <f t="shared" si="3"/>
        <v>0</v>
      </c>
      <c r="P14" s="178">
        <f t="shared" si="4"/>
        <v>4550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0.94299999999999995</v>
      </c>
      <c r="H16" s="203">
        <f>ROUND(SUMPRODUCT(H6:H13,K6:K13)/SUMPRODUCT((H6:H13&gt;0)*(K6:K13)),3)</f>
        <v>0.05</v>
      </c>
      <c r="I16" s="204"/>
      <c r="J16" s="204"/>
      <c r="K16" s="205">
        <f>SUM(K6:K15)</f>
        <v>87244</v>
      </c>
      <c r="L16" s="206">
        <f>ROUND(M16*10000/SUM(K6:K14),0)</f>
        <v>5270</v>
      </c>
      <c r="M16" s="206">
        <f>SUM(M6:M14)</f>
        <v>45976</v>
      </c>
      <c r="N16" s="207">
        <f>ROUND(SUMPRODUCT(M6:M14,N6:N14)/M16,3)</f>
        <v>0</v>
      </c>
      <c r="O16" s="206">
        <f>SUM(O6:O14)</f>
        <v>0</v>
      </c>
      <c r="P16" s="206">
        <f>SUM(P6:P14)</f>
        <v>45976</v>
      </c>
      <c r="Q16" s="208">
        <f>ROUND(SUMPRODUCT(Q6:Q13,K6:K13)/SUMPRODUCT((Q6:Q13&gt;0)*(K6:K13)),2)</f>
        <v>0.2</v>
      </c>
      <c r="R16" s="2311">
        <f>SUM(R6:R13)</f>
        <v>68972.94</v>
      </c>
      <c r="S16" s="209">
        <f>SUM(S6:S13)</f>
        <v>18200</v>
      </c>
      <c r="T16" s="210">
        <f>IF(SUMIF(T6:T13,"&lt;9E307")=M14,SUMIF(T6:T13,"&lt;9E307"),"有误，请检查")</f>
        <v>4550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0.80900000000000005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220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80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120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44" t="s">
        <v>2895</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49"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050"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0"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1156</v>
      </c>
      <c r="C53" s="3051" t="s">
        <v>2905</v>
      </c>
      <c r="D53" s="3052"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4" t="s">
        <v>2907</v>
      </c>
      <c r="B54" s="186"/>
      <c r="C54" s="1994">
        <v>30</v>
      </c>
      <c r="D54" s="305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4" t="s">
        <v>2908</v>
      </c>
      <c r="B55" s="186">
        <v>15</v>
      </c>
      <c r="C55" s="1994">
        <v>24</v>
      </c>
      <c r="D55" s="305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4" t="s">
        <v>2909</v>
      </c>
      <c r="B56" s="186"/>
      <c r="C56" s="1994">
        <v>18</v>
      </c>
      <c r="D56" s="305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4" t="s">
        <v>2910</v>
      </c>
      <c r="B57" s="186"/>
      <c r="C57" s="1994">
        <v>12</v>
      </c>
      <c r="D57" s="305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4" t="s">
        <v>2911</v>
      </c>
      <c r="B58" s="186"/>
      <c r="C58" s="1994">
        <v>3</v>
      </c>
      <c r="D58" s="305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4" t="s">
        <v>2912</v>
      </c>
      <c r="B59" s="186"/>
      <c r="C59" s="1994">
        <v>1.5</v>
      </c>
      <c r="D59" s="305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4"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4"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4"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5"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83" t="s">
        <v>1664</v>
      </c>
      <c r="B1" s="3284"/>
      <c r="C1" s="3284"/>
      <c r="D1" s="3284"/>
      <c r="E1" s="3284"/>
      <c r="F1" s="3284"/>
      <c r="G1" s="3284"/>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6" t="s">
        <v>2923</v>
      </c>
      <c r="D3" s="2009"/>
      <c r="E3" s="1229" t="s">
        <v>1667</v>
      </c>
      <c r="F3" s="1230" t="s">
        <v>1655</v>
      </c>
      <c r="G3" s="3060" t="s">
        <v>2922</v>
      </c>
      <c r="H3" s="2008"/>
      <c r="I3" s="2008"/>
      <c r="J3" s="2008"/>
      <c r="K3" s="2008"/>
      <c r="L3" s="2008"/>
      <c r="M3" s="2008"/>
      <c r="N3" s="2008"/>
      <c r="O3" s="2008"/>
      <c r="P3" s="2008"/>
      <c r="Q3" s="2008"/>
      <c r="R3" s="2008"/>
    </row>
    <row r="4" spans="1:18" ht="41.25">
      <c r="A4" s="1229"/>
      <c r="B4" s="1231" t="s">
        <v>1668</v>
      </c>
      <c r="C4" s="3057" t="s">
        <v>2924</v>
      </c>
      <c r="D4" s="2009"/>
      <c r="E4" s="1232"/>
      <c r="F4" s="1233" t="s">
        <v>1669</v>
      </c>
      <c r="G4" s="3058" t="s">
        <v>2919</v>
      </c>
      <c r="H4" s="2008"/>
      <c r="I4" s="2008"/>
      <c r="J4" s="2008"/>
      <c r="K4" s="2008"/>
      <c r="L4" s="2008"/>
      <c r="M4" s="2008"/>
      <c r="N4" s="2008"/>
      <c r="O4" s="2008"/>
      <c r="P4" s="2008"/>
      <c r="Q4" s="2008"/>
      <c r="R4" s="2008"/>
    </row>
    <row r="5" spans="1:18" ht="41.25">
      <c r="A5" s="1229"/>
      <c r="B5" s="1231" t="s">
        <v>1670</v>
      </c>
      <c r="C5" s="3057" t="s">
        <v>2925</v>
      </c>
      <c r="D5" s="2009"/>
      <c r="E5" s="1232"/>
      <c r="F5" s="1231" t="s">
        <v>2547</v>
      </c>
      <c r="G5" s="3058" t="s">
        <v>2920</v>
      </c>
      <c r="H5" s="2008"/>
      <c r="I5" s="2008"/>
      <c r="J5" s="2008"/>
      <c r="K5" s="2008"/>
      <c r="L5" s="2008"/>
      <c r="M5" s="2008"/>
      <c r="N5" s="2008"/>
      <c r="O5" s="2008"/>
      <c r="P5" s="2008"/>
      <c r="Q5" s="2008"/>
      <c r="R5" s="2008"/>
    </row>
    <row r="6" spans="1:18" ht="54">
      <c r="A6" s="1229"/>
      <c r="B6" s="1231" t="s">
        <v>1656</v>
      </c>
      <c r="C6" s="3058" t="s">
        <v>2919</v>
      </c>
      <c r="D6" s="2009"/>
      <c r="E6" s="1232"/>
      <c r="F6" s="1231" t="s">
        <v>2548</v>
      </c>
      <c r="G6" s="3058" t="s">
        <v>2917</v>
      </c>
      <c r="H6" s="2008"/>
      <c r="I6" s="2008"/>
      <c r="J6" s="2008"/>
      <c r="K6" s="2008"/>
      <c r="L6" s="2008"/>
      <c r="M6" s="2008"/>
      <c r="N6" s="2008"/>
      <c r="O6" s="2008"/>
      <c r="P6" s="2008"/>
      <c r="Q6" s="2008"/>
      <c r="R6" s="2008"/>
    </row>
    <row r="7" spans="1:18" ht="41.25" thickBot="1">
      <c r="A7" s="1229"/>
      <c r="B7" s="1231" t="s">
        <v>2547</v>
      </c>
      <c r="C7" s="3058" t="s">
        <v>2920</v>
      </c>
      <c r="D7" s="2010"/>
      <c r="E7" s="1234"/>
      <c r="F7" s="1235" t="s">
        <v>1671</v>
      </c>
      <c r="G7" s="3061" t="s">
        <v>2921</v>
      </c>
      <c r="H7" s="2008"/>
      <c r="I7" s="2008"/>
      <c r="J7" s="2008"/>
      <c r="K7" s="2008"/>
      <c r="L7" s="2008"/>
      <c r="M7" s="2008"/>
      <c r="N7" s="2008"/>
      <c r="O7" s="2008"/>
      <c r="P7" s="2008"/>
      <c r="Q7" s="2008"/>
      <c r="R7" s="2008"/>
    </row>
    <row r="8" spans="1:18" ht="27">
      <c r="A8" s="1229"/>
      <c r="B8" s="1231" t="s">
        <v>2548</v>
      </c>
      <c r="C8" s="3058" t="s">
        <v>2917</v>
      </c>
      <c r="D8" s="2010"/>
      <c r="E8" s="2010"/>
      <c r="F8" s="1554"/>
      <c r="G8" s="1554"/>
      <c r="H8" s="2008"/>
      <c r="I8" s="2008"/>
      <c r="J8" s="2008"/>
      <c r="K8" s="2008"/>
      <c r="L8" s="2008"/>
      <c r="M8" s="2008"/>
      <c r="N8" s="2008"/>
      <c r="O8" s="2008"/>
      <c r="P8" s="2008"/>
      <c r="Q8" s="2008"/>
      <c r="R8" s="2008"/>
    </row>
    <row r="9" spans="1:18" ht="40.5">
      <c r="A9" s="1229"/>
      <c r="B9" s="1231" t="s">
        <v>1657</v>
      </c>
      <c r="C9" s="3057" t="s">
        <v>2918</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59"/>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2"/>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2"/>
      <c r="E23" s="2566"/>
      <c r="F23" s="1248" t="s">
        <v>1676</v>
      </c>
      <c r="G23" s="3063"/>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0" t="s">
        <v>2844</v>
      </c>
      <c r="B1" s="3020">
        <f>SUM(B14:B23)</f>
        <v>87244</v>
      </c>
      <c r="C1" s="3021"/>
      <c r="D1" s="3021"/>
      <c r="E1" s="3021"/>
      <c r="F1" s="3021"/>
    </row>
    <row r="2" spans="1:9" ht="16.5">
      <c r="A2" s="3020" t="s">
        <v>2845</v>
      </c>
      <c r="B2" s="3020">
        <f>SUM(C14:C23)</f>
        <v>68972.94</v>
      </c>
      <c r="C2" s="3021"/>
      <c r="D2" s="3021"/>
      <c r="E2" s="3021"/>
      <c r="F2" s="3021"/>
    </row>
    <row r="3" spans="1:9" ht="16.5">
      <c r="A3" s="3020" t="s">
        <v>2846</v>
      </c>
      <c r="B3" s="3022">
        <f>项目基本情况!D3</f>
        <v>43510</v>
      </c>
      <c r="C3" s="3021"/>
      <c r="D3" s="3021"/>
      <c r="E3" s="3021"/>
      <c r="F3" s="3021"/>
    </row>
    <row r="4" spans="1:9" ht="33">
      <c r="A4" s="3020" t="s">
        <v>2847</v>
      </c>
      <c r="B4" s="3020" t="s">
        <v>2848</v>
      </c>
      <c r="C4" s="3020" t="s">
        <v>2849</v>
      </c>
      <c r="D4" s="3020" t="s">
        <v>2850</v>
      </c>
      <c r="E4" s="3021"/>
      <c r="F4" s="3021"/>
    </row>
    <row r="5" spans="1:9" ht="16.5">
      <c r="A5" s="3020" t="s">
        <v>2851</v>
      </c>
      <c r="B5" s="3020">
        <f ca="1">SUM(D14:D23)</f>
        <v>45505</v>
      </c>
      <c r="C5" s="3020">
        <f ca="1">ROUND(B5*10000/$B$1,0)</f>
        <v>5216</v>
      </c>
      <c r="D5" s="3020">
        <f ca="1">ROUND(B5*10000/$B$2,0)</f>
        <v>6598</v>
      </c>
      <c r="E5" s="3021"/>
      <c r="F5" s="3021"/>
    </row>
    <row r="6" spans="1:9" ht="16.5">
      <c r="A6" s="3020" t="s">
        <v>2852</v>
      </c>
      <c r="B6" s="3020">
        <f ca="1">SUM(G14:G23)</f>
        <v>45505</v>
      </c>
      <c r="C6" s="3020">
        <f t="shared" ref="C6:C8" ca="1" si="0">ROUND(B6*10000/$B$1,0)</f>
        <v>5216</v>
      </c>
      <c r="D6" s="3020">
        <f t="shared" ref="D6:D8" ca="1" si="1">ROUND(B6*10000/$B$2,0)</f>
        <v>6598</v>
      </c>
      <c r="E6" s="3021"/>
      <c r="F6" s="3021"/>
    </row>
    <row r="7" spans="1:9" ht="16.5">
      <c r="A7" s="3020" t="s">
        <v>2853</v>
      </c>
      <c r="B7" s="3020">
        <f>SUM(H14:H23)</f>
        <v>0</v>
      </c>
      <c r="C7" s="3020">
        <f t="shared" si="0"/>
        <v>0</v>
      </c>
      <c r="D7" s="3020">
        <f t="shared" si="1"/>
        <v>0</v>
      </c>
      <c r="E7" s="3021"/>
      <c r="F7" s="3021"/>
    </row>
    <row r="8" spans="1:9" ht="16.5">
      <c r="A8" s="3020" t="s">
        <v>2854</v>
      </c>
      <c r="B8" s="3020">
        <f>SUM(I14:I23)</f>
        <v>0</v>
      </c>
      <c r="C8" s="3020">
        <f t="shared" si="0"/>
        <v>0</v>
      </c>
      <c r="D8" s="3020">
        <f t="shared" si="1"/>
        <v>0</v>
      </c>
      <c r="E8" s="3021"/>
      <c r="F8" s="3021"/>
    </row>
    <row r="9" spans="1:9" ht="16.5">
      <c r="A9" s="3020" t="s">
        <v>2855</v>
      </c>
      <c r="B9" s="3023"/>
      <c r="C9" s="3021"/>
      <c r="D9" s="3021"/>
      <c r="E9" s="3021"/>
      <c r="F9" s="3021"/>
    </row>
    <row r="10" spans="1:9" ht="16.5">
      <c r="A10" s="3020" t="s">
        <v>2856</v>
      </c>
      <c r="B10" s="3023"/>
      <c r="C10" s="3021"/>
      <c r="D10" s="3021"/>
      <c r="E10" s="3021"/>
      <c r="F10" s="3021"/>
    </row>
    <row r="11" spans="1:9" ht="16.5">
      <c r="A11" s="3020" t="s">
        <v>2873</v>
      </c>
      <c r="B11" s="3023"/>
      <c r="C11" s="3021"/>
      <c r="D11" s="3021"/>
      <c r="E11" s="3021"/>
      <c r="F11" s="3021"/>
    </row>
    <row r="12" spans="1:9" ht="16.5">
      <c r="A12" s="3021"/>
      <c r="B12" s="3021"/>
      <c r="C12" s="3021"/>
      <c r="D12" s="3021"/>
      <c r="E12" s="3021"/>
      <c r="F12" s="3021"/>
    </row>
    <row r="13" spans="1:9" ht="33">
      <c r="A13" s="3026" t="s">
        <v>2872</v>
      </c>
      <c r="B13" s="3024" t="s">
        <v>2844</v>
      </c>
      <c r="C13" s="3024" t="s">
        <v>2845</v>
      </c>
      <c r="D13" s="3024" t="s">
        <v>2857</v>
      </c>
      <c r="E13" s="3020" t="s">
        <v>2871</v>
      </c>
      <c r="F13" s="3020" t="s">
        <v>2850</v>
      </c>
      <c r="G13" s="3024" t="s">
        <v>2858</v>
      </c>
      <c r="H13" s="3024" t="s">
        <v>2859</v>
      </c>
      <c r="I13" s="3024" t="s">
        <v>2860</v>
      </c>
    </row>
    <row r="14" spans="1:9" ht="16.5">
      <c r="A14" s="3027" t="s">
        <v>2870</v>
      </c>
      <c r="B14" s="3024">
        <f>结果表!L38</f>
        <v>87244</v>
      </c>
      <c r="C14" s="3024">
        <f>结果表!K38</f>
        <v>68972.94</v>
      </c>
      <c r="D14" s="3024">
        <f ca="1">结果表!C42</f>
        <v>45505</v>
      </c>
      <c r="E14" s="3024">
        <f ca="1">ROUND(D14*10000/B14,0)</f>
        <v>5216</v>
      </c>
      <c r="F14" s="3024">
        <f ca="1">ROUND(D14*10000/C14,0)</f>
        <v>6598</v>
      </c>
      <c r="G14" s="3024">
        <f ca="1">结果表!C44</f>
        <v>45505</v>
      </c>
      <c r="H14" s="3024" t="str">
        <f>结果表!C45</f>
        <v>——</v>
      </c>
      <c r="I14" s="3024" t="str">
        <f>结果表!C46</f>
        <v>——</v>
      </c>
    </row>
    <row r="15" spans="1:9" ht="16.5">
      <c r="A15" s="3027" t="s">
        <v>2861</v>
      </c>
      <c r="B15" s="3028"/>
      <c r="C15" s="3028"/>
      <c r="D15" s="3028"/>
      <c r="E15" s="3024" t="e">
        <f t="shared" ref="E15:E23" si="2">ROUND(D15*10000/B15,0)</f>
        <v>#DIV/0!</v>
      </c>
      <c r="F15" s="3024" t="e">
        <f t="shared" ref="F15:F23" si="3">ROUND(D15*10000/C15,0)</f>
        <v>#DIV/0!</v>
      </c>
      <c r="G15" s="3025"/>
      <c r="H15" s="3025"/>
      <c r="I15" s="3028"/>
    </row>
    <row r="16" spans="1:9" ht="16.5">
      <c r="A16" s="3027" t="s">
        <v>2862</v>
      </c>
      <c r="B16" s="3028"/>
      <c r="C16" s="3028"/>
      <c r="D16" s="3028"/>
      <c r="E16" s="3024" t="e">
        <f t="shared" si="2"/>
        <v>#DIV/0!</v>
      </c>
      <c r="F16" s="3024" t="e">
        <f t="shared" si="3"/>
        <v>#DIV/0!</v>
      </c>
      <c r="G16" s="3025"/>
      <c r="H16" s="3025"/>
      <c r="I16" s="3028"/>
    </row>
    <row r="17" spans="1:9" ht="16.5">
      <c r="A17" s="3027" t="s">
        <v>2863</v>
      </c>
      <c r="B17" s="3028"/>
      <c r="C17" s="3028"/>
      <c r="D17" s="3028"/>
      <c r="E17" s="3024" t="e">
        <f t="shared" si="2"/>
        <v>#DIV/0!</v>
      </c>
      <c r="F17" s="3024" t="e">
        <f t="shared" si="3"/>
        <v>#DIV/0!</v>
      </c>
      <c r="G17" s="3025"/>
      <c r="H17" s="3025"/>
      <c r="I17" s="3028"/>
    </row>
    <row r="18" spans="1:9" ht="16.5">
      <c r="A18" s="3027" t="s">
        <v>2864</v>
      </c>
      <c r="B18" s="3028"/>
      <c r="C18" s="3028"/>
      <c r="D18" s="3028"/>
      <c r="E18" s="3024" t="e">
        <f t="shared" si="2"/>
        <v>#DIV/0!</v>
      </c>
      <c r="F18" s="3024" t="e">
        <f t="shared" si="3"/>
        <v>#DIV/0!</v>
      </c>
      <c r="G18" s="3028"/>
      <c r="H18" s="3028"/>
      <c r="I18" s="3028"/>
    </row>
    <row r="19" spans="1:9" ht="16.5">
      <c r="A19" s="3027" t="s">
        <v>2865</v>
      </c>
      <c r="B19" s="3028"/>
      <c r="C19" s="3028"/>
      <c r="D19" s="3028"/>
      <c r="E19" s="3024" t="e">
        <f t="shared" si="2"/>
        <v>#DIV/0!</v>
      </c>
      <c r="F19" s="3024" t="e">
        <f t="shared" si="3"/>
        <v>#DIV/0!</v>
      </c>
      <c r="G19" s="3028"/>
      <c r="H19" s="3028"/>
      <c r="I19" s="3028"/>
    </row>
    <row r="20" spans="1:9" ht="16.5">
      <c r="A20" s="3027" t="s">
        <v>2866</v>
      </c>
      <c r="B20" s="3028"/>
      <c r="C20" s="3028"/>
      <c r="D20" s="3028"/>
      <c r="E20" s="3024" t="e">
        <f t="shared" si="2"/>
        <v>#DIV/0!</v>
      </c>
      <c r="F20" s="3024" t="e">
        <f t="shared" si="3"/>
        <v>#DIV/0!</v>
      </c>
      <c r="G20" s="3028"/>
      <c r="H20" s="3028"/>
      <c r="I20" s="3028"/>
    </row>
    <row r="21" spans="1:9" ht="16.5">
      <c r="A21" s="3027" t="s">
        <v>2867</v>
      </c>
      <c r="B21" s="3028"/>
      <c r="C21" s="3028"/>
      <c r="D21" s="3028"/>
      <c r="E21" s="3024" t="e">
        <f t="shared" si="2"/>
        <v>#DIV/0!</v>
      </c>
      <c r="F21" s="3024" t="e">
        <f t="shared" si="3"/>
        <v>#DIV/0!</v>
      </c>
      <c r="G21" s="3028"/>
      <c r="H21" s="3028"/>
      <c r="I21" s="3028"/>
    </row>
    <row r="22" spans="1:9" ht="16.5">
      <c r="A22" s="3027" t="s">
        <v>2868</v>
      </c>
      <c r="B22" s="3028"/>
      <c r="C22" s="3028"/>
      <c r="D22" s="3028"/>
      <c r="E22" s="3024" t="e">
        <f t="shared" si="2"/>
        <v>#DIV/0!</v>
      </c>
      <c r="F22" s="3024" t="e">
        <f t="shared" si="3"/>
        <v>#DIV/0!</v>
      </c>
      <c r="G22" s="3028"/>
      <c r="H22" s="3028"/>
      <c r="I22" s="3028"/>
    </row>
    <row r="23" spans="1:9" ht="16.5">
      <c r="A23" s="3027" t="s">
        <v>2869</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c r="E1" s="1805" t="s">
        <v>2058</v>
      </c>
      <c r="F1" s="1807"/>
      <c r="G1" s="311"/>
      <c r="H1" s="311"/>
      <c r="I1" s="311"/>
      <c r="J1" s="2029"/>
      <c r="K1" s="2029"/>
      <c r="L1" s="2029"/>
      <c r="M1" s="2029"/>
      <c r="N1" s="2029"/>
      <c r="O1" s="2029"/>
      <c r="P1" s="2029"/>
      <c r="Q1" s="2029"/>
      <c r="R1" s="2029"/>
      <c r="S1" s="2029"/>
      <c r="T1" s="2029"/>
      <c r="U1" s="2029"/>
      <c r="V1" s="2029"/>
    </row>
    <row r="2" spans="1:22" ht="21.75" customHeight="1" thickBot="1">
      <c r="A2" s="3321" t="str">
        <f>项目基本情况!K2</f>
        <v>出让国有建设用地使用权</v>
      </c>
      <c r="B2" s="3322"/>
      <c r="C2" s="3323"/>
      <c r="D2" s="3323"/>
      <c r="E2" s="3323"/>
      <c r="F2" s="3323"/>
      <c r="G2" s="3322"/>
      <c r="H2" s="3322"/>
      <c r="I2" s="3324"/>
      <c r="J2" s="2030"/>
      <c r="K2" s="2029"/>
      <c r="L2" s="2029"/>
      <c r="M2" s="2029"/>
      <c r="N2" s="2029"/>
      <c r="O2" s="2029"/>
      <c r="P2" s="2029"/>
      <c r="Q2" s="2029"/>
      <c r="R2" s="2029"/>
      <c r="S2" s="2029"/>
      <c r="T2" s="2029"/>
      <c r="U2" s="2029"/>
      <c r="V2" s="2029"/>
    </row>
    <row r="3" spans="1:22" ht="14.25">
      <c r="A3" s="3314" t="s">
        <v>298</v>
      </c>
      <c r="B3" s="3315"/>
      <c r="C3" s="3315"/>
      <c r="D3" s="3315"/>
      <c r="E3" s="3315"/>
      <c r="F3" s="3315"/>
      <c r="G3" s="3315"/>
      <c r="H3" s="3315"/>
      <c r="I3" s="3315"/>
      <c r="J3" s="2030"/>
      <c r="K3" s="2029"/>
      <c r="L3" s="2029"/>
      <c r="M3" s="2029"/>
      <c r="N3" s="2029"/>
      <c r="O3" s="2029"/>
      <c r="P3" s="2029"/>
      <c r="Q3" s="2029"/>
      <c r="R3" s="2029"/>
      <c r="S3" s="2029"/>
      <c r="T3" s="2029"/>
      <c r="U3" s="2029"/>
      <c r="V3" s="2029"/>
    </row>
    <row r="4" spans="1:22" ht="14.25">
      <c r="A4" s="258" t="s">
        <v>299</v>
      </c>
      <c r="B4" s="259" t="s">
        <v>300</v>
      </c>
      <c r="C4" s="260" t="s">
        <v>3006</v>
      </c>
      <c r="D4" s="260" t="s">
        <v>3007</v>
      </c>
      <c r="E4" s="3286" t="s">
        <v>301</v>
      </c>
      <c r="F4" s="3287"/>
      <c r="G4" s="3287"/>
      <c r="H4" s="3287"/>
      <c r="I4" s="3316"/>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85" t="s">
        <v>302</v>
      </c>
      <c r="B5" s="3311">
        <v>25</v>
      </c>
      <c r="C5" s="3309"/>
      <c r="D5" s="3313"/>
      <c r="E5" s="261" t="s">
        <v>303</v>
      </c>
      <c r="F5" s="262"/>
      <c r="G5" s="262"/>
      <c r="H5" s="262"/>
      <c r="I5" s="263"/>
      <c r="J5" s="2030"/>
      <c r="K5" s="2029"/>
      <c r="L5" s="2029"/>
      <c r="M5" s="2029"/>
      <c r="N5" s="2029"/>
      <c r="O5" s="2029"/>
      <c r="P5" s="2029"/>
      <c r="Q5" s="2029"/>
      <c r="R5" s="2029"/>
      <c r="S5" s="2029"/>
      <c r="T5" s="2029"/>
      <c r="U5" s="2029"/>
      <c r="V5" s="2029"/>
    </row>
    <row r="6" spans="1:22" ht="14.25">
      <c r="A6" s="3285"/>
      <c r="B6" s="3311"/>
      <c r="C6" s="3312"/>
      <c r="D6" s="3313"/>
      <c r="E6" s="261" t="s">
        <v>304</v>
      </c>
      <c r="F6" s="262"/>
      <c r="G6" s="262"/>
      <c r="H6" s="262"/>
      <c r="I6" s="263"/>
      <c r="J6" s="2030"/>
      <c r="K6" s="2029"/>
      <c r="L6" s="2029"/>
      <c r="M6" s="2029"/>
      <c r="N6" s="2029"/>
      <c r="O6" s="2029"/>
      <c r="P6" s="2029"/>
      <c r="Q6" s="2029"/>
      <c r="R6" s="2029"/>
      <c r="S6" s="2029"/>
      <c r="T6" s="2029"/>
      <c r="U6" s="2029"/>
      <c r="V6" s="2029"/>
    </row>
    <row r="7" spans="1:22" ht="14.25">
      <c r="A7" s="3285"/>
      <c r="B7" s="3311"/>
      <c r="C7" s="3310"/>
      <c r="D7" s="3313"/>
      <c r="E7" s="261" t="s">
        <v>305</v>
      </c>
      <c r="F7" s="262"/>
      <c r="G7" s="262"/>
      <c r="H7" s="262"/>
      <c r="I7" s="263"/>
      <c r="J7" s="2030"/>
      <c r="K7" s="2029"/>
      <c r="L7" s="2029"/>
      <c r="M7" s="2029"/>
      <c r="N7" s="2029"/>
      <c r="O7" s="2029"/>
      <c r="P7" s="2029"/>
      <c r="Q7" s="2029"/>
      <c r="R7" s="2029"/>
      <c r="S7" s="2029"/>
      <c r="T7" s="2029"/>
      <c r="U7" s="2029"/>
      <c r="V7" s="2029"/>
    </row>
    <row r="8" spans="1:22" ht="14.25">
      <c r="A8" s="3285" t="s">
        <v>306</v>
      </c>
      <c r="B8" s="3311">
        <v>15</v>
      </c>
      <c r="C8" s="3309"/>
      <c r="D8" s="3313"/>
      <c r="E8" s="261" t="s">
        <v>307</v>
      </c>
      <c r="F8" s="262"/>
      <c r="G8" s="262"/>
      <c r="H8" s="262"/>
      <c r="I8" s="263"/>
      <c r="J8" s="2030"/>
      <c r="K8" s="2029"/>
      <c r="L8" s="2029"/>
      <c r="M8" s="2029"/>
      <c r="N8" s="2029"/>
      <c r="O8" s="2029"/>
      <c r="P8" s="2029"/>
      <c r="Q8" s="2029"/>
      <c r="R8" s="2029"/>
      <c r="S8" s="2029"/>
      <c r="T8" s="2029"/>
      <c r="U8" s="2029"/>
      <c r="V8" s="2029"/>
    </row>
    <row r="9" spans="1:22" ht="14.25">
      <c r="A9" s="3285"/>
      <c r="B9" s="3311"/>
      <c r="C9" s="3310"/>
      <c r="D9" s="3313"/>
      <c r="E9" s="261" t="s">
        <v>308</v>
      </c>
      <c r="F9" s="262"/>
      <c r="G9" s="262"/>
      <c r="H9" s="262"/>
      <c r="I9" s="263"/>
      <c r="J9" s="2030"/>
      <c r="K9" s="2029"/>
      <c r="L9" s="2029"/>
      <c r="M9" s="2029"/>
      <c r="N9" s="2029"/>
      <c r="O9" s="2029"/>
      <c r="P9" s="2029"/>
      <c r="Q9" s="2029"/>
      <c r="R9" s="2029"/>
      <c r="S9" s="2029"/>
      <c r="T9" s="2029"/>
      <c r="U9" s="2029"/>
      <c r="V9" s="2029"/>
    </row>
    <row r="10" spans="1:22" ht="14.25">
      <c r="A10" s="3285" t="s">
        <v>309</v>
      </c>
      <c r="B10" s="3311">
        <v>15</v>
      </c>
      <c r="C10" s="3309"/>
      <c r="D10" s="3313"/>
      <c r="E10" s="261" t="s">
        <v>310</v>
      </c>
      <c r="F10" s="262"/>
      <c r="G10" s="262"/>
      <c r="H10" s="262"/>
      <c r="I10" s="263"/>
      <c r="J10" s="2030"/>
      <c r="K10" s="2029"/>
      <c r="L10" s="2029"/>
      <c r="M10" s="2029"/>
      <c r="N10" s="2029"/>
      <c r="O10" s="2029"/>
      <c r="P10" s="2029"/>
      <c r="Q10" s="2029"/>
      <c r="R10" s="2029"/>
      <c r="S10" s="2029"/>
      <c r="T10" s="2029"/>
      <c r="U10" s="2029"/>
      <c r="V10" s="2029"/>
    </row>
    <row r="11" spans="1:22" ht="14.25">
      <c r="A11" s="3285"/>
      <c r="B11" s="3311"/>
      <c r="C11" s="3310"/>
      <c r="D11" s="3313"/>
      <c r="E11" s="261" t="s">
        <v>311</v>
      </c>
      <c r="F11" s="262"/>
      <c r="G11" s="262"/>
      <c r="H11" s="262"/>
      <c r="I11" s="263"/>
      <c r="J11" s="2030"/>
      <c r="K11" s="2029"/>
      <c r="L11" s="2029"/>
      <c r="M11" s="2029"/>
      <c r="N11" s="2029"/>
      <c r="O11" s="2029"/>
      <c r="P11" s="2029"/>
      <c r="Q11" s="2029"/>
      <c r="R11" s="2029"/>
      <c r="S11" s="2029"/>
      <c r="T11" s="2029"/>
      <c r="U11" s="2029"/>
      <c r="V11" s="2029"/>
    </row>
    <row r="12" spans="1:22" ht="14.25">
      <c r="A12" s="3285" t="s">
        <v>312</v>
      </c>
      <c r="B12" s="3311">
        <v>15</v>
      </c>
      <c r="C12" s="3309"/>
      <c r="D12" s="3313"/>
      <c r="E12" s="261" t="s">
        <v>313</v>
      </c>
      <c r="F12" s="262"/>
      <c r="G12" s="262"/>
      <c r="H12" s="262"/>
      <c r="I12" s="263"/>
      <c r="J12" s="2030"/>
      <c r="K12" s="2029"/>
      <c r="L12" s="2029"/>
      <c r="M12" s="2029"/>
      <c r="N12" s="2029"/>
      <c r="O12" s="2029"/>
      <c r="P12" s="2029"/>
      <c r="Q12" s="2029"/>
      <c r="R12" s="2029"/>
      <c r="S12" s="2029"/>
      <c r="T12" s="2029"/>
      <c r="U12" s="2029"/>
      <c r="V12" s="2029"/>
    </row>
    <row r="13" spans="1:22" ht="14.25">
      <c r="A13" s="3285"/>
      <c r="B13" s="3311"/>
      <c r="C13" s="3310"/>
      <c r="D13" s="3313"/>
      <c r="E13" s="261" t="s">
        <v>314</v>
      </c>
      <c r="F13" s="262"/>
      <c r="G13" s="262"/>
      <c r="H13" s="262"/>
      <c r="I13" s="263"/>
      <c r="J13" s="2030"/>
      <c r="K13" s="2029"/>
      <c r="L13" s="2029"/>
      <c r="M13" s="2029"/>
      <c r="N13" s="2029"/>
      <c r="O13" s="2029"/>
      <c r="P13" s="2029"/>
      <c r="Q13" s="2029"/>
      <c r="R13" s="2029"/>
      <c r="S13" s="2029"/>
      <c r="T13" s="2029"/>
      <c r="U13" s="2029"/>
      <c r="V13" s="2029"/>
    </row>
    <row r="14" spans="1:22" ht="14.25">
      <c r="A14" s="3285" t="s">
        <v>315</v>
      </c>
      <c r="B14" s="3311">
        <v>30</v>
      </c>
      <c r="C14" s="3309">
        <v>4</v>
      </c>
      <c r="D14" s="3313">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85"/>
      <c r="B15" s="3311"/>
      <c r="C15" s="3312"/>
      <c r="D15" s="3313"/>
      <c r="E15" s="261" t="s">
        <v>317</v>
      </c>
      <c r="F15" s="262"/>
      <c r="G15" s="262"/>
      <c r="H15" s="262"/>
      <c r="I15" s="263"/>
      <c r="J15" s="2030"/>
      <c r="K15" s="2029"/>
      <c r="L15" s="2029"/>
      <c r="M15" s="2029"/>
      <c r="N15" s="2029"/>
      <c r="O15" s="2029"/>
      <c r="P15" s="2029"/>
      <c r="Q15" s="2029"/>
      <c r="R15" s="2029"/>
      <c r="S15" s="2029"/>
      <c r="T15" s="2029"/>
      <c r="U15" s="2029"/>
      <c r="V15" s="2029"/>
    </row>
    <row r="16" spans="1:22" ht="14.25">
      <c r="A16" s="3285"/>
      <c r="B16" s="3311"/>
      <c r="C16" s="3310"/>
      <c r="D16" s="3313"/>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31665</v>
      </c>
      <c r="D19" s="271">
        <f ca="1">SUMIF(INDIRECT("'"&amp;D4&amp;"'"&amp;"!A:A"),结果表!B19,INDIRECT("'"&amp;D4&amp;"'"&amp;"!B:B"))</f>
        <v>54732</v>
      </c>
      <c r="E19" s="268" t="s">
        <v>323</v>
      </c>
      <c r="F19" s="269" t="s">
        <v>322</v>
      </c>
      <c r="G19" s="272">
        <f ca="1">ROUND(C19*$C$18+D19*$D$18,0)</f>
        <v>45505</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3629</v>
      </c>
      <c r="D20" s="277">
        <f ca="1">SUMIF(INDIRECT("'"&amp;D4&amp;"'"&amp;"!A:A"),结果表!B20,INDIRECT("'"&amp;D4&amp;"'"&amp;"!B:B"))</f>
        <v>6273</v>
      </c>
      <c r="E20" s="274"/>
      <c r="F20" s="275" t="s">
        <v>325</v>
      </c>
      <c r="G20" s="278">
        <f ca="1">ROUND(C20*$C$18+D20*$D$18,0)</f>
        <v>5215</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4591</v>
      </c>
      <c r="D21" s="151">
        <f ca="1">SUMIF(INDIRECT("'"&amp;D4&amp;"'"&amp;"!A:A"),结果表!B21,INDIRECT("'"&amp;D4&amp;"'"&amp;"!B:B"))</f>
        <v>7935</v>
      </c>
      <c r="E21" s="274"/>
      <c r="F21" s="280" t="s">
        <v>327</v>
      </c>
      <c r="G21" s="282">
        <f ca="1">ROUND(C21*$C$18+D21*$D$18,0)</f>
        <v>6597</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0.72846991946944573</v>
      </c>
      <c r="E22" s="284"/>
      <c r="F22" s="285"/>
      <c r="G22" s="286">
        <f ca="1">ROUND(G19/('数据-汇总表'!D3/666.67),0)</f>
        <v>440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1"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92"/>
      <c r="B25" s="1321" t="s">
        <v>331</v>
      </c>
      <c r="C25" s="290">
        <f>IF(B30=0,0,C30)</f>
        <v>0</v>
      </c>
      <c r="D25" s="291"/>
      <c r="E25" s="311"/>
      <c r="F25" s="311"/>
      <c r="G25" s="311"/>
      <c r="H25" s="311"/>
      <c r="I25" s="311"/>
      <c r="J25" s="2029"/>
      <c r="K25" s="1255" t="str">
        <f ca="1">项目基本情况!B16&amp;"国有建设用地使用权价格："&amp;O38&amp;"万元"</f>
        <v>出让国有建设用地使用权价格：45505万元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大写金额：人民币肆亿伍仟伍佰零伍万元整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单位面积地价：6598元/平方米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楼面地价：5216元/平方米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抵押价格：45505万元</v>
      </c>
      <c r="L29" s="1252"/>
      <c r="M29" s="1252"/>
      <c r="N29" s="1252"/>
      <c r="O29" s="1251"/>
      <c r="P29" s="2029"/>
      <c r="V29" s="2029"/>
    </row>
    <row r="30" spans="1:26" ht="18.75" thickBot="1">
      <c r="A30" s="3105" t="s">
        <v>336</v>
      </c>
      <c r="B30" s="309"/>
      <c r="C30" s="309"/>
      <c r="D30" s="310"/>
      <c r="E30" s="3106" t="s">
        <v>2972</v>
      </c>
      <c r="F30" s="311"/>
      <c r="G30" s="311"/>
      <c r="H30" s="311"/>
      <c r="I30" s="311"/>
      <c r="J30" s="2029"/>
      <c r="K30" s="1258" t="str">
        <f ca="1">IF(K29="——","——","大写金额：人民币"&amp;NUMBERSTRING(INT(O39*10000),2)&amp;"元整")</f>
        <v>大写金额：人民币肆亿伍仟伍佰零伍万元整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45505</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5216</v>
      </c>
      <c r="D33" s="1386" t="s">
        <v>1692</v>
      </c>
      <c r="E33" s="3291"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6598</v>
      </c>
      <c r="D34" s="1388" t="s">
        <v>1692</v>
      </c>
      <c r="E34" s="3332"/>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440</v>
      </c>
      <c r="D35" s="1391" t="s">
        <v>1694</v>
      </c>
      <c r="E35" s="3333"/>
      <c r="F35" s="301" t="s">
        <v>342</v>
      </c>
      <c r="G35" s="982"/>
      <c r="H35" s="981" t="s">
        <v>343</v>
      </c>
      <c r="I35" s="311"/>
      <c r="J35" s="2029"/>
      <c r="K35" s="3306" t="s">
        <v>350</v>
      </c>
      <c r="L35" s="3306" t="s">
        <v>351</v>
      </c>
      <c r="M35" s="1264" t="s">
        <v>352</v>
      </c>
      <c r="N35" s="3306" t="s">
        <v>353</v>
      </c>
      <c r="O35" s="3306" t="s">
        <v>354</v>
      </c>
      <c r="P35" s="2029"/>
      <c r="V35" s="2029"/>
    </row>
    <row r="36" spans="1:26" ht="16.5" customHeight="1">
      <c r="A36" s="303" t="s">
        <v>344</v>
      </c>
      <c r="B36" s="304" t="s">
        <v>333</v>
      </c>
      <c r="C36" s="305" t="s">
        <v>345</v>
      </c>
      <c r="D36" s="305" t="s">
        <v>346</v>
      </c>
      <c r="E36" s="306" t="s">
        <v>347</v>
      </c>
      <c r="F36" s="311"/>
      <c r="G36" s="311"/>
      <c r="H36" s="311"/>
      <c r="I36" s="311"/>
      <c r="J36" s="2031"/>
      <c r="K36" s="3307"/>
      <c r="L36" s="3307"/>
      <c r="M36" s="1266" t="s">
        <v>355</v>
      </c>
      <c r="N36" s="3307"/>
      <c r="O36" s="3307"/>
      <c r="P36" s="2029"/>
      <c r="V36" s="2029"/>
    </row>
    <row r="37" spans="1:26" ht="16.5" customHeight="1" thickBot="1">
      <c r="A37" s="1260" t="s">
        <v>348</v>
      </c>
      <c r="B37" s="307"/>
      <c r="C37" s="294"/>
      <c r="D37" s="294"/>
      <c r="E37" s="295"/>
      <c r="F37" s="311"/>
      <c r="G37" s="311"/>
      <c r="H37" s="311"/>
      <c r="I37" s="311"/>
      <c r="J37" s="2031"/>
      <c r="K37" s="3308"/>
      <c r="L37" s="3308"/>
      <c r="M37" s="1267"/>
      <c r="N37" s="3308"/>
      <c r="O37" s="3308"/>
      <c r="P37" s="2029"/>
      <c r="V37" s="2029"/>
    </row>
    <row r="38" spans="1:26" ht="16.5" customHeight="1" thickBot="1">
      <c r="A38" s="1260" t="s">
        <v>349</v>
      </c>
      <c r="B38" s="307"/>
      <c r="C38" s="294"/>
      <c r="D38" s="294"/>
      <c r="E38" s="295"/>
      <c r="F38" s="311"/>
      <c r="G38" s="311"/>
      <c r="H38" s="311"/>
      <c r="I38" s="311"/>
      <c r="J38" s="2031"/>
      <c r="K38" s="1268">
        <f>'数据-汇总表'!D3</f>
        <v>68972.94</v>
      </c>
      <c r="L38" s="1269">
        <f>'数据-汇总表'!E3</f>
        <v>87244</v>
      </c>
      <c r="M38" s="1269">
        <f ca="1">C34</f>
        <v>6598</v>
      </c>
      <c r="N38" s="1269">
        <f ca="1">C33</f>
        <v>5216</v>
      </c>
      <c r="O38" s="1270">
        <f ca="1">C32</f>
        <v>45505</v>
      </c>
      <c r="P38" s="2029"/>
      <c r="V38" s="2029"/>
    </row>
    <row r="39" spans="1:26" ht="16.5" customHeight="1" thickBot="1">
      <c r="A39" s="1265"/>
      <c r="B39" s="308"/>
      <c r="C39" s="309"/>
      <c r="D39" s="309"/>
      <c r="E39" s="310"/>
      <c r="F39" s="311"/>
      <c r="G39" s="311"/>
      <c r="H39" s="311"/>
      <c r="I39" s="311"/>
      <c r="J39" s="2031"/>
      <c r="K39" s="3351" t="str">
        <f>MID(A44,3,LEN(A44)-2)</f>
        <v>抵押价格</v>
      </c>
      <c r="L39" s="3352"/>
      <c r="M39" s="3352"/>
      <c r="N39" s="3353"/>
      <c r="O39" s="1393">
        <f ca="1">C44</f>
        <v>45505</v>
      </c>
      <c r="P39" s="2029"/>
      <c r="V39" s="2029"/>
    </row>
    <row r="40" spans="1:26" ht="19.5" thickBot="1">
      <c r="A40" s="104" t="s">
        <v>873</v>
      </c>
      <c r="B40" s="311"/>
      <c r="C40" s="311"/>
      <c r="D40" s="311"/>
      <c r="E40" s="311"/>
      <c r="F40" s="311"/>
      <c r="G40" s="311"/>
      <c r="H40" s="311"/>
      <c r="I40" s="311"/>
      <c r="J40" s="2031"/>
      <c r="K40" s="3351" t="str">
        <f t="shared" ref="K40:K41" si="0">MID(A45,3,LEN(A45)-2)</f>
        <v/>
      </c>
      <c r="L40" s="3352"/>
      <c r="M40" s="3352"/>
      <c r="N40" s="3353"/>
      <c r="O40" s="1393" t="str">
        <f>C45</f>
        <v>——</v>
      </c>
      <c r="P40" s="2029"/>
      <c r="V40" s="2029"/>
    </row>
    <row r="41" spans="1:26" ht="16.5" thickBot="1">
      <c r="A41" s="312" t="s">
        <v>356</v>
      </c>
      <c r="B41" s="313"/>
      <c r="C41" s="314" t="s">
        <v>357</v>
      </c>
      <c r="D41" s="315" t="s">
        <v>358</v>
      </c>
      <c r="E41" s="315" t="s">
        <v>359</v>
      </c>
      <c r="F41" s="316" t="s">
        <v>360</v>
      </c>
      <c r="G41" s="311"/>
      <c r="H41" s="311"/>
      <c r="I41" s="311"/>
      <c r="J41" s="2031"/>
      <c r="K41" s="3351" t="str">
        <f t="shared" si="0"/>
        <v/>
      </c>
      <c r="L41" s="3352"/>
      <c r="M41" s="3352"/>
      <c r="N41" s="3353"/>
      <c r="O41" s="1393" t="str">
        <f>C46</f>
        <v>——</v>
      </c>
      <c r="P41" s="2029"/>
      <c r="V41" s="2029"/>
    </row>
    <row r="42" spans="1:26" ht="29.25">
      <c r="A42" s="3293" t="s">
        <v>2068</v>
      </c>
      <c r="B42" s="3294"/>
      <c r="C42" s="264">
        <f ca="1">C32</f>
        <v>45505</v>
      </c>
      <c r="D42" s="317">
        <f ca="1">C33</f>
        <v>5216</v>
      </c>
      <c r="E42" s="317">
        <f ca="1">C34</f>
        <v>6598</v>
      </c>
      <c r="F42" s="318">
        <f ca="1">C35</f>
        <v>440</v>
      </c>
      <c r="G42" s="311"/>
      <c r="H42" s="311"/>
      <c r="I42" s="319"/>
      <c r="J42" s="2031"/>
      <c r="K42" s="1271" t="s">
        <v>361</v>
      </c>
      <c r="L42" s="2048" t="s">
        <v>362</v>
      </c>
      <c r="M42" s="1272" t="s">
        <v>363</v>
      </c>
      <c r="N42" s="2049" t="s">
        <v>364</v>
      </c>
      <c r="O42" s="2050" t="s">
        <v>365</v>
      </c>
      <c r="P42" s="2029"/>
      <c r="V42" s="2029"/>
    </row>
    <row r="43" spans="1:26" ht="30">
      <c r="A43" s="3304" t="s">
        <v>2730</v>
      </c>
      <c r="B43" s="3305"/>
      <c r="C43" s="264">
        <f>IF(H33="正常操作",G33+G34+G35,G34+G35)</f>
        <v>0</v>
      </c>
      <c r="D43" s="317" t="s">
        <v>43</v>
      </c>
      <c r="E43" s="317" t="s">
        <v>44</v>
      </c>
      <c r="F43" s="318" t="s">
        <v>44</v>
      </c>
      <c r="G43" s="2845" t="s">
        <v>952</v>
      </c>
      <c r="H43" s="311"/>
      <c r="I43" s="319"/>
      <c r="J43" s="2031"/>
      <c r="K43" s="1273" t="str">
        <f>C4</f>
        <v>比较法-住宅、综合</v>
      </c>
      <c r="L43" s="1274">
        <f ca="1">IF(L42="估价结果/万元",C19,C20)</f>
        <v>31665</v>
      </c>
      <c r="M43" s="1275">
        <f>C18</f>
        <v>0.4</v>
      </c>
      <c r="N43" s="1276">
        <f ca="1">IF(N42="测算结果/万元",G19,G20)</f>
        <v>45505</v>
      </c>
      <c r="O43" s="1277">
        <f ca="1">IF(O42="最终结果/万元",C32,C33)</f>
        <v>45505</v>
      </c>
      <c r="P43" s="2029"/>
      <c r="V43" s="2029"/>
    </row>
    <row r="44" spans="1:26" ht="30.75" thickBot="1">
      <c r="A44" s="3293" t="str">
        <f>IF(OR(项目基本情况!E8="抵押价格",项目基本情况!E8="已注销及未注销"),"3.抵押价格","——")</f>
        <v>3.抵押价格</v>
      </c>
      <c r="B44" s="3294"/>
      <c r="C44" s="264">
        <f ca="1">IF(A44="——","——",C42-C43)</f>
        <v>45505</v>
      </c>
      <c r="D44" s="317">
        <f ca="1">ROUND(C44*10000/'数据-汇总表'!E3,0)</f>
        <v>5216</v>
      </c>
      <c r="E44" s="317">
        <f ca="1">ROUND(C44*10000/'数据-汇总表'!D3,0)</f>
        <v>6598</v>
      </c>
      <c r="F44" s="318">
        <f ca="1">ROUND(C44/('数据-汇总表'!D3/666.67),0)</f>
        <v>440</v>
      </c>
      <c r="G44" s="311"/>
      <c r="H44" s="311"/>
      <c r="I44" s="319"/>
      <c r="J44" s="2031"/>
      <c r="K44" s="1278" t="str">
        <f>D4</f>
        <v>剩余法-待开发</v>
      </c>
      <c r="L44" s="1279">
        <f ca="1">IF(L42="估价结果/万元",D19,D20)</f>
        <v>54732</v>
      </c>
      <c r="M44" s="1280">
        <f>D18</f>
        <v>0.6</v>
      </c>
      <c r="N44" s="1281"/>
      <c r="O44" s="1282"/>
      <c r="P44" s="2029"/>
      <c r="V44" s="2029"/>
    </row>
    <row r="45" spans="1:26" ht="15">
      <c r="A45" s="3299" t="str">
        <f>IF(项目基本情况!E8="已注销及未注销","4.抵押担保权已注销时的抵押价格",IF(项目基本情况!E8="已注销","3.抵押担保权已注销时的抵押价格","——"))</f>
        <v>——</v>
      </c>
      <c r="B45" s="330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95" t="str">
        <f>IF(项目基本情况!E9="抵押净值",IF(A45="——","4.抵押净值","5.抵押净值"),"——")</f>
        <v>——</v>
      </c>
      <c r="B46" s="3296"/>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40" t="s">
        <v>374</v>
      </c>
      <c r="B63" s="3341"/>
      <c r="C63" s="3342"/>
      <c r="D63" s="341">
        <f ca="1">ROUND(C42*F63,0)</f>
        <v>27303</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01" t="s">
        <v>378</v>
      </c>
      <c r="B64" s="3302"/>
      <c r="C64" s="3302"/>
      <c r="D64" s="3302"/>
      <c r="E64" s="3302"/>
      <c r="F64" s="3302"/>
      <c r="G64" s="3303"/>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97" t="s">
        <v>386</v>
      </c>
      <c r="B66" s="3298"/>
      <c r="C66" s="3298"/>
      <c r="D66" s="261">
        <f ca="1">IF(H66="情况1",0,IF(H66="情况2",D70,IF(H66="情况3",D71,IF(H66="情况4",D72))))</f>
        <v>1456</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55" t="s">
        <v>385</v>
      </c>
      <c r="M66" s="3356"/>
      <c r="N66" s="2438"/>
      <c r="O66" s="2439"/>
      <c r="P66" s="2440"/>
      <c r="Q66" s="2029"/>
      <c r="R66" s="2029"/>
      <c r="S66" s="2029"/>
      <c r="T66" s="2029"/>
      <c r="U66" s="2029"/>
      <c r="V66" s="2029"/>
    </row>
    <row r="67" spans="1:22" ht="25.5" customHeight="1">
      <c r="A67" s="352" t="s">
        <v>390</v>
      </c>
      <c r="B67" s="3288" t="s">
        <v>391</v>
      </c>
      <c r="C67" s="3288"/>
      <c r="D67" s="353">
        <v>0</v>
      </c>
      <c r="E67" s="41" t="s">
        <v>392</v>
      </c>
      <c r="F67" s="62" t="s">
        <v>21</v>
      </c>
      <c r="G67" s="3343"/>
      <c r="H67" s="311"/>
      <c r="I67" s="1292"/>
      <c r="J67" s="2036"/>
      <c r="K67" s="1977">
        <v>2</v>
      </c>
      <c r="L67" s="3354" t="s">
        <v>389</v>
      </c>
      <c r="M67" s="3354"/>
      <c r="N67" s="1325">
        <f>'数据-取费表'!B2</f>
        <v>43510</v>
      </c>
      <c r="O67" s="1325"/>
      <c r="P67" s="1325"/>
      <c r="Q67" s="2029"/>
      <c r="R67" s="2029"/>
      <c r="S67" s="2029"/>
      <c r="T67" s="2029"/>
      <c r="U67" s="2029"/>
      <c r="V67" s="2029"/>
    </row>
    <row r="68" spans="1:22" ht="25.5" customHeight="1">
      <c r="A68" s="354"/>
      <c r="B68" s="3288" t="s">
        <v>394</v>
      </c>
      <c r="C68" s="3288"/>
      <c r="D68" s="355"/>
      <c r="E68" s="77"/>
      <c r="F68" s="356"/>
      <c r="G68" s="3344"/>
      <c r="H68" s="311"/>
      <c r="I68" s="1292"/>
      <c r="J68" s="2036"/>
      <c r="K68" s="1977">
        <v>3</v>
      </c>
      <c r="L68" s="3354" t="s">
        <v>393</v>
      </c>
      <c r="M68" s="3354"/>
      <c r="N68" s="1293">
        <f ca="1">C42</f>
        <v>45505</v>
      </c>
      <c r="O68" s="1293"/>
      <c r="P68" s="1293"/>
      <c r="Q68" s="2029"/>
      <c r="R68" s="2029"/>
      <c r="S68" s="2029"/>
      <c r="T68" s="2029"/>
      <c r="U68" s="2029"/>
      <c r="V68" s="2029"/>
    </row>
    <row r="69" spans="1:22" ht="12" customHeight="1">
      <c r="A69" s="357"/>
      <c r="B69" s="3288" t="s">
        <v>395</v>
      </c>
      <c r="C69" s="3288"/>
      <c r="D69" s="358"/>
      <c r="E69" s="73"/>
      <c r="F69" s="356"/>
      <c r="G69" s="3345"/>
      <c r="H69" s="311"/>
      <c r="I69" s="1292"/>
      <c r="J69" s="2036"/>
      <c r="K69" s="1294">
        <v>4</v>
      </c>
      <c r="L69" s="3359" t="s">
        <v>2883</v>
      </c>
      <c r="M69" s="3360"/>
      <c r="N69" s="1295">
        <f ca="1">C44</f>
        <v>45505</v>
      </c>
      <c r="O69" s="1295"/>
      <c r="P69" s="1295"/>
      <c r="Q69" s="2029"/>
      <c r="R69" s="2029"/>
      <c r="S69" s="2029"/>
      <c r="T69" s="2029"/>
      <c r="U69" s="2029"/>
      <c r="V69" s="2029"/>
    </row>
    <row r="70" spans="1:22" ht="24" customHeight="1">
      <c r="A70" s="359" t="s">
        <v>396</v>
      </c>
      <c r="B70" s="3288" t="s">
        <v>397</v>
      </c>
      <c r="C70" s="3288"/>
      <c r="D70" s="358">
        <f ca="1">ROUND(D63*'数据-取费表'!B41/(1+'数据-取费表'!C42),0)</f>
        <v>1456</v>
      </c>
      <c r="E70" s="17" t="s">
        <v>398</v>
      </c>
      <c r="F70" s="360">
        <f>'数据-取费表'!B41</f>
        <v>5.6000000000000001E-2</v>
      </c>
      <c r="G70" s="361"/>
      <c r="H70" s="311"/>
      <c r="I70" s="1292"/>
      <c r="J70" s="2036"/>
      <c r="K70" s="3037"/>
      <c r="L70" s="3038"/>
      <c r="M70" s="3038"/>
      <c r="N70" s="3039" t="s">
        <v>2888</v>
      </c>
      <c r="O70" s="3038"/>
      <c r="P70" s="3040"/>
      <c r="Q70" s="2029"/>
      <c r="R70" s="2029"/>
      <c r="S70" s="2029"/>
      <c r="T70" s="2029"/>
      <c r="U70" s="2029"/>
      <c r="V70" s="2029"/>
    </row>
    <row r="71" spans="1:22" ht="12" customHeight="1">
      <c r="A71" s="359" t="s">
        <v>404</v>
      </c>
      <c r="B71" s="3289" t="s">
        <v>405</v>
      </c>
      <c r="C71" s="3290"/>
      <c r="D71" s="358">
        <f ca="1">ROUND(D63*'数据-取费表'!B41/(1+'数据-取费表'!C42),0)</f>
        <v>1456</v>
      </c>
      <c r="E71" s="17" t="s">
        <v>398</v>
      </c>
      <c r="F71" s="360">
        <f>'数据-取费表'!B41</f>
        <v>5.6000000000000001E-2</v>
      </c>
      <c r="G71" s="361"/>
      <c r="H71" s="311"/>
      <c r="I71" s="1292"/>
      <c r="J71" s="2036"/>
      <c r="K71" s="3036" t="s">
        <v>399</v>
      </c>
      <c r="L71" s="3361" t="s">
        <v>400</v>
      </c>
      <c r="M71" s="3361"/>
      <c r="N71" s="3036" t="s">
        <v>401</v>
      </c>
      <c r="O71" s="3036" t="s">
        <v>402</v>
      </c>
      <c r="P71" s="3036" t="s">
        <v>403</v>
      </c>
      <c r="Q71" s="2029"/>
      <c r="R71" s="2029"/>
      <c r="S71" s="2029"/>
      <c r="T71" s="2029"/>
      <c r="U71" s="2029"/>
      <c r="V71" s="2029"/>
    </row>
    <row r="72" spans="1:22" ht="12" customHeight="1">
      <c r="A72" s="359" t="s">
        <v>407</v>
      </c>
      <c r="B72" s="3289" t="s">
        <v>408</v>
      </c>
      <c r="C72" s="3290"/>
      <c r="D72" s="358">
        <f ca="1">C86</f>
        <v>1344</v>
      </c>
      <c r="E72" s="73" t="s">
        <v>409</v>
      </c>
      <c r="F72" s="360">
        <f>'数据-取费表'!B41</f>
        <v>5.6000000000000001E-2</v>
      </c>
      <c r="G72" s="361"/>
      <c r="H72" s="1298"/>
      <c r="I72" s="1292"/>
      <c r="J72" s="2036"/>
      <c r="K72" s="1977">
        <v>1</v>
      </c>
      <c r="L72" s="3336" t="s">
        <v>406</v>
      </c>
      <c r="M72" s="3336"/>
      <c r="N72" s="1296">
        <f ca="1">D66</f>
        <v>1456</v>
      </c>
      <c r="O72" s="1860" t="str">
        <f>E66</f>
        <v>销售额×税（费）率</v>
      </c>
      <c r="P72" s="1297">
        <f>F66</f>
        <v>5.6000000000000001E-2</v>
      </c>
      <c r="Q72" s="2029"/>
      <c r="R72" s="2029"/>
      <c r="S72" s="2029"/>
      <c r="T72" s="2029"/>
      <c r="U72" s="2029"/>
      <c r="V72" s="2029"/>
    </row>
    <row r="73" spans="1:22" ht="24" customHeight="1">
      <c r="A73" s="3330" t="s">
        <v>411</v>
      </c>
      <c r="B73" s="3298"/>
      <c r="C73" s="3298"/>
      <c r="D73" s="362">
        <f>IF(H73="个人住宅",0,ROUND(D63*I73,0))</f>
        <v>0</v>
      </c>
      <c r="E73" s="17" t="s">
        <v>412</v>
      </c>
      <c r="F73" s="360" t="str">
        <f>IF(H73="正常",I73,"免征")</f>
        <v>免征</v>
      </c>
      <c r="G73" s="361"/>
      <c r="H73" s="191" t="s">
        <v>2456</v>
      </c>
      <c r="I73" s="360">
        <f>'数据-取费表'!B49</f>
        <v>5.0000000000000001E-4</v>
      </c>
      <c r="J73" s="2036"/>
      <c r="K73" s="1977">
        <v>2</v>
      </c>
      <c r="L73" s="3336" t="s">
        <v>410</v>
      </c>
      <c r="M73" s="3336"/>
      <c r="N73" s="1296">
        <f t="shared" ref="N73:P74" si="1">D73</f>
        <v>0</v>
      </c>
      <c r="O73" s="1860" t="str">
        <f t="shared" si="1"/>
        <v>销售额×税（费）率</v>
      </c>
      <c r="P73" s="1297" t="str">
        <f t="shared" si="1"/>
        <v>免征</v>
      </c>
      <c r="Q73" s="2029"/>
      <c r="R73" s="2029"/>
      <c r="S73" s="2029"/>
      <c r="T73" s="2029"/>
      <c r="U73" s="2029"/>
      <c r="V73" s="2029"/>
    </row>
    <row r="74" spans="1:22" ht="24.75">
      <c r="A74" s="3330" t="s">
        <v>415</v>
      </c>
      <c r="B74" s="3298"/>
      <c r="C74" s="3298"/>
      <c r="D74" s="362">
        <f ca="1">IF(H74="个人住宅",D75,D76)</f>
        <v>14793</v>
      </c>
      <c r="E74" s="17" t="s">
        <v>416</v>
      </c>
      <c r="F74" s="360" t="str">
        <f>IF(H74="正常",F76,"免征")</f>
        <v>——</v>
      </c>
      <c r="G74" s="983" t="s">
        <v>417</v>
      </c>
      <c r="H74" s="363" t="s">
        <v>413</v>
      </c>
      <c r="I74" s="42"/>
      <c r="J74" s="2036"/>
      <c r="K74" s="1977">
        <v>3</v>
      </c>
      <c r="L74" s="3336" t="s">
        <v>414</v>
      </c>
      <c r="M74" s="3336"/>
      <c r="N74" s="1296">
        <f t="shared" ca="1" si="1"/>
        <v>14793</v>
      </c>
      <c r="O74" s="1860" t="str">
        <f t="shared" si="1"/>
        <v>增值额×税（费）率</v>
      </c>
      <c r="P74" s="1299" t="str">
        <f t="shared" si="1"/>
        <v>——</v>
      </c>
      <c r="Q74" s="2029"/>
      <c r="R74" s="2029"/>
      <c r="S74" s="2029"/>
      <c r="T74" s="2029"/>
      <c r="U74" s="2029"/>
      <c r="V74" s="2029"/>
    </row>
    <row r="75" spans="1:22" ht="24">
      <c r="A75" s="359" t="s">
        <v>418</v>
      </c>
      <c r="B75" s="3286" t="s">
        <v>419</v>
      </c>
      <c r="C75" s="3316"/>
      <c r="D75" s="364">
        <v>0</v>
      </c>
      <c r="E75" s="41" t="s">
        <v>420</v>
      </c>
      <c r="F75" s="365"/>
      <c r="G75" s="361"/>
      <c r="H75" s="42"/>
      <c r="I75" s="42"/>
      <c r="J75" s="2036"/>
      <c r="K75" s="3029">
        <f>IF(H77="非个人房产","",4)</f>
        <v>4</v>
      </c>
      <c r="L75" s="3336" t="str">
        <f>IF(H77="非个人房产","——","个人所得税")</f>
        <v>个人所得税</v>
      </c>
      <c r="M75" s="3336"/>
      <c r="N75" s="1300">
        <f ca="1">D77</f>
        <v>273</v>
      </c>
      <c r="O75" s="1873" t="str">
        <f>E77</f>
        <v>销售额×税（费）率</v>
      </c>
      <c r="P75" s="1301">
        <f>F77</f>
        <v>0.01</v>
      </c>
      <c r="Q75" s="2029"/>
      <c r="R75" s="2029"/>
      <c r="S75" s="2029"/>
      <c r="T75" s="2029"/>
      <c r="U75" s="2029"/>
      <c r="V75" s="2029"/>
    </row>
    <row r="76" spans="1:22" ht="24.75">
      <c r="A76" s="359" t="s">
        <v>396</v>
      </c>
      <c r="B76" s="3286" t="s">
        <v>422</v>
      </c>
      <c r="C76" s="3287"/>
      <c r="D76" s="362">
        <f ca="1">IF(H76="转让取得",C99,C115)</f>
        <v>14793</v>
      </c>
      <c r="E76" s="17" t="s">
        <v>423</v>
      </c>
      <c r="F76" s="53" t="s">
        <v>21</v>
      </c>
      <c r="G76" s="361"/>
      <c r="H76" s="363" t="s">
        <v>424</v>
      </c>
      <c r="I76" s="42"/>
      <c r="J76" s="2036"/>
      <c r="K76" s="3029" t="str">
        <f>IF(项目基本情况!K6="上海银行",IF(K75="",4,K75+1),"")</f>
        <v/>
      </c>
      <c r="L76" s="3347" t="str">
        <f>IF(项目基本情况!K6="上海银行","其他处置费用","")</f>
        <v/>
      </c>
      <c r="M76" s="3348"/>
      <c r="N76" s="1296" t="str">
        <f>IF(项目基本情况!K6="上海银行",N89,"")</f>
        <v/>
      </c>
      <c r="O76" s="3349" t="str">
        <f>IF(项目基本情况!K6="上海银行","包含处置中涉及的律师、诉讼、拍卖、评估等费用","")</f>
        <v/>
      </c>
      <c r="P76" s="3350"/>
      <c r="Q76" s="2029"/>
      <c r="R76" s="2029"/>
      <c r="S76" s="2029"/>
      <c r="T76" s="2029"/>
      <c r="U76" s="2029"/>
      <c r="V76" s="2029"/>
    </row>
    <row r="77" spans="1:22" ht="26.25" thickBot="1">
      <c r="A77" s="3338" t="s">
        <v>426</v>
      </c>
      <c r="B77" s="3339"/>
      <c r="C77" s="3339"/>
      <c r="D77" s="366">
        <f ca="1">IF(H77="非个人房产","——",IF(H77="个人住宅",0,ROUND(D63*I77,0)))</f>
        <v>273</v>
      </c>
      <c r="E77" s="367" t="str">
        <f>IF(H77="非个人房产","——","销售额×税（费）率")</f>
        <v>销售额×税（费）率</v>
      </c>
      <c r="F77" s="368">
        <f>IF(H77="非个人房产","——",IF(H77="个人住宅","免征",I77))</f>
        <v>0.01</v>
      </c>
      <c r="G77" s="984" t="s">
        <v>417</v>
      </c>
      <c r="H77" s="363" t="s">
        <v>2884</v>
      </c>
      <c r="I77" s="369">
        <v>0.01</v>
      </c>
      <c r="J77" s="2036"/>
      <c r="K77" s="3337">
        <f>IF(AND(K75="",K76=""),4,IF(项目基本情况!K6="上海银行",K76+1,K75+1))</f>
        <v>5</v>
      </c>
      <c r="L77" s="3336" t="s">
        <v>2885</v>
      </c>
      <c r="M77" s="3035" t="s">
        <v>421</v>
      </c>
      <c r="N77" s="1302"/>
      <c r="O77" s="1303">
        <f ca="1">SUMIF(N72:N76,"&lt;9e307")</f>
        <v>16522</v>
      </c>
      <c r="P77" s="1304"/>
      <c r="Q77" s="3033">
        <f ca="1">O77/N69</f>
        <v>0.36308098011207557</v>
      </c>
      <c r="R77" s="2029"/>
      <c r="S77" s="2029"/>
      <c r="T77" s="2029"/>
      <c r="U77" s="2029"/>
      <c r="V77" s="2029"/>
    </row>
    <row r="78" spans="1:22" ht="12" customHeight="1">
      <c r="A78" s="1305"/>
      <c r="B78" s="311"/>
      <c r="C78" s="311"/>
      <c r="D78" s="311"/>
      <c r="E78" s="42"/>
      <c r="F78" s="42"/>
      <c r="G78" s="42"/>
      <c r="H78" s="1003"/>
      <c r="I78" s="311"/>
      <c r="J78" s="2036"/>
      <c r="K78" s="3337"/>
      <c r="L78" s="3336"/>
      <c r="M78" s="3035" t="s">
        <v>425</v>
      </c>
      <c r="N78" s="1302"/>
      <c r="O78" s="1303" t="str">
        <f ca="1">NUMBERSTRING(INT(O77*10000),2)&amp;"元整"</f>
        <v>壹亿陆仟伍佰贰拾贰万元整</v>
      </c>
      <c r="P78" s="1304"/>
      <c r="Q78" s="2029"/>
      <c r="R78" s="2029"/>
      <c r="S78" s="2029"/>
      <c r="T78" s="2029"/>
      <c r="U78" s="2029"/>
      <c r="V78" s="2029"/>
    </row>
    <row r="79" spans="1:22" ht="13.5" thickBot="1">
      <c r="A79" s="3331" t="s">
        <v>427</v>
      </c>
      <c r="B79" s="3331"/>
      <c r="C79" s="3331"/>
      <c r="D79" s="3331"/>
      <c r="E79" s="3331"/>
      <c r="F79" s="42"/>
      <c r="G79" s="42"/>
      <c r="H79" s="1003"/>
      <c r="I79" s="311"/>
      <c r="J79" s="2036"/>
      <c r="K79" s="3357">
        <f>K77+1</f>
        <v>6</v>
      </c>
      <c r="L79" s="3336" t="s">
        <v>2886</v>
      </c>
      <c r="M79" s="3035" t="s">
        <v>421</v>
      </c>
      <c r="N79" s="1302"/>
      <c r="O79" s="1303">
        <f ca="1">N69-O77</f>
        <v>28983</v>
      </c>
      <c r="P79" s="1304"/>
      <c r="Q79" s="2029"/>
      <c r="R79" s="2029"/>
      <c r="S79" s="2029"/>
      <c r="T79" s="2029"/>
      <c r="U79" s="2029"/>
      <c r="V79" s="2029"/>
    </row>
    <row r="80" spans="1:22" ht="25.5">
      <c r="A80" s="3326" t="s">
        <v>428</v>
      </c>
      <c r="B80" s="3327"/>
      <c r="C80" s="994"/>
      <c r="D80" s="994" t="s">
        <v>429</v>
      </c>
      <c r="E80" s="370" t="s">
        <v>430</v>
      </c>
      <c r="F80" s="42"/>
      <c r="G80" s="42"/>
      <c r="H80" s="1003"/>
      <c r="I80" s="311"/>
      <c r="J80" s="2029"/>
      <c r="K80" s="3358"/>
      <c r="L80" s="3336"/>
      <c r="M80" s="3035" t="s">
        <v>425</v>
      </c>
      <c r="N80" s="1302"/>
      <c r="O80" s="1303" t="str">
        <f ca="1">NUMBERSTRING(INT(O79*10000),2)&amp;"元整"</f>
        <v>贰亿捌仟玖佰捌拾叁万元整</v>
      </c>
      <c r="P80" s="1304"/>
      <c r="Q80" s="2029"/>
      <c r="R80" s="2029"/>
      <c r="S80" s="2029"/>
      <c r="T80" s="2029"/>
      <c r="U80" s="2029"/>
      <c r="V80" s="2029"/>
    </row>
    <row r="81" spans="1:26" ht="13.5" thickBot="1">
      <c r="A81" s="381" t="s">
        <v>1824</v>
      </c>
      <c r="B81" s="371" t="s">
        <v>431</v>
      </c>
      <c r="C81" s="372">
        <f ca="1">ROUND((C82+C83)/(1+'数据-取费表'!C42),0)</f>
        <v>26003</v>
      </c>
      <c r="D81" s="373"/>
      <c r="E81" s="374"/>
      <c r="F81" s="42"/>
      <c r="G81" s="42"/>
      <c r="H81" s="1003"/>
      <c r="I81" s="311"/>
      <c r="J81" s="2029"/>
      <c r="K81" s="3029">
        <f>K79+1</f>
        <v>7</v>
      </c>
      <c r="L81" s="3334" t="s">
        <v>2887</v>
      </c>
      <c r="M81" s="3335"/>
      <c r="N81" s="1306"/>
      <c r="O81" s="1307">
        <f ca="1">ROUND(O79*10000/'数据-汇总表'!E3,0)</f>
        <v>3322</v>
      </c>
      <c r="P81" s="1308"/>
      <c r="Q81" s="2029"/>
      <c r="R81" s="2029"/>
      <c r="S81" s="2029"/>
      <c r="T81" s="2029"/>
      <c r="U81" s="2029"/>
      <c r="V81" s="2029"/>
    </row>
    <row r="82" spans="1:26" ht="13.5" thickTop="1">
      <c r="A82" s="375" t="s">
        <v>1825</v>
      </c>
      <c r="B82" s="376" t="s">
        <v>432</v>
      </c>
      <c r="C82" s="377">
        <f ca="1">D63</f>
        <v>27303</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46" t="s">
        <v>2874</v>
      </c>
      <c r="L83" s="3041" t="s">
        <v>2875</v>
      </c>
      <c r="M83" s="3031">
        <f ca="1">IF(N69&gt;10000,N69*0.5%,IF(AND(N69&gt;1000,N69&lt;=10000),N69*1%,IF(AND(N69&gt;100,N69&lt;=1000),N69*3%,IF(AND(N69&gt;10,N69&lt;=100),N69*5%,N69*8%))))</f>
        <v>227.52500000000001</v>
      </c>
      <c r="N83" s="53">
        <f ca="1">ROUND(M83,1)</f>
        <v>227.5</v>
      </c>
      <c r="O83" s="3034"/>
      <c r="P83" s="2029"/>
      <c r="Q83" s="2029"/>
      <c r="R83" s="2029"/>
      <c r="S83" s="2029"/>
      <c r="T83" s="2029"/>
      <c r="U83" s="2029"/>
      <c r="V83" s="2029"/>
    </row>
    <row r="84" spans="1:26" ht="12.75">
      <c r="A84" s="381" t="s">
        <v>1827</v>
      </c>
      <c r="B84" s="382" t="s">
        <v>434</v>
      </c>
      <c r="C84" s="383">
        <v>2000</v>
      </c>
      <c r="D84" s="384" t="s">
        <v>19</v>
      </c>
      <c r="E84" s="3076" t="s">
        <v>2944</v>
      </c>
      <c r="F84" s="42"/>
      <c r="G84" s="42"/>
      <c r="H84" s="1003"/>
      <c r="I84" s="311"/>
      <c r="J84" s="2029"/>
      <c r="K84" s="3346"/>
      <c r="L84" s="3041" t="s">
        <v>2876</v>
      </c>
      <c r="M84" s="3031">
        <f ca="1">IF(N69&gt;2000,N69*0.5%,IF(AND(N69&gt;1000,N69&lt;=2000),N69*0.6%,IF(AND(N69&gt;500,N69&lt;=1000),N69*0.7%,IF(AND(N69&gt;200,N69&lt;=500),N69*0.8%,IF(AND(N69&gt;100,N69&lt;=200),N69*0.9%,IF(AND(N69&gt;50,N69&lt;=100),N69*1%,IF(AND(N69&gt;20,N69&lt;=50),N69*1.5%,IF(AND(N69&gt;10,N69&lt;=20),N69*2%,IF(AND(N69&gt;1,N69&lt;=10),N69*2.5%)))))))))</f>
        <v>227.52500000000001</v>
      </c>
      <c r="N84" s="53">
        <f t="shared" ref="N84:N85" ca="1" si="2">ROUND(M84,1)</f>
        <v>227.5</v>
      </c>
      <c r="O84" s="2029" t="s">
        <v>2877</v>
      </c>
      <c r="P84" s="2029"/>
      <c r="Q84" s="2029"/>
      <c r="R84" s="2029"/>
      <c r="S84" s="2029"/>
      <c r="T84" s="2029"/>
      <c r="U84" s="2029"/>
      <c r="V84" s="2029"/>
    </row>
    <row r="85" spans="1:26" ht="12.75">
      <c r="A85" s="381" t="s">
        <v>1828</v>
      </c>
      <c r="B85" s="382" t="s">
        <v>435</v>
      </c>
      <c r="C85" s="385">
        <f ca="1">C81-C84</f>
        <v>24003</v>
      </c>
      <c r="D85" s="378" t="s">
        <v>19</v>
      </c>
      <c r="E85" s="379"/>
      <c r="F85" s="42"/>
      <c r="G85" s="42"/>
      <c r="H85" s="1003"/>
      <c r="I85" s="311"/>
      <c r="J85" s="2029"/>
      <c r="K85" s="3346"/>
      <c r="L85" s="3041" t="s">
        <v>2878</v>
      </c>
      <c r="M85" s="3031">
        <f ca="1">IF(N69&gt;1000,N69*0.1%,IF(AND(N69&gt;500,N69&lt;=1000),N69*0.5%,IF(AND(N69&gt;50,N69&lt;=500),N69*1%,IF(AND(N69&gt;1,N69&lt;=50),N69*1.5%))))</f>
        <v>45.505000000000003</v>
      </c>
      <c r="N85" s="53">
        <f t="shared" ca="1" si="2"/>
        <v>45.5</v>
      </c>
      <c r="O85" s="2029" t="s">
        <v>2877</v>
      </c>
      <c r="P85" s="2029"/>
      <c r="Q85" s="2029"/>
      <c r="R85" s="2029"/>
      <c r="S85" s="2029"/>
      <c r="T85" s="2029"/>
      <c r="U85" s="2029"/>
      <c r="V85" s="2029"/>
    </row>
    <row r="86" spans="1:26" ht="13.5" thickBot="1">
      <c r="A86" s="386" t="s">
        <v>1829</v>
      </c>
      <c r="B86" s="387" t="s">
        <v>436</v>
      </c>
      <c r="C86" s="388">
        <f ca="1">IF(C85&lt;=0,0,ROUND(C85*D86,0))</f>
        <v>1344</v>
      </c>
      <c r="D86" s="389">
        <f>'数据-取费表'!B41</f>
        <v>5.6000000000000001E-2</v>
      </c>
      <c r="E86" s="390"/>
      <c r="F86" s="42"/>
      <c r="G86" s="42"/>
      <c r="H86" s="1003"/>
      <c r="I86" s="311"/>
      <c r="J86" s="2029"/>
      <c r="K86" s="3346"/>
      <c r="L86" s="3041" t="s">
        <v>2879</v>
      </c>
      <c r="M86" s="3031">
        <f ca="1">N69*0.5%</f>
        <v>227.52500000000001</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46"/>
      <c r="L87" s="3041" t="s">
        <v>2881</v>
      </c>
      <c r="M87" s="3031">
        <f ca="1">IF(N69&gt;=10000,(8.25+(N69-10000)*0.01%),IF(AND(N69&gt;=8000,N69&lt;10000),(7.85+(N69-8000)*0.02%),IF(AND(N69&gt;=5000,N69&lt;8000),(6.65+(N69-5000)*0.04%),IF(AND(N69&gt;=2000,N69&lt;5000),(4.25+(PN69-2000)*0.08%),IF(AND(N69&gt;=1000,N69&lt;2000),(2.75+(N69-1000)*0.15%),IF(AND(N69&gt;=100,N69&lt;1000),(0.5+(N69-100)*0.25%),IF(AND(N69&gt;0,N69&lt;100),N69*0.5%)))))))</f>
        <v>11.8005</v>
      </c>
      <c r="N87" s="53">
        <f ca="1">ROUND(M87*0.9,1)</f>
        <v>10.6</v>
      </c>
      <c r="O87" s="3034"/>
      <c r="P87" s="311"/>
      <c r="Q87" s="2029"/>
      <c r="R87" s="2029"/>
      <c r="S87" s="2029"/>
      <c r="T87" s="2029"/>
      <c r="U87" s="2029"/>
      <c r="V87" s="2029"/>
      <c r="W87" s="292"/>
      <c r="X87" s="292"/>
      <c r="Y87" s="292"/>
      <c r="Z87" s="292"/>
    </row>
    <row r="88" spans="1:26" s="1314" customFormat="1" ht="15" thickBot="1">
      <c r="A88" s="3328" t="s">
        <v>437</v>
      </c>
      <c r="B88" s="3329"/>
      <c r="C88" s="3329"/>
      <c r="D88" s="3329"/>
      <c r="E88" s="3329"/>
      <c r="F88" s="3329"/>
      <c r="G88" s="3329"/>
      <c r="H88" s="3329"/>
      <c r="I88" s="1315"/>
      <c r="J88" s="2037"/>
      <c r="K88" s="3346"/>
      <c r="L88" s="3041" t="s">
        <v>2882</v>
      </c>
      <c r="M88" s="3031">
        <f ca="1">IF(N69&gt;10000,N69*0.5%,IF(AND(N69&gt;5000,N69&lt;=10000),N69*1%,IF(AND(N69&gt;1000,N69&lt;=5000),N69*2%,IF(AND(N69&gt;200,N69&lt;=1000),N69*3%,N69*5%))))</f>
        <v>227.52500000000001</v>
      </c>
      <c r="N88" s="53">
        <f ca="1">ROUND(M88,1)</f>
        <v>227.5</v>
      </c>
      <c r="O88" s="3034"/>
      <c r="P88" s="11"/>
      <c r="Q88" s="2034"/>
      <c r="R88" s="2034"/>
      <c r="S88" s="2034"/>
      <c r="T88" s="2034"/>
      <c r="U88" s="2034"/>
      <c r="V88" s="2034"/>
      <c r="W88" s="2038"/>
      <c r="X88" s="2038"/>
      <c r="Y88" s="2038"/>
      <c r="Z88" s="2038"/>
    </row>
    <row r="89" spans="1:26" s="1314" customFormat="1" ht="14.25">
      <c r="A89" s="3326" t="s">
        <v>428</v>
      </c>
      <c r="B89" s="3327"/>
      <c r="C89" s="994"/>
      <c r="D89" s="994" t="s">
        <v>429</v>
      </c>
      <c r="E89" s="391" t="s">
        <v>438</v>
      </c>
      <c r="F89" s="392"/>
      <c r="G89" s="392"/>
      <c r="H89" s="393"/>
      <c r="I89" s="1316"/>
      <c r="J89" s="2039"/>
      <c r="K89" s="3346"/>
      <c r="L89" s="3041" t="s">
        <v>27</v>
      </c>
      <c r="M89" s="3032"/>
      <c r="N89" s="53">
        <f ca="1">ROUND(SUM(N83:N88),0)</f>
        <v>739</v>
      </c>
      <c r="O89" s="3042">
        <f ca="1">N89/N69</f>
        <v>1.6239973629271508E-2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26003</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2737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89" t="s">
        <v>447</v>
      </c>
      <c r="F94" s="3288"/>
      <c r="G94" s="3288"/>
      <c r="H94" s="3325"/>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156</v>
      </c>
      <c r="D96" s="406">
        <f>'数据-取费表'!B43</f>
        <v>6.000000000000001E-3</v>
      </c>
      <c r="E96" s="3317" t="s">
        <v>2429</v>
      </c>
      <c r="F96" s="3318"/>
      <c r="G96" s="3318"/>
      <c r="H96" s="3319"/>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23266</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8.500548045305079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13002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8" t="s">
        <v>454</v>
      </c>
      <c r="B101" s="3329"/>
      <c r="C101" s="3329"/>
      <c r="D101" s="3329"/>
      <c r="E101" s="3329"/>
      <c r="F101" s="3329"/>
      <c r="G101" s="3329"/>
      <c r="H101" s="3329"/>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26" t="s">
        <v>428</v>
      </c>
      <c r="B102" s="3327"/>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26003</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851</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577</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20" t="s">
        <v>462</v>
      </c>
      <c r="F109" s="3318"/>
      <c r="G109" s="3318"/>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20" t="s">
        <v>464</v>
      </c>
      <c r="F110" s="3318"/>
      <c r="G110" s="3318"/>
      <c r="H110" s="3319"/>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156</v>
      </c>
      <c r="D111" s="406">
        <f>'数据-取费表'!B43</f>
        <v>6.000000000000001E-3</v>
      </c>
      <c r="E111" s="3317" t="s">
        <v>2429</v>
      </c>
      <c r="F111" s="3318"/>
      <c r="G111" s="3318"/>
      <c r="H111" s="3319"/>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20" t="s">
        <v>2454</v>
      </c>
      <c r="F112" s="3318"/>
      <c r="G112" s="3318"/>
      <c r="H112" s="3319"/>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25152</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29.555816686251468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14793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2652</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45976</v>
      </c>
      <c r="D13" s="451"/>
      <c r="E13" s="365"/>
      <c r="F13" s="452"/>
      <c r="G13" s="444"/>
      <c r="H13" s="447"/>
      <c r="I13" s="447"/>
      <c r="J13" s="447"/>
      <c r="K13" s="448"/>
    </row>
    <row r="14" spans="1:41" s="2117" customFormat="1" ht="13.5" customHeight="1">
      <c r="A14" s="1634" t="s">
        <v>1850</v>
      </c>
      <c r="B14" s="449" t="s">
        <v>480</v>
      </c>
      <c r="C14" s="53">
        <f ca="1">ROUND(C13*F14,0)</f>
        <v>1379</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18" customFormat="1" ht="13.5" customHeight="1">
      <c r="A16" s="1634" t="s">
        <v>1852</v>
      </c>
      <c r="B16" s="449" t="s">
        <v>484</v>
      </c>
      <c r="C16" s="53">
        <f ca="1">ROUND(D16*E16/10000,0)</f>
        <v>1745</v>
      </c>
      <c r="D16" s="451">
        <f ca="1">IF(B1="",'数据-汇总表'!E3,INDIRECT("'数据-取费表'!K"&amp;$K$1)+INDIRECT("'数据-取费表'!S"&amp;$K$1))</f>
        <v>87244</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690</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49790</v>
      </c>
      <c r="D18" s="461"/>
      <c r="E18" s="462"/>
      <c r="F18" s="462"/>
      <c r="G18" s="1327" t="s">
        <v>2433</v>
      </c>
      <c r="H18" s="447"/>
      <c r="I18" s="447"/>
      <c r="J18" s="447"/>
      <c r="K18" s="448"/>
    </row>
    <row r="19" spans="1:14" s="2120" customFormat="1" ht="13.5" customHeight="1">
      <c r="A19" s="1635" t="s">
        <v>1855</v>
      </c>
      <c r="B19" s="459" t="s">
        <v>493</v>
      </c>
      <c r="C19" s="460">
        <f ca="1">ROUND(C18*F19,0)</f>
        <v>996</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5">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2412</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2412</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7" t="s">
        <v>2832</v>
      </c>
      <c r="C24" s="478">
        <f ca="1">C25</f>
        <v>10157</v>
      </c>
      <c r="D24" s="489">
        <f ca="1">C26</f>
        <v>4.0000000000000001E-3</v>
      </c>
      <c r="E24" s="469" t="s">
        <v>507</v>
      </c>
      <c r="F24" s="479">
        <f ca="1">IF(B1="",'数据-取费表'!Q16,INDIRECT("'数据-取费表'!q"&amp;$K$1))</f>
        <v>0.2</v>
      </c>
      <c r="G24" s="444"/>
      <c r="H24" s="447"/>
      <c r="I24" s="447"/>
      <c r="J24" s="447"/>
      <c r="K24" s="448"/>
    </row>
    <row r="25" spans="1:14" s="2121" customFormat="1" ht="13.5" customHeight="1">
      <c r="A25" s="1634" t="s">
        <v>1849</v>
      </c>
      <c r="B25" s="1328" t="s">
        <v>2437</v>
      </c>
      <c r="C25" s="490">
        <f ca="1">ROUND((C18+C19)*F24,0)</f>
        <v>10157</v>
      </c>
      <c r="D25" s="472"/>
      <c r="E25" s="473"/>
      <c r="F25" s="480"/>
      <c r="G25" s="1326" t="s">
        <v>2434</v>
      </c>
      <c r="H25" s="457"/>
      <c r="I25" s="457"/>
      <c r="J25" s="457"/>
      <c r="K25" s="458"/>
    </row>
    <row r="26" spans="1:14" s="2121" customFormat="1" ht="13.5" customHeight="1">
      <c r="A26" s="1634" t="s">
        <v>1850</v>
      </c>
      <c r="B26" s="1328" t="s">
        <v>509</v>
      </c>
      <c r="C26" s="491">
        <f ca="1">ROUND(F20*F24,4)</f>
        <v>4.0000000000000001E-3</v>
      </c>
      <c r="D26" s="472"/>
      <c r="E26" s="481"/>
      <c r="F26" s="480"/>
      <c r="G26" s="1326" t="s">
        <v>510</v>
      </c>
      <c r="H26" s="457"/>
      <c r="I26" s="457"/>
      <c r="J26" s="457"/>
      <c r="K26" s="458"/>
    </row>
    <row r="27" spans="1:14" s="2121" customFormat="1" ht="13.5" customHeight="1">
      <c r="A27" s="1638" t="s">
        <v>1868</v>
      </c>
      <c r="B27" s="459" t="s">
        <v>511</v>
      </c>
      <c r="C27" s="3006">
        <f>ROUND(F27/(1+'数据-取费表'!C42),4)</f>
        <v>5.33E-2</v>
      </c>
      <c r="D27" s="462" t="s">
        <v>2830</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68737</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F126" sqref="F126"/>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31665</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3629</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4591</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306</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71" t="s">
        <v>522</v>
      </c>
      <c r="D6" s="3372"/>
      <c r="E6" s="3371" t="s">
        <v>523</v>
      </c>
      <c r="F6" s="3372"/>
      <c r="G6" s="3371" t="s">
        <v>524</v>
      </c>
      <c r="H6" s="3372"/>
      <c r="I6" s="3371" t="s">
        <v>525</v>
      </c>
      <c r="J6" s="3372"/>
      <c r="K6" s="514" t="s">
        <v>526</v>
      </c>
      <c r="L6" s="2134"/>
      <c r="M6" s="2133"/>
      <c r="N6" s="2133"/>
      <c r="O6" s="2135"/>
      <c r="P6" s="3373" t="s">
        <v>527</v>
      </c>
      <c r="Q6" s="3374"/>
      <c r="R6" s="3379" t="s">
        <v>523</v>
      </c>
      <c r="S6" s="3380"/>
      <c r="T6" s="3379" t="s">
        <v>524</v>
      </c>
      <c r="U6" s="3380"/>
      <c r="V6" s="3366" t="s">
        <v>525</v>
      </c>
      <c r="W6" s="3366"/>
      <c r="X6" s="1568"/>
      <c r="Y6" s="3379" t="s">
        <v>527</v>
      </c>
      <c r="Z6" s="3380"/>
      <c r="AA6" s="3368" t="s">
        <v>523</v>
      </c>
      <c r="AB6" s="3369" t="s">
        <v>524</v>
      </c>
      <c r="AC6" s="3368" t="s">
        <v>525</v>
      </c>
    </row>
    <row r="7" spans="1:30" ht="20.25">
      <c r="A7" s="515"/>
      <c r="B7" s="516"/>
      <c r="C7" s="3387" t="s">
        <v>2931</v>
      </c>
      <c r="D7" s="3388"/>
      <c r="E7" s="3387" t="str">
        <f>Sheet1!A3</f>
        <v>海口市滨海大道西侧、新港经六街以东</v>
      </c>
      <c r="F7" s="3388"/>
      <c r="G7" s="3387" t="str">
        <f>Sheet1!A9</f>
        <v>秀英区秀英大道东侧</v>
      </c>
      <c r="H7" s="3388"/>
      <c r="I7" s="3387" t="str">
        <f>Sheet1!A10</f>
        <v>海口市龙华区城西镇丁村</v>
      </c>
      <c r="J7" s="3388"/>
      <c r="K7" s="514"/>
      <c r="L7" s="2134"/>
      <c r="M7" s="2133"/>
      <c r="N7" s="2133"/>
      <c r="O7" s="2135"/>
      <c r="P7" s="3375"/>
      <c r="Q7" s="3376"/>
      <c r="R7" s="3381"/>
      <c r="S7" s="3382"/>
      <c r="T7" s="3381"/>
      <c r="U7" s="3382"/>
      <c r="V7" s="3366"/>
      <c r="W7" s="3366"/>
      <c r="X7" s="1568"/>
      <c r="Y7" s="3381"/>
      <c r="Z7" s="3382"/>
      <c r="AA7" s="3369"/>
      <c r="AB7" s="3369"/>
      <c r="AC7" s="3369"/>
    </row>
    <row r="8" spans="1:30" ht="21" thickBot="1">
      <c r="A8" s="515"/>
      <c r="B8" s="516"/>
      <c r="C8" s="3389" t="s">
        <v>2935</v>
      </c>
      <c r="D8" s="3390"/>
      <c r="E8" s="3389" t="s">
        <v>2935</v>
      </c>
      <c r="F8" s="3390"/>
      <c r="G8" s="3385" t="s">
        <v>2935</v>
      </c>
      <c r="H8" s="3386"/>
      <c r="I8" s="3385" t="s">
        <v>2935</v>
      </c>
      <c r="J8" s="3386"/>
      <c r="K8" s="514" t="s">
        <v>528</v>
      </c>
      <c r="L8" s="2134"/>
      <c r="M8" s="2133"/>
      <c r="N8" s="2133"/>
      <c r="O8" s="2135"/>
      <c r="P8" s="3377"/>
      <c r="Q8" s="3378"/>
      <c r="R8" s="3381"/>
      <c r="S8" s="3382"/>
      <c r="T8" s="3383"/>
      <c r="U8" s="3384"/>
      <c r="V8" s="3366"/>
      <c r="W8" s="3366"/>
      <c r="X8" s="1568"/>
      <c r="Y8" s="3383"/>
      <c r="Z8" s="3384"/>
      <c r="AA8" s="3370"/>
      <c r="AB8" s="3370"/>
      <c r="AC8" s="3370"/>
    </row>
    <row r="9" spans="1:30" s="1220" customFormat="1" ht="21" thickBot="1">
      <c r="A9" s="2890"/>
      <c r="B9" s="2897" t="s">
        <v>529</v>
      </c>
      <c r="C9" s="2889">
        <f>'数据-取费表'!B2</f>
        <v>43510</v>
      </c>
      <c r="D9" s="520">
        <v>100</v>
      </c>
      <c r="E9" s="521" t="str">
        <f>Sheet1!H3</f>
        <v>2018-12-17</v>
      </c>
      <c r="F9" s="522">
        <f>SUMIF(72:72,YEAR(E9)&amp;"-"&amp;INT((MONTH(E9)+2)/3),73:73)</f>
        <v>99</v>
      </c>
      <c r="G9" s="523" t="str">
        <f>Sheet1!H4</f>
        <v>2018-12-17</v>
      </c>
      <c r="H9" s="520">
        <f>SUMIF(72:72,YEAR(G9)&amp;"-"&amp;INT((MONTH(G9)+2)/3),73:73)</f>
        <v>99</v>
      </c>
      <c r="I9" s="523" t="str">
        <f>Sheet1!H6</f>
        <v>2018-12-17</v>
      </c>
      <c r="J9" s="520">
        <f>SUMIF(72:72,YEAR(I9)&amp;"-"&amp;INT((MONTH(I9)+2)/3),73:73)</f>
        <v>99</v>
      </c>
      <c r="K9" s="524"/>
      <c r="L9" s="2136"/>
      <c r="M9" s="2133"/>
      <c r="N9" s="2133"/>
      <c r="O9" s="2137"/>
      <c r="P9" s="3396" t="s">
        <v>530</v>
      </c>
      <c r="Q9" s="3398"/>
      <c r="R9" s="1569" t="s">
        <v>8</v>
      </c>
      <c r="S9" s="1570">
        <f t="shared" ref="S9:S17" si="0">F9</f>
        <v>99</v>
      </c>
      <c r="T9" s="1569" t="s">
        <v>8</v>
      </c>
      <c r="U9" s="1570">
        <f t="shared" ref="U9:U17" si="1">H9</f>
        <v>99</v>
      </c>
      <c r="V9" s="1569" t="s">
        <v>8</v>
      </c>
      <c r="W9" s="1570">
        <f t="shared" ref="W9:W17" si="2">J9</f>
        <v>99</v>
      </c>
      <c r="X9" s="1571"/>
      <c r="Y9" s="3396" t="s">
        <v>530</v>
      </c>
      <c r="Z9" s="3397"/>
      <c r="AA9" s="1572">
        <f>D9/F9</f>
        <v>1.0101010101010102</v>
      </c>
      <c r="AB9" s="1572">
        <f>D9/H9</f>
        <v>1.0101010101010102</v>
      </c>
      <c r="AC9" s="1572">
        <f>D9/J9</f>
        <v>1.0101010101010102</v>
      </c>
    </row>
    <row r="10" spans="1:30" s="1220" customFormat="1" ht="21" thickBot="1">
      <c r="A10" s="2891"/>
      <c r="B10" s="2898" t="s">
        <v>531</v>
      </c>
      <c r="C10" s="856" t="s">
        <v>532</v>
      </c>
      <c r="D10" s="520">
        <v>100</v>
      </c>
      <c r="E10" s="3180" t="s">
        <v>3074</v>
      </c>
      <c r="F10" s="522">
        <f>SUMIF(75:75,E10,76:76)-SUMIF(75:75,C10,76:76)+100</f>
        <v>100</v>
      </c>
      <c r="G10" s="3180" t="s">
        <v>3074</v>
      </c>
      <c r="H10" s="520">
        <f>SUMIF(75:75,G10,76:76)-SUMIF(75:75,C10,76:76)+100</f>
        <v>100</v>
      </c>
      <c r="I10" s="3180" t="s">
        <v>3074</v>
      </c>
      <c r="J10" s="520">
        <f>SUMIF(75:75,I10,76:76)-SUMIF(75:75,C10,76:76)+100</f>
        <v>100</v>
      </c>
      <c r="K10" s="524"/>
      <c r="L10" s="2136"/>
      <c r="M10" s="2133"/>
      <c r="N10" s="2133"/>
      <c r="O10" s="2137"/>
      <c r="P10" s="3396" t="s">
        <v>533</v>
      </c>
      <c r="Q10" s="3397"/>
      <c r="R10" s="1569" t="s">
        <v>8</v>
      </c>
      <c r="S10" s="1570">
        <f t="shared" si="0"/>
        <v>100</v>
      </c>
      <c r="T10" s="1569" t="s">
        <v>8</v>
      </c>
      <c r="U10" s="1570">
        <f t="shared" si="1"/>
        <v>100</v>
      </c>
      <c r="V10" s="1569" t="s">
        <v>8</v>
      </c>
      <c r="W10" s="1570">
        <f t="shared" si="2"/>
        <v>100</v>
      </c>
      <c r="X10" s="1571"/>
      <c r="Y10" s="3396" t="s">
        <v>533</v>
      </c>
      <c r="Z10" s="3397"/>
      <c r="AA10" s="1572">
        <f t="shared" ref="AA10:AA47" si="3">D10/F10</f>
        <v>1</v>
      </c>
      <c r="AB10" s="1572">
        <f t="shared" ref="AB10:AB47" si="4">D10/H10</f>
        <v>1</v>
      </c>
      <c r="AC10" s="1572">
        <f t="shared" ref="AC10:AC47" si="5">D10/J10</f>
        <v>1</v>
      </c>
    </row>
    <row r="11" spans="1:30" s="1220" customFormat="1" ht="20.25">
      <c r="A11" s="2892"/>
      <c r="B11" s="2899" t="s">
        <v>2756</v>
      </c>
      <c r="C11" s="3181" t="s">
        <v>3075</v>
      </c>
      <c r="D11" s="254">
        <v>100</v>
      </c>
      <c r="E11" s="3182" t="s">
        <v>3076</v>
      </c>
      <c r="F11" s="254">
        <f>SUMIF(77:77,E11,78:78)-SUMIF(77:77,C11,78:78)+100</f>
        <v>100</v>
      </c>
      <c r="G11" s="3182" t="s">
        <v>3076</v>
      </c>
      <c r="H11" s="254">
        <f>SUMIF(77:77,G11,78:78)-SUMIF(77:77,C11,78:78)+100</f>
        <v>100</v>
      </c>
      <c r="I11" s="3182" t="s">
        <v>3076</v>
      </c>
      <c r="J11" s="254">
        <f>SUMIF(77:77,I11,78:78)-SUMIF(77:77,C11,78:78)+100</f>
        <v>100</v>
      </c>
      <c r="K11" s="524"/>
      <c r="L11" s="2136"/>
      <c r="M11" s="2133"/>
      <c r="N11" s="2133"/>
      <c r="O11" s="2138"/>
      <c r="P11" s="3365" t="s">
        <v>535</v>
      </c>
      <c r="Q11" s="1151" t="str">
        <f t="shared" ref="Q11:Q17" si="6">B11</f>
        <v>用途</v>
      </c>
      <c r="R11" s="1569" t="s">
        <v>8</v>
      </c>
      <c r="S11" s="1570">
        <f t="shared" si="0"/>
        <v>100</v>
      </c>
      <c r="T11" s="1569" t="s">
        <v>8</v>
      </c>
      <c r="U11" s="1570">
        <f t="shared" si="1"/>
        <v>100</v>
      </c>
      <c r="V11" s="1569" t="s">
        <v>8</v>
      </c>
      <c r="W11" s="1570">
        <f t="shared" si="2"/>
        <v>100</v>
      </c>
      <c r="X11" s="1571"/>
      <c r="Y11" s="3311" t="s">
        <v>536</v>
      </c>
      <c r="Z11" s="1150" t="str">
        <f t="shared" ref="Z11:Z17" si="7">Q11</f>
        <v>用途</v>
      </c>
      <c r="AA11" s="1572">
        <f t="shared" si="3"/>
        <v>1</v>
      </c>
      <c r="AB11" s="1572">
        <f t="shared" si="4"/>
        <v>1</v>
      </c>
      <c r="AC11" s="1572">
        <f t="shared" si="5"/>
        <v>1</v>
      </c>
    </row>
    <row r="12" spans="1:30" s="1338" customFormat="1" ht="27">
      <c r="A12" s="2893"/>
      <c r="B12" s="2898" t="s">
        <v>2757</v>
      </c>
      <c r="C12" s="910">
        <f>项目基本情况!E19</f>
        <v>33.93</v>
      </c>
      <c r="D12" s="255">
        <v>100</v>
      </c>
      <c r="E12" s="529" t="s">
        <v>3077</v>
      </c>
      <c r="F12" s="255">
        <f>ROUND(100/'数据-取费表'!G16,0)</f>
        <v>106</v>
      </c>
      <c r="G12" s="530" t="s">
        <v>3077</v>
      </c>
      <c r="H12" s="255">
        <f>ROUND(100/'数据-取费表'!G16,0)</f>
        <v>106</v>
      </c>
      <c r="I12" s="530" t="s">
        <v>3077</v>
      </c>
      <c r="J12" s="255">
        <f>ROUND(100/'数据-取费表'!G16,0)</f>
        <v>106</v>
      </c>
      <c r="K12" s="531"/>
      <c r="L12" s="2139"/>
      <c r="M12" s="2133"/>
      <c r="N12" s="2133"/>
      <c r="O12" s="2140"/>
      <c r="P12" s="3365"/>
      <c r="Q12" s="1151" t="str">
        <f t="shared" si="6"/>
        <v>土地使用年限（年）</v>
      </c>
      <c r="R12" s="1569" t="s">
        <v>8</v>
      </c>
      <c r="S12" s="1570">
        <f t="shared" si="0"/>
        <v>106</v>
      </c>
      <c r="T12" s="1569" t="s">
        <v>8</v>
      </c>
      <c r="U12" s="1570">
        <f t="shared" si="1"/>
        <v>106</v>
      </c>
      <c r="V12" s="1569" t="s">
        <v>8</v>
      </c>
      <c r="W12" s="1570">
        <f t="shared" si="2"/>
        <v>106</v>
      </c>
      <c r="X12" s="1571"/>
      <c r="Y12" s="3311"/>
      <c r="Z12" s="1150" t="str">
        <f t="shared" si="7"/>
        <v>土地使用年限（年）</v>
      </c>
      <c r="AA12" s="1572">
        <f t="shared" si="3"/>
        <v>0.94339622641509435</v>
      </c>
      <c r="AB12" s="1572">
        <f t="shared" si="4"/>
        <v>0.94339622641509435</v>
      </c>
      <c r="AC12" s="1572">
        <f t="shared" si="5"/>
        <v>0.94339622641509435</v>
      </c>
    </row>
    <row r="13" spans="1:30" ht="20.25">
      <c r="A13" s="2894"/>
      <c r="B13" s="2898" t="s">
        <v>2758</v>
      </c>
      <c r="C13" s="534">
        <f>'数据-汇总表'!I5</f>
        <v>1.26</v>
      </c>
      <c r="D13" s="255">
        <v>100</v>
      </c>
      <c r="E13" s="533">
        <v>2.5</v>
      </c>
      <c r="F13" s="255">
        <f>LOOKUP(E13,82:82,83:83)-LOOKUP(C13,82:82,83:83)+100</f>
        <v>101</v>
      </c>
      <c r="G13" s="534">
        <v>2.5</v>
      </c>
      <c r="H13" s="255">
        <f>LOOKUP(G13,82:82,83:83)-LOOKUP(C13,82:82,83:83)+100</f>
        <v>101</v>
      </c>
      <c r="I13" s="533">
        <v>3.5</v>
      </c>
      <c r="J13" s="255">
        <f>LOOKUP(I13,82:82,83:83)-LOOKUP(C13,82:82,83:83)+100</f>
        <v>102</v>
      </c>
      <c r="K13" s="535">
        <v>1</v>
      </c>
      <c r="L13" s="2141"/>
      <c r="M13" s="2133"/>
      <c r="N13" s="2133"/>
      <c r="O13" s="2142"/>
      <c r="P13" s="3365"/>
      <c r="Q13" s="1151" t="str">
        <f t="shared" si="6"/>
        <v>容积率</v>
      </c>
      <c r="R13" s="1569" t="s">
        <v>8</v>
      </c>
      <c r="S13" s="1570">
        <f t="shared" si="0"/>
        <v>101</v>
      </c>
      <c r="T13" s="1569" t="s">
        <v>8</v>
      </c>
      <c r="U13" s="1570">
        <f t="shared" si="1"/>
        <v>101</v>
      </c>
      <c r="V13" s="1569" t="s">
        <v>8</v>
      </c>
      <c r="W13" s="1570">
        <f t="shared" si="2"/>
        <v>102</v>
      </c>
      <c r="X13" s="1571"/>
      <c r="Y13" s="3311"/>
      <c r="Z13" s="1150" t="str">
        <f t="shared" si="7"/>
        <v>容积率</v>
      </c>
      <c r="AA13" s="1572">
        <f t="shared" si="3"/>
        <v>0.99009900990099009</v>
      </c>
      <c r="AB13" s="1572">
        <f t="shared" si="4"/>
        <v>0.99009900990099009</v>
      </c>
      <c r="AC13" s="1572">
        <f t="shared" si="5"/>
        <v>0.98039215686274506</v>
      </c>
    </row>
    <row r="14" spans="1:30" s="1220" customFormat="1" ht="20.25">
      <c r="A14" s="2891"/>
      <c r="B14" s="2900" t="s">
        <v>2759</v>
      </c>
      <c r="C14" s="2887"/>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5"/>
      <c r="Q14" s="1151" t="str">
        <f t="shared" si="6"/>
        <v>配建</v>
      </c>
      <c r="R14" s="1569" t="s">
        <v>8</v>
      </c>
      <c r="S14" s="1570">
        <f t="shared" si="0"/>
        <v>100</v>
      </c>
      <c r="T14" s="1569" t="s">
        <v>8</v>
      </c>
      <c r="U14" s="1570">
        <f t="shared" si="1"/>
        <v>100</v>
      </c>
      <c r="V14" s="1569" t="s">
        <v>8</v>
      </c>
      <c r="W14" s="1570">
        <f t="shared" si="2"/>
        <v>100</v>
      </c>
      <c r="X14" s="1571"/>
      <c r="Y14" s="3311"/>
      <c r="Z14" s="1150" t="str">
        <f t="shared" si="7"/>
        <v>配建</v>
      </c>
      <c r="AA14" s="1572">
        <f>D14/F14</f>
        <v>1</v>
      </c>
      <c r="AB14" s="1572">
        <f>D14/H14</f>
        <v>1</v>
      </c>
      <c r="AC14" s="1572">
        <f>D14/J14</f>
        <v>1</v>
      </c>
    </row>
    <row r="15" spans="1:30" ht="20.25">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5"/>
      <c r="Q15" s="1151">
        <f t="shared" si="6"/>
        <v>111</v>
      </c>
      <c r="R15" s="1569" t="s">
        <v>8</v>
      </c>
      <c r="S15" s="1570">
        <f t="shared" si="0"/>
        <v>100</v>
      </c>
      <c r="T15" s="1569" t="s">
        <v>8</v>
      </c>
      <c r="U15" s="1570">
        <f t="shared" si="1"/>
        <v>100</v>
      </c>
      <c r="V15" s="1569" t="s">
        <v>8</v>
      </c>
      <c r="W15" s="1570">
        <f t="shared" si="2"/>
        <v>100</v>
      </c>
      <c r="X15" s="1571"/>
      <c r="Y15" s="3311"/>
      <c r="Z15" s="1150">
        <f t="shared" si="7"/>
        <v>111</v>
      </c>
      <c r="AA15" s="1572">
        <f>D15/F15</f>
        <v>1</v>
      </c>
      <c r="AB15" s="1572">
        <f>D15/H15</f>
        <v>1</v>
      </c>
      <c r="AC15" s="1572">
        <f>D15/J15</f>
        <v>1</v>
      </c>
    </row>
    <row r="16" spans="1:30" ht="2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5"/>
      <c r="Q16" s="1151">
        <f t="shared" si="6"/>
        <v>111</v>
      </c>
      <c r="R16" s="1569" t="s">
        <v>8</v>
      </c>
      <c r="S16" s="1570">
        <f t="shared" si="0"/>
        <v>100</v>
      </c>
      <c r="T16" s="1569" t="s">
        <v>8</v>
      </c>
      <c r="U16" s="1570">
        <f t="shared" si="1"/>
        <v>100</v>
      </c>
      <c r="V16" s="1569" t="s">
        <v>8</v>
      </c>
      <c r="W16" s="1570">
        <f t="shared" si="2"/>
        <v>100</v>
      </c>
      <c r="X16" s="1571"/>
      <c r="Y16" s="3311"/>
      <c r="Z16" s="1150">
        <f t="shared" si="7"/>
        <v>111</v>
      </c>
      <c r="AA16" s="1572">
        <f>D16/F16</f>
        <v>1</v>
      </c>
      <c r="AB16" s="1572">
        <f>D16/H16</f>
        <v>1</v>
      </c>
      <c r="AC16" s="1572">
        <f>D16/J16</f>
        <v>1</v>
      </c>
    </row>
    <row r="17" spans="1:29" ht="99.75" hidden="1">
      <c r="A17" s="2888"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99" t="s">
        <v>540</v>
      </c>
      <c r="Q17" s="1573" t="str">
        <f t="shared" si="6"/>
        <v>居住社区成熟度</v>
      </c>
      <c r="R17" s="1574" t="s">
        <v>8</v>
      </c>
      <c r="S17" s="1575">
        <f t="shared" si="0"/>
        <v>100</v>
      </c>
      <c r="T17" s="1574" t="s">
        <v>8</v>
      </c>
      <c r="U17" s="1575">
        <f t="shared" si="1"/>
        <v>100</v>
      </c>
      <c r="V17" s="1574" t="s">
        <v>8</v>
      </c>
      <c r="W17" s="1575">
        <f t="shared" si="2"/>
        <v>100</v>
      </c>
      <c r="X17" s="1568"/>
      <c r="Y17" s="3399" t="s">
        <v>540</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6"/>
      <c r="H18" s="559"/>
      <c r="I18" s="558"/>
      <c r="J18" s="555"/>
      <c r="K18" s="531"/>
      <c r="L18" s="2143"/>
      <c r="M18" s="2133"/>
      <c r="N18" s="2133"/>
      <c r="O18" s="2142"/>
      <c r="P18" s="3400"/>
      <c r="Q18" s="1573"/>
      <c r="R18" s="1574"/>
      <c r="S18" s="1575"/>
      <c r="T18" s="1574"/>
      <c r="U18" s="1575"/>
      <c r="V18" s="1574"/>
      <c r="W18" s="1575"/>
      <c r="X18" s="1568"/>
      <c r="Y18" s="3400"/>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00"/>
      <c r="Q19" s="1573" t="str">
        <f>B19</f>
        <v>商业繁华度</v>
      </c>
      <c r="R19" s="1574" t="s">
        <v>8</v>
      </c>
      <c r="S19" s="1575">
        <f>F19</f>
        <v>100</v>
      </c>
      <c r="T19" s="1574" t="s">
        <v>8</v>
      </c>
      <c r="U19" s="1575">
        <f>H19</f>
        <v>100</v>
      </c>
      <c r="V19" s="1574" t="s">
        <v>8</v>
      </c>
      <c r="W19" s="1575">
        <f>J19</f>
        <v>100</v>
      </c>
      <c r="X19" s="1568"/>
      <c r="Y19" s="3400"/>
      <c r="Z19" s="1576" t="str">
        <f>Q19</f>
        <v>商业繁华度</v>
      </c>
      <c r="AA19" s="1577">
        <f t="shared" si="3"/>
        <v>1</v>
      </c>
      <c r="AB19" s="1577">
        <f t="shared" si="4"/>
        <v>1</v>
      </c>
      <c r="AC19" s="1577">
        <f t="shared" si="5"/>
        <v>1</v>
      </c>
    </row>
    <row r="20" spans="1:29" ht="20.25">
      <c r="A20" s="532"/>
      <c r="B20" s="566"/>
      <c r="C20" s="3183" t="s">
        <v>3078</v>
      </c>
      <c r="D20" s="563"/>
      <c r="E20" s="3184" t="s">
        <v>3078</v>
      </c>
      <c r="F20" s="559"/>
      <c r="G20" s="3185" t="s">
        <v>3078</v>
      </c>
      <c r="H20" s="555"/>
      <c r="I20" s="3184" t="s">
        <v>3078</v>
      </c>
      <c r="J20" s="555"/>
      <c r="K20" s="531"/>
      <c r="L20" s="2143"/>
      <c r="M20" s="2133"/>
      <c r="N20" s="2133"/>
      <c r="O20" s="2142"/>
      <c r="P20" s="3400"/>
      <c r="Q20" s="1573"/>
      <c r="R20" s="1574"/>
      <c r="S20" s="1575"/>
      <c r="T20" s="1574"/>
      <c r="U20" s="1575"/>
      <c r="V20" s="1574"/>
      <c r="W20" s="1575"/>
      <c r="X20" s="1568"/>
      <c r="Y20" s="3400"/>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00"/>
      <c r="Q21" s="1573" t="str">
        <f>B21</f>
        <v>办公集聚程度</v>
      </c>
      <c r="R21" s="1574" t="s">
        <v>8</v>
      </c>
      <c r="S21" s="1575">
        <f>F21</f>
        <v>100</v>
      </c>
      <c r="T21" s="1574" t="s">
        <v>8</v>
      </c>
      <c r="U21" s="1575">
        <f>H21</f>
        <v>100</v>
      </c>
      <c r="V21" s="1574" t="s">
        <v>8</v>
      </c>
      <c r="W21" s="1575">
        <f>J21</f>
        <v>100</v>
      </c>
      <c r="X21" s="1568"/>
      <c r="Y21" s="3400"/>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3"/>
      <c r="M22" s="2133"/>
      <c r="N22" s="2133"/>
      <c r="O22" s="2142"/>
      <c r="P22" s="3400"/>
      <c r="Q22" s="1573"/>
      <c r="R22" s="1574"/>
      <c r="S22" s="1575"/>
      <c r="T22" s="1574"/>
      <c r="U22" s="1575"/>
      <c r="V22" s="1574"/>
      <c r="W22" s="1575"/>
      <c r="X22" s="1568"/>
      <c r="Y22" s="3400"/>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400"/>
      <c r="Q23" s="1573" t="str">
        <f>B23</f>
        <v>交通便捷度</v>
      </c>
      <c r="R23" s="1574" t="s">
        <v>8</v>
      </c>
      <c r="S23" s="1575">
        <f>F23</f>
        <v>100</v>
      </c>
      <c r="T23" s="1574" t="s">
        <v>8</v>
      </c>
      <c r="U23" s="1575">
        <f>H23</f>
        <v>100</v>
      </c>
      <c r="V23" s="1574" t="s">
        <v>8</v>
      </c>
      <c r="W23" s="1575">
        <f>J23</f>
        <v>100</v>
      </c>
      <c r="X23" s="1568"/>
      <c r="Y23" s="3400"/>
      <c r="Z23" s="1576" t="str">
        <f>Q23</f>
        <v>交通便捷度</v>
      </c>
      <c r="AA23" s="1577">
        <f t="shared" si="3"/>
        <v>1</v>
      </c>
      <c r="AB23" s="1577">
        <f t="shared" si="4"/>
        <v>1</v>
      </c>
      <c r="AC23" s="1577">
        <f t="shared" si="5"/>
        <v>1</v>
      </c>
    </row>
    <row r="24" spans="1:29" ht="20.25">
      <c r="A24" s="532"/>
      <c r="B24" s="578"/>
      <c r="C24" s="3186" t="s">
        <v>3078</v>
      </c>
      <c r="D24" s="557"/>
      <c r="E24" s="3187" t="s">
        <v>3078</v>
      </c>
      <c r="F24" s="555"/>
      <c r="G24" s="3188" t="s">
        <v>3078</v>
      </c>
      <c r="H24" s="555"/>
      <c r="I24" s="3187" t="s">
        <v>3078</v>
      </c>
      <c r="J24" s="555"/>
      <c r="K24" s="531"/>
      <c r="L24" s="2143"/>
      <c r="M24" s="2133"/>
      <c r="N24" s="2133"/>
      <c r="O24" s="2142"/>
      <c r="P24" s="3400"/>
      <c r="Q24" s="1573"/>
      <c r="R24" s="1574"/>
      <c r="S24" s="1575"/>
      <c r="T24" s="1574"/>
      <c r="U24" s="1575"/>
      <c r="V24" s="1574"/>
      <c r="W24" s="1575"/>
      <c r="X24" s="1568"/>
      <c r="Y24" s="3400"/>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00"/>
      <c r="Q25" s="1573" t="str">
        <f t="shared" ref="Q25:Q39" si="8">B25</f>
        <v>区域土地利用方向</v>
      </c>
      <c r="R25" s="1574" t="s">
        <v>8</v>
      </c>
      <c r="S25" s="1575">
        <f>F25</f>
        <v>100</v>
      </c>
      <c r="T25" s="1574" t="s">
        <v>8</v>
      </c>
      <c r="U25" s="1575">
        <f>H25</f>
        <v>100</v>
      </c>
      <c r="V25" s="1574" t="s">
        <v>8</v>
      </c>
      <c r="W25" s="1575">
        <f>J25</f>
        <v>100</v>
      </c>
      <c r="X25" s="1568"/>
      <c r="Y25" s="3400"/>
      <c r="Z25" s="1576" t="str">
        <f>Q25</f>
        <v>区域土地利用方向</v>
      </c>
      <c r="AA25" s="1577">
        <f t="shared" si="3"/>
        <v>1</v>
      </c>
      <c r="AB25" s="1577">
        <f t="shared" si="4"/>
        <v>1</v>
      </c>
      <c r="AC25" s="1577">
        <f t="shared" si="5"/>
        <v>1</v>
      </c>
    </row>
    <row r="26" spans="1:29" ht="20.25">
      <c r="A26" s="515"/>
      <c r="B26" s="1007"/>
      <c r="C26" s="3186" t="s">
        <v>3078</v>
      </c>
      <c r="D26" s="557"/>
      <c r="E26" s="3187" t="s">
        <v>3078</v>
      </c>
      <c r="F26" s="555"/>
      <c r="G26" s="3188" t="s">
        <v>3078</v>
      </c>
      <c r="H26" s="555"/>
      <c r="I26" s="3187" t="s">
        <v>3078</v>
      </c>
      <c r="J26" s="555"/>
      <c r="K26" s="531"/>
      <c r="L26" s="2143"/>
      <c r="M26" s="2133"/>
      <c r="N26" s="2133"/>
      <c r="O26" s="2142"/>
      <c r="P26" s="3400"/>
      <c r="Q26" s="1573"/>
      <c r="R26" s="1574"/>
      <c r="S26" s="1575"/>
      <c r="T26" s="1574"/>
      <c r="U26" s="1575"/>
      <c r="V26" s="1574"/>
      <c r="W26" s="1575"/>
      <c r="X26" s="1568"/>
      <c r="Y26" s="3400"/>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400"/>
      <c r="Q27" s="1573" t="str">
        <f t="shared" si="8"/>
        <v>自然及人文环境状况</v>
      </c>
      <c r="R27" s="1574" t="s">
        <v>8</v>
      </c>
      <c r="S27" s="1575">
        <f>F27</f>
        <v>100</v>
      </c>
      <c r="T27" s="1574" t="s">
        <v>8</v>
      </c>
      <c r="U27" s="1575">
        <f>H27</f>
        <v>100</v>
      </c>
      <c r="V27" s="1574" t="s">
        <v>8</v>
      </c>
      <c r="W27" s="1575">
        <f>J27</f>
        <v>100</v>
      </c>
      <c r="X27" s="1568"/>
      <c r="Y27" s="3400"/>
      <c r="Z27" s="1576" t="str">
        <f>Q27</f>
        <v>自然及人文环境状况</v>
      </c>
      <c r="AA27" s="1577">
        <f t="shared" si="3"/>
        <v>1</v>
      </c>
      <c r="AB27" s="1577">
        <f t="shared" si="4"/>
        <v>1</v>
      </c>
      <c r="AC27" s="1577">
        <f t="shared" si="5"/>
        <v>1</v>
      </c>
    </row>
    <row r="28" spans="1:29" ht="20.25">
      <c r="A28" s="515"/>
      <c r="B28" s="566"/>
      <c r="C28" s="3186" t="s">
        <v>3078</v>
      </c>
      <c r="D28" s="557"/>
      <c r="E28" s="3189" t="s">
        <v>3078</v>
      </c>
      <c r="F28" s="555"/>
      <c r="G28" s="3186" t="s">
        <v>3078</v>
      </c>
      <c r="H28" s="555"/>
      <c r="I28" s="3189" t="s">
        <v>3079</v>
      </c>
      <c r="J28" s="555"/>
      <c r="K28" s="531"/>
      <c r="L28" s="2143"/>
      <c r="M28" s="2133"/>
      <c r="N28" s="2133"/>
      <c r="O28" s="2142"/>
      <c r="P28" s="3400"/>
      <c r="Q28" s="1573"/>
      <c r="R28" s="1574"/>
      <c r="S28" s="1575"/>
      <c r="T28" s="1574"/>
      <c r="U28" s="1575"/>
      <c r="V28" s="1574"/>
      <c r="W28" s="1575"/>
      <c r="X28" s="1568"/>
      <c r="Y28" s="3400"/>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400"/>
      <c r="Q29" s="1151" t="str">
        <f t="shared" si="8"/>
        <v>公共配套设施</v>
      </c>
      <c r="R29" s="1569" t="s">
        <v>8</v>
      </c>
      <c r="S29" s="1570">
        <f>F29</f>
        <v>100</v>
      </c>
      <c r="T29" s="1569" t="s">
        <v>8</v>
      </c>
      <c r="U29" s="1570">
        <f>H29</f>
        <v>100</v>
      </c>
      <c r="V29" s="1569" t="s">
        <v>8</v>
      </c>
      <c r="W29" s="1570">
        <f>J29</f>
        <v>100</v>
      </c>
      <c r="X29" s="1571"/>
      <c r="Y29" s="3400"/>
      <c r="Z29" s="1150" t="str">
        <f>Q29</f>
        <v>公共配套设施</v>
      </c>
      <c r="AA29" s="1577">
        <f>D29/F29</f>
        <v>1</v>
      </c>
      <c r="AB29" s="1577">
        <f>D29/H29</f>
        <v>1</v>
      </c>
      <c r="AC29" s="1577">
        <f>D29/J29</f>
        <v>1</v>
      </c>
    </row>
    <row r="30" spans="1:29" s="1220" customFormat="1" ht="20.25">
      <c r="A30" s="577"/>
      <c r="B30" s="566"/>
      <c r="C30" s="3190" t="s">
        <v>3078</v>
      </c>
      <c r="D30" s="557"/>
      <c r="E30" s="3189" t="s">
        <v>3078</v>
      </c>
      <c r="F30" s="555"/>
      <c r="G30" s="3186" t="s">
        <v>3078</v>
      </c>
      <c r="H30" s="555"/>
      <c r="I30" s="3189" t="s">
        <v>3078</v>
      </c>
      <c r="J30" s="555"/>
      <c r="K30" s="531"/>
      <c r="L30" s="2136"/>
      <c r="M30" s="2133"/>
      <c r="N30" s="2133"/>
      <c r="O30" s="2138"/>
      <c r="P30" s="3400"/>
      <c r="Q30" s="1151"/>
      <c r="R30" s="1569"/>
      <c r="S30" s="1570"/>
      <c r="T30" s="1569"/>
      <c r="U30" s="1570"/>
      <c r="V30" s="1569"/>
      <c r="W30" s="1570"/>
      <c r="X30" s="1571"/>
      <c r="Y30" s="3400"/>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400"/>
      <c r="Q31" s="2558" t="str">
        <f t="shared" ref="Q31" si="9">B31</f>
        <v>基础设施水平</v>
      </c>
      <c r="R31" s="1569" t="s">
        <v>8</v>
      </c>
      <c r="S31" s="1570">
        <f>F31</f>
        <v>100</v>
      </c>
      <c r="T31" s="1569" t="s">
        <v>8</v>
      </c>
      <c r="U31" s="1570">
        <f>H31</f>
        <v>100</v>
      </c>
      <c r="V31" s="1569" t="s">
        <v>8</v>
      </c>
      <c r="W31" s="1570">
        <f>J31</f>
        <v>100</v>
      </c>
      <c r="X31" s="1571"/>
      <c r="Y31" s="3400"/>
      <c r="Z31" s="2555" t="str">
        <f>Q31</f>
        <v>基础设施水平</v>
      </c>
      <c r="AA31" s="1577">
        <f>D31/F31</f>
        <v>1</v>
      </c>
      <c r="AB31" s="1577">
        <f>D31/H31</f>
        <v>1</v>
      </c>
      <c r="AC31" s="1577">
        <f>D31/J31</f>
        <v>1</v>
      </c>
    </row>
    <row r="32" spans="1:29" s="1220" customFormat="1" ht="20.25">
      <c r="A32" s="577"/>
      <c r="B32" s="566"/>
      <c r="C32" s="3190" t="s">
        <v>3080</v>
      </c>
      <c r="D32" s="557"/>
      <c r="E32" s="3191" t="s">
        <v>3080</v>
      </c>
      <c r="F32" s="555"/>
      <c r="G32" s="3190" t="s">
        <v>3080</v>
      </c>
      <c r="H32" s="555"/>
      <c r="I32" s="3190" t="s">
        <v>3080</v>
      </c>
      <c r="J32" s="555"/>
      <c r="K32" s="531"/>
      <c r="L32" s="2136"/>
      <c r="M32" s="2133"/>
      <c r="N32" s="2133"/>
      <c r="O32" s="2138"/>
      <c r="P32" s="3400"/>
      <c r="Q32" s="2558"/>
      <c r="R32" s="1569"/>
      <c r="S32" s="1570"/>
      <c r="T32" s="1569"/>
      <c r="U32" s="1570"/>
      <c r="V32" s="1569"/>
      <c r="W32" s="1570"/>
      <c r="X32" s="1571"/>
      <c r="Y32" s="3400"/>
      <c r="Z32" s="255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400"/>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0"/>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00"/>
      <c r="Q34" s="1573" t="str">
        <f t="shared" si="8"/>
        <v>毗邻道路的类型与等级</v>
      </c>
      <c r="R34" s="1574" t="s">
        <v>8</v>
      </c>
      <c r="S34" s="1575">
        <f t="shared" si="10"/>
        <v>100</v>
      </c>
      <c r="T34" s="1574" t="s">
        <v>8</v>
      </c>
      <c r="U34" s="1575">
        <f t="shared" si="11"/>
        <v>100</v>
      </c>
      <c r="V34" s="1574" t="s">
        <v>8</v>
      </c>
      <c r="W34" s="1575">
        <f t="shared" si="12"/>
        <v>100</v>
      </c>
      <c r="X34" s="1568"/>
      <c r="Y34" s="3400"/>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400"/>
      <c r="Q35" s="1573"/>
      <c r="R35" s="1574"/>
      <c r="S35" s="1575"/>
      <c r="T35" s="1574"/>
      <c r="U35" s="1575"/>
      <c r="V35" s="1574"/>
      <c r="W35" s="1575"/>
      <c r="X35" s="1568"/>
      <c r="Y35" s="3400"/>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00"/>
      <c r="Q36" s="1573" t="str">
        <f t="shared" si="8"/>
        <v>土地级别</v>
      </c>
      <c r="R36" s="1574" t="s">
        <v>8</v>
      </c>
      <c r="S36" s="1575">
        <f t="shared" si="10"/>
        <v>100</v>
      </c>
      <c r="T36" s="1574" t="s">
        <v>8</v>
      </c>
      <c r="U36" s="1575">
        <f t="shared" si="11"/>
        <v>100</v>
      </c>
      <c r="V36" s="1574" t="s">
        <v>8</v>
      </c>
      <c r="W36" s="1575">
        <f t="shared" si="12"/>
        <v>100</v>
      </c>
      <c r="X36" s="1568"/>
      <c r="Y36" s="3400"/>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00"/>
      <c r="Q37" s="1573">
        <f t="shared" si="8"/>
        <v>111</v>
      </c>
      <c r="R37" s="1574" t="s">
        <v>8</v>
      </c>
      <c r="S37" s="1575">
        <f t="shared" si="10"/>
        <v>100</v>
      </c>
      <c r="T37" s="1574" t="s">
        <v>8</v>
      </c>
      <c r="U37" s="1575">
        <f t="shared" si="11"/>
        <v>100</v>
      </c>
      <c r="V37" s="1574" t="s">
        <v>8</v>
      </c>
      <c r="W37" s="1575">
        <f t="shared" si="12"/>
        <v>100</v>
      </c>
      <c r="X37" s="1568"/>
      <c r="Y37" s="3400"/>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01" t="s">
        <v>550</v>
      </c>
      <c r="Q38" s="1573">
        <f t="shared" si="8"/>
        <v>111</v>
      </c>
      <c r="R38" s="1574" t="s">
        <v>8</v>
      </c>
      <c r="S38" s="1575">
        <f t="shared" si="10"/>
        <v>100</v>
      </c>
      <c r="T38" s="1574" t="s">
        <v>8</v>
      </c>
      <c r="U38" s="1575">
        <f t="shared" si="11"/>
        <v>100</v>
      </c>
      <c r="V38" s="1574" t="s">
        <v>8</v>
      </c>
      <c r="W38" s="1575">
        <f t="shared" si="12"/>
        <v>100</v>
      </c>
      <c r="X38" s="1568"/>
      <c r="Y38" s="3402"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02"/>
      <c r="Q39" s="1573">
        <f t="shared" si="8"/>
        <v>111</v>
      </c>
      <c r="R39" s="1578" t="s">
        <v>8</v>
      </c>
      <c r="S39" s="1579">
        <f t="shared" si="10"/>
        <v>100</v>
      </c>
      <c r="T39" s="1578" t="s">
        <v>8</v>
      </c>
      <c r="U39" s="1579">
        <f t="shared" si="11"/>
        <v>100</v>
      </c>
      <c r="V39" s="1578" t="s">
        <v>8</v>
      </c>
      <c r="W39" s="1579">
        <f t="shared" si="12"/>
        <v>100</v>
      </c>
      <c r="X39" s="1580"/>
      <c r="Y39" s="3402"/>
      <c r="Z39" s="1581">
        <f t="shared" si="13"/>
        <v>111</v>
      </c>
      <c r="AA39" s="1577">
        <f t="shared" si="3"/>
        <v>1</v>
      </c>
      <c r="AB39" s="1577">
        <f t="shared" si="4"/>
        <v>1</v>
      </c>
      <c r="AC39" s="1577">
        <f t="shared" si="5"/>
        <v>1</v>
      </c>
    </row>
    <row r="40" spans="1:29" ht="20.25">
      <c r="A40" s="2886" t="s">
        <v>2755</v>
      </c>
      <c r="B40" s="595" t="s">
        <v>552</v>
      </c>
      <c r="C40" s="596">
        <f>'数据-基础表'!A3</f>
        <v>68972.94</v>
      </c>
      <c r="D40" s="597">
        <v>100</v>
      </c>
      <c r="E40" s="596">
        <f>Sheet1!D6</f>
        <v>16561</v>
      </c>
      <c r="F40" s="597">
        <f>LOOKUP(E40,119:119,120:120)-LOOKUP(C40,119:119,120:120)+100</f>
        <v>96</v>
      </c>
      <c r="G40" s="596">
        <f>Sheet1!D9</f>
        <v>2196.15</v>
      </c>
      <c r="H40" s="597">
        <f>LOOKUP(G40,119:119,120:120)-LOOKUP(C40,119:119,120:120)+100</f>
        <v>96</v>
      </c>
      <c r="I40" s="598">
        <f>Sheet1!D10</f>
        <v>1600.07</v>
      </c>
      <c r="J40" s="597">
        <f>LOOKUP(I40,119:119,120:120)-LOOKUP(C40,119:119,120:120)+100</f>
        <v>96</v>
      </c>
      <c r="K40" s="581"/>
      <c r="L40" s="2143"/>
      <c r="M40" s="2133"/>
      <c r="N40" s="2133"/>
      <c r="O40" s="2142"/>
      <c r="P40" s="3402"/>
      <c r="Q40" s="1573" t="str">
        <f>B40</f>
        <v>宗地面积</v>
      </c>
      <c r="R40" s="1574" t="s">
        <v>8</v>
      </c>
      <c r="S40" s="1575">
        <f t="shared" si="10"/>
        <v>96</v>
      </c>
      <c r="T40" s="1574" t="s">
        <v>8</v>
      </c>
      <c r="U40" s="1575">
        <f t="shared" si="11"/>
        <v>96</v>
      </c>
      <c r="V40" s="1574" t="s">
        <v>8</v>
      </c>
      <c r="W40" s="1575">
        <f t="shared" si="12"/>
        <v>96</v>
      </c>
      <c r="X40" s="1568"/>
      <c r="Y40" s="3402"/>
      <c r="Z40" s="1576" t="str">
        <f t="shared" si="13"/>
        <v>宗地面积</v>
      </c>
      <c r="AA40" s="1577">
        <f t="shared" si="3"/>
        <v>1.0416666666666667</v>
      </c>
      <c r="AB40" s="1577">
        <f t="shared" si="4"/>
        <v>1.0416666666666667</v>
      </c>
      <c r="AC40" s="1577">
        <f t="shared" si="5"/>
        <v>1.0416666666666667</v>
      </c>
    </row>
    <row r="41" spans="1:29" ht="20.25">
      <c r="A41" s="594"/>
      <c r="B41" s="527" t="s">
        <v>553</v>
      </c>
      <c r="C41" s="3192" t="s">
        <v>3081</v>
      </c>
      <c r="D41" s="540">
        <v>100</v>
      </c>
      <c r="E41" s="3192" t="s">
        <v>3081</v>
      </c>
      <c r="F41" s="540">
        <f>SUMIF(121:121,E41,122:122)-SUMIF(121:121,C41,122:122)+100</f>
        <v>100</v>
      </c>
      <c r="G41" s="3192" t="s">
        <v>3081</v>
      </c>
      <c r="H41" s="540">
        <f>SUMIF(121:121,G41,122:122)-SUMIF(121:121,C41,122:122)+100</f>
        <v>100</v>
      </c>
      <c r="I41" s="3192" t="s">
        <v>3081</v>
      </c>
      <c r="J41" s="540">
        <f>SUMIF(121:121,I41,122:122)-SUMIF(121:121,C41,122:122)+100</f>
        <v>100</v>
      </c>
      <c r="K41" s="584"/>
      <c r="L41" s="2143"/>
      <c r="M41" s="2133"/>
      <c r="N41" s="2133"/>
      <c r="O41" s="2142"/>
      <c r="P41" s="3402"/>
      <c r="Q41" s="1573" t="str">
        <f t="shared" ref="Q41:Q47" si="14">B41</f>
        <v>宗地形状</v>
      </c>
      <c r="R41" s="1574" t="s">
        <v>8</v>
      </c>
      <c r="S41" s="1575">
        <f t="shared" si="10"/>
        <v>100</v>
      </c>
      <c r="T41" s="1574" t="s">
        <v>8</v>
      </c>
      <c r="U41" s="1575">
        <f t="shared" si="11"/>
        <v>100</v>
      </c>
      <c r="V41" s="1574" t="s">
        <v>8</v>
      </c>
      <c r="W41" s="1575">
        <f t="shared" si="12"/>
        <v>100</v>
      </c>
      <c r="X41" s="1568"/>
      <c r="Y41" s="3402"/>
      <c r="Z41" s="1576" t="str">
        <f t="shared" si="13"/>
        <v>宗地形状</v>
      </c>
      <c r="AA41" s="1577">
        <f t="shared" si="3"/>
        <v>1</v>
      </c>
      <c r="AB41" s="1577">
        <f t="shared" si="4"/>
        <v>1</v>
      </c>
      <c r="AC41" s="1577">
        <f t="shared" si="5"/>
        <v>1</v>
      </c>
    </row>
    <row r="42" spans="1:29" ht="20.25">
      <c r="A42" s="594"/>
      <c r="B42" s="527" t="s">
        <v>554</v>
      </c>
      <c r="C42" s="3192" t="s">
        <v>3078</v>
      </c>
      <c r="D42" s="540">
        <v>100</v>
      </c>
      <c r="E42" s="3192" t="s">
        <v>3082</v>
      </c>
      <c r="F42" s="540">
        <f>SUMIF(123:123,E42,124:124)-SUMIF(123:123,C42,124:124)+100</f>
        <v>100</v>
      </c>
      <c r="G42" s="3192" t="s">
        <v>3082</v>
      </c>
      <c r="H42" s="540">
        <f>SUMIF(123:123,G42,124:124)-SUMIF(123:123,C42,124:124)+100</f>
        <v>100</v>
      </c>
      <c r="I42" s="3192" t="s">
        <v>3078</v>
      </c>
      <c r="J42" s="540">
        <f>SUMIF(123:123,I42,124:124)-SUMIF(123:123,C42,124:124)+100</f>
        <v>100</v>
      </c>
      <c r="K42" s="584"/>
      <c r="L42" s="2143"/>
      <c r="M42" s="2133"/>
      <c r="N42" s="2133"/>
      <c r="O42" s="2142"/>
      <c r="P42" s="3402"/>
      <c r="Q42" s="1573" t="str">
        <f t="shared" si="14"/>
        <v>临街宽度及深度</v>
      </c>
      <c r="R42" s="1574" t="s">
        <v>8</v>
      </c>
      <c r="S42" s="1575">
        <f t="shared" si="10"/>
        <v>100</v>
      </c>
      <c r="T42" s="1574" t="s">
        <v>8</v>
      </c>
      <c r="U42" s="1575">
        <f t="shared" si="11"/>
        <v>100</v>
      </c>
      <c r="V42" s="1574" t="s">
        <v>8</v>
      </c>
      <c r="W42" s="1575">
        <f t="shared" si="12"/>
        <v>100</v>
      </c>
      <c r="X42" s="1568"/>
      <c r="Y42" s="3402"/>
      <c r="Z42" s="1576" t="str">
        <f t="shared" si="13"/>
        <v>临街宽度及深度</v>
      </c>
      <c r="AA42" s="1577">
        <f t="shared" si="3"/>
        <v>1</v>
      </c>
      <c r="AB42" s="1577">
        <f t="shared" si="4"/>
        <v>1</v>
      </c>
      <c r="AC42" s="1577">
        <f t="shared" si="5"/>
        <v>1</v>
      </c>
    </row>
    <row r="43" spans="1:29" s="1220" customFormat="1" ht="20.25">
      <c r="A43" s="600"/>
      <c r="B43" s="1896" t="s">
        <v>2425</v>
      </c>
      <c r="C43" s="3193" t="s">
        <v>2553</v>
      </c>
      <c r="D43" s="255">
        <v>100</v>
      </c>
      <c r="E43" s="3193" t="s">
        <v>3083</v>
      </c>
      <c r="F43" s="540">
        <f>SUMIF(125:125,E43,126:126)-SUMIF(125:125,C43,126:126)+100</f>
        <v>94</v>
      </c>
      <c r="G43" s="3193" t="s">
        <v>3083</v>
      </c>
      <c r="H43" s="540">
        <f>SUMIF(125:125,G43,126:126)-SUMIF(125:125,C43,126:126)+100</f>
        <v>94</v>
      </c>
      <c r="I43" s="3193" t="s">
        <v>3083</v>
      </c>
      <c r="J43" s="540">
        <f>SUMIF(125:125,I43,126:126)-SUMIF(125:125,C43,126:126)+100</f>
        <v>94</v>
      </c>
      <c r="K43" s="584">
        <v>2</v>
      </c>
      <c r="L43" s="2136"/>
      <c r="M43" s="2133"/>
      <c r="N43" s="2133"/>
      <c r="O43" s="2138"/>
      <c r="P43" s="3402"/>
      <c r="Q43" s="1573" t="str">
        <f t="shared" si="14"/>
        <v>宗地开发程度</v>
      </c>
      <c r="R43" s="1569" t="s">
        <v>8</v>
      </c>
      <c r="S43" s="1570">
        <f t="shared" si="10"/>
        <v>94</v>
      </c>
      <c r="T43" s="1569" t="s">
        <v>8</v>
      </c>
      <c r="U43" s="1570">
        <f t="shared" si="11"/>
        <v>94</v>
      </c>
      <c r="V43" s="1569" t="s">
        <v>8</v>
      </c>
      <c r="W43" s="1570">
        <f t="shared" si="12"/>
        <v>94</v>
      </c>
      <c r="X43" s="1571"/>
      <c r="Y43" s="3402"/>
      <c r="Z43" s="1150" t="str">
        <f t="shared" si="13"/>
        <v>宗地开发程度</v>
      </c>
      <c r="AA43" s="1572">
        <f t="shared" si="3"/>
        <v>1.0638297872340425</v>
      </c>
      <c r="AB43" s="1572">
        <f t="shared" si="4"/>
        <v>1.0638297872340425</v>
      </c>
      <c r="AC43" s="1572">
        <f t="shared" si="5"/>
        <v>1.0638297872340425</v>
      </c>
    </row>
    <row r="44" spans="1:29" ht="20.25">
      <c r="A44" s="594"/>
      <c r="B44" s="527" t="s">
        <v>555</v>
      </c>
      <c r="C44" s="3192" t="s">
        <v>3078</v>
      </c>
      <c r="D44" s="540">
        <v>100</v>
      </c>
      <c r="E44" s="3192" t="s">
        <v>3078</v>
      </c>
      <c r="F44" s="540">
        <f>SUMIF(127:127,E44,128:128)-SUMIF(127:127,C44,128:128)+100</f>
        <v>100</v>
      </c>
      <c r="G44" s="3192" t="s">
        <v>3078</v>
      </c>
      <c r="H44" s="540">
        <f>SUMIF(127:127,G44,128:128)-SUMIF(127:127,C44,128:128)+100</f>
        <v>100</v>
      </c>
      <c r="I44" s="3192" t="s">
        <v>3078</v>
      </c>
      <c r="J44" s="540">
        <f>SUMIF(127:127,I44,128:128)-SUMIF(127:127,C44,128:128)+100</f>
        <v>100</v>
      </c>
      <c r="K44" s="584"/>
      <c r="L44" s="2143"/>
      <c r="M44" s="2133"/>
      <c r="N44" s="2133"/>
      <c r="O44" s="2142"/>
      <c r="P44" s="3402" t="s">
        <v>550</v>
      </c>
      <c r="Q44" s="1573" t="str">
        <f t="shared" si="14"/>
        <v>工程地质条件</v>
      </c>
      <c r="R44" s="1574" t="s">
        <v>8</v>
      </c>
      <c r="S44" s="1575">
        <f t="shared" si="10"/>
        <v>100</v>
      </c>
      <c r="T44" s="1574" t="s">
        <v>8</v>
      </c>
      <c r="U44" s="1575">
        <f t="shared" si="11"/>
        <v>100</v>
      </c>
      <c r="V44" s="1574" t="s">
        <v>8</v>
      </c>
      <c r="W44" s="1575">
        <f t="shared" si="12"/>
        <v>100</v>
      </c>
      <c r="X44" s="1568"/>
      <c r="Y44" s="3402"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02"/>
      <c r="Q45" s="1573">
        <f t="shared" si="14"/>
        <v>111</v>
      </c>
      <c r="R45" s="1574" t="s">
        <v>8</v>
      </c>
      <c r="S45" s="1575">
        <f t="shared" si="10"/>
        <v>100</v>
      </c>
      <c r="T45" s="1574" t="s">
        <v>8</v>
      </c>
      <c r="U45" s="1575">
        <f t="shared" si="11"/>
        <v>100</v>
      </c>
      <c r="V45" s="1574" t="s">
        <v>8</v>
      </c>
      <c r="W45" s="1575">
        <f t="shared" si="12"/>
        <v>100</v>
      </c>
      <c r="X45" s="1568"/>
      <c r="Y45" s="3402"/>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02"/>
      <c r="Q46" s="1573">
        <f t="shared" si="14"/>
        <v>111</v>
      </c>
      <c r="R46" s="1574" t="s">
        <v>8</v>
      </c>
      <c r="S46" s="1575">
        <f t="shared" si="10"/>
        <v>100</v>
      </c>
      <c r="T46" s="1574" t="s">
        <v>8</v>
      </c>
      <c r="U46" s="1575">
        <f t="shared" si="11"/>
        <v>100</v>
      </c>
      <c r="V46" s="1574" t="s">
        <v>8</v>
      </c>
      <c r="W46" s="1575">
        <f t="shared" si="12"/>
        <v>100</v>
      </c>
      <c r="X46" s="1568"/>
      <c r="Y46" s="3402"/>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02"/>
      <c r="Q47" s="1573">
        <f t="shared" si="14"/>
        <v>111</v>
      </c>
      <c r="R47" s="1578" t="s">
        <v>8</v>
      </c>
      <c r="S47" s="1579">
        <f t="shared" si="10"/>
        <v>100</v>
      </c>
      <c r="T47" s="1578" t="s">
        <v>8</v>
      </c>
      <c r="U47" s="1579">
        <f t="shared" si="11"/>
        <v>100</v>
      </c>
      <c r="V47" s="1578" t="s">
        <v>8</v>
      </c>
      <c r="W47" s="1579">
        <f t="shared" si="12"/>
        <v>100</v>
      </c>
      <c r="X47" s="1580"/>
      <c r="Y47" s="3402"/>
      <c r="Z47" s="1581">
        <f t="shared" si="13"/>
        <v>111</v>
      </c>
      <c r="AA47" s="1577">
        <f t="shared" si="3"/>
        <v>1</v>
      </c>
      <c r="AB47" s="1577">
        <f t="shared" si="4"/>
        <v>1</v>
      </c>
      <c r="AC47" s="1577">
        <f t="shared" si="5"/>
        <v>1</v>
      </c>
    </row>
    <row r="48" spans="1:29" ht="20.25">
      <c r="A48" s="607" t="s">
        <v>556</v>
      </c>
      <c r="B48" s="608" t="s">
        <v>3088</v>
      </c>
      <c r="C48" s="609" t="s">
        <v>1</v>
      </c>
      <c r="D48" s="610"/>
      <c r="E48" s="611">
        <f>Sheet1!O6</f>
        <v>4753</v>
      </c>
      <c r="F48" s="612"/>
      <c r="G48" s="613">
        <f>Sheet1!O9</f>
        <v>4460</v>
      </c>
      <c r="H48" s="614"/>
      <c r="I48" s="611">
        <f>Sheet1!O10</f>
        <v>4001</v>
      </c>
      <c r="J48" s="614"/>
      <c r="K48" s="1340"/>
      <c r="L48" s="2145"/>
      <c r="M48" s="2133"/>
      <c r="N48" s="2133"/>
      <c r="O48" s="2146"/>
      <c r="P48" s="3365" t="str">
        <f>A48</f>
        <v>成交单价</v>
      </c>
      <c r="Q48" s="3365"/>
      <c r="R48" s="3366">
        <f>E48</f>
        <v>4753</v>
      </c>
      <c r="S48" s="3366"/>
      <c r="T48" s="3366">
        <f>G48</f>
        <v>4460</v>
      </c>
      <c r="U48" s="3366"/>
      <c r="V48" s="3366">
        <f>I48</f>
        <v>4001</v>
      </c>
      <c r="W48" s="3366"/>
      <c r="X48" s="1560"/>
      <c r="Y48" s="1582"/>
      <c r="Z48" s="1560"/>
      <c r="AA48" s="1560"/>
      <c r="AB48" s="1560"/>
      <c r="AC48" s="1560"/>
    </row>
    <row r="49" spans="1:29" ht="21" thickBot="1">
      <c r="A49" s="615" t="s">
        <v>2693</v>
      </c>
      <c r="B49" s="616"/>
      <c r="C49" s="617">
        <f>R50</f>
        <v>4591</v>
      </c>
      <c r="D49" s="618"/>
      <c r="E49" s="617">
        <f>R49</f>
        <v>4969</v>
      </c>
      <c r="F49" s="619"/>
      <c r="G49" s="620">
        <f>T49</f>
        <v>4663</v>
      </c>
      <c r="H49" s="618"/>
      <c r="I49" s="617">
        <f>V49</f>
        <v>4142</v>
      </c>
      <c r="J49" s="618"/>
      <c r="K49" s="1341"/>
      <c r="L49" s="2145"/>
      <c r="M49" s="2133"/>
      <c r="N49" s="2133"/>
      <c r="O49" s="2146"/>
      <c r="P49" s="3365" t="str">
        <f>A49</f>
        <v>比较价格（元/平方米）</v>
      </c>
      <c r="Q49" s="3365"/>
      <c r="R49" s="3367">
        <f>ROUND(PRODUCT(R48,AA9:AA47),0)</f>
        <v>4969</v>
      </c>
      <c r="S49" s="3367"/>
      <c r="T49" s="3367">
        <f>ROUND(PRODUCT(T48,AB9:AB47),0)</f>
        <v>4663</v>
      </c>
      <c r="U49" s="3367"/>
      <c r="V49" s="3367">
        <f>ROUND(PRODUCT(V48,AC9:AC47),0)</f>
        <v>4142</v>
      </c>
      <c r="W49" s="3367"/>
      <c r="X49" s="1560"/>
      <c r="Y49" s="1560"/>
      <c r="Z49" s="1560"/>
      <c r="AA49" s="1560"/>
      <c r="AB49" s="1560"/>
      <c r="AC49" s="1560"/>
    </row>
    <row r="50" spans="1:29" ht="21" thickBot="1">
      <c r="A50" s="621" t="s">
        <v>2937</v>
      </c>
      <c r="B50" s="622"/>
      <c r="C50" s="623">
        <f>R50</f>
        <v>4591</v>
      </c>
      <c r="D50" s="623"/>
      <c r="E50" s="623"/>
      <c r="F50" s="623"/>
      <c r="G50" s="623"/>
      <c r="H50" s="623"/>
      <c r="I50" s="623"/>
      <c r="J50" s="623"/>
      <c r="K50" s="1342"/>
      <c r="L50" s="2145"/>
      <c r="M50" s="2133"/>
      <c r="N50" s="2133"/>
      <c r="O50" s="2146"/>
      <c r="P50" s="3362" t="str">
        <f>A50</f>
        <v>估价对象XX用房的比较价格（楼面单价，元/平方米）</v>
      </c>
      <c r="Q50" s="3363"/>
      <c r="R50" s="3364">
        <f>ROUND(AVERAGE(R49:V49),0)</f>
        <v>4591</v>
      </c>
      <c r="S50" s="3364"/>
      <c r="T50" s="3364"/>
      <c r="U50" s="3364"/>
      <c r="V50" s="3364"/>
      <c r="W50" s="3364"/>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4.5444982116557897E-2</v>
      </c>
      <c r="F53" s="627" t="str">
        <f>IF(OR(E53&gt;=0.3,E53&lt;=-0.3),"超过30%","")</f>
        <v/>
      </c>
      <c r="G53" s="626">
        <f>IF(G48&lt;G49,G49/G48-1,G48/G49-1)</f>
        <v>4.5515695067264605E-2</v>
      </c>
      <c r="H53" s="627" t="str">
        <f>IF(OR(G53&gt;=0.3,G53&lt;=-0.3),"超过30%","")</f>
        <v/>
      </c>
      <c r="I53" s="626">
        <f>IF(I48&lt;I49,I49/I48-1,I48/I49-1)</f>
        <v>3.5241189702574394E-2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6.56229894917435E-2</v>
      </c>
      <c r="F54" s="627" t="str">
        <f>IF(OR(E54&gt;=0.2,E54&lt;=-0.2),"超过20%","")</f>
        <v/>
      </c>
      <c r="G54" s="626">
        <f>IF(G49&lt;I49,I49/G49-1,G49/I49-1)</f>
        <v>0.1257846450989859</v>
      </c>
      <c r="H54" s="627" t="str">
        <f>IF(OR(G54&gt;=0.2,G54&lt;=-0.2),"超过20%","")</f>
        <v/>
      </c>
      <c r="I54" s="626">
        <f>IF(I49&lt;E49,E49/I49-1,I49/E49-1)</f>
        <v>0.19966199903428294</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6.569506726457397E-2</v>
      </c>
      <c r="F55" s="627" t="str">
        <f>IF(OR(E55&gt;=0.3,E55&lt;=-0.3),"超过30%","")</f>
        <v/>
      </c>
      <c r="G55" s="626">
        <f>IF(G48&lt;I48,I48/G48-1,G48/I48-1)</f>
        <v>0.11472131967008248</v>
      </c>
      <c r="H55" s="627" t="str">
        <f>IF(OR(G55&gt;=0.3,G55&lt;=-0.3),"超过30%","")</f>
        <v/>
      </c>
      <c r="I55" s="626">
        <f>IF(I48&lt;E48,E48/I48-1,I48/E48-1)</f>
        <v>0.18795301174706314</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91" t="s">
        <v>2282</v>
      </c>
      <c r="H57" s="3392"/>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4591</v>
      </c>
      <c r="C58" s="635">
        <v>1</v>
      </c>
      <c r="D58" s="2229">
        <v>1</v>
      </c>
      <c r="E58" s="635">
        <f>'数据-汇总表'!E8+'数据-汇总表'!E9</f>
        <v>69044</v>
      </c>
      <c r="F58" s="636">
        <f t="shared" ref="F58:F67" si="15">ROUND(B58*E58/10000,0)</f>
        <v>31698</v>
      </c>
      <c r="G58" s="3393"/>
      <c r="H58" s="3394"/>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95"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95"/>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95"/>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95"/>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68972.94</v>
      </c>
      <c r="F68" s="644">
        <f>IF(B48="楼面地价",SUM(F58:F67),ROUND(C50*E68/10000,0))</f>
        <v>31665</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2019-2-1</v>
      </c>
      <c r="D70" s="2778">
        <f>EDATE(C70,-3)</f>
        <v>43405</v>
      </c>
      <c r="E70" s="2778">
        <f t="shared" ref="E70:N70" si="18">EDATE(D70,-3)</f>
        <v>43313</v>
      </c>
      <c r="F70" s="2778">
        <f t="shared" si="18"/>
        <v>43221</v>
      </c>
      <c r="G70" s="2778">
        <f t="shared" si="18"/>
        <v>43132</v>
      </c>
      <c r="H70" s="2778">
        <f t="shared" si="18"/>
        <v>43040</v>
      </c>
      <c r="I70" s="2778">
        <f t="shared" si="18"/>
        <v>42948</v>
      </c>
      <c r="J70" s="2778">
        <f t="shared" si="18"/>
        <v>42856</v>
      </c>
      <c r="K70" s="2778">
        <f t="shared" si="18"/>
        <v>42767</v>
      </c>
      <c r="L70" s="2778">
        <f t="shared" si="18"/>
        <v>42675</v>
      </c>
      <c r="M70" s="2778">
        <f t="shared" si="18"/>
        <v>42583</v>
      </c>
      <c r="N70" s="2778">
        <f t="shared" si="18"/>
        <v>42491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3002</v>
      </c>
      <c r="B73" s="479" t="str">
        <f>"北京市平均增长率"&amp;TEXT(SUMIF(基准地价!N21:N25,A73,基准地价!P21:P25),"0.00%")</f>
        <v>北京市平均增长率1.51%</v>
      </c>
      <c r="C73" s="894">
        <v>100</v>
      </c>
      <c r="D73" s="730">
        <v>99</v>
      </c>
      <c r="E73" s="730">
        <v>98</v>
      </c>
      <c r="F73" s="730">
        <v>97</v>
      </c>
      <c r="G73" s="730">
        <v>96</v>
      </c>
      <c r="H73" s="730">
        <v>95</v>
      </c>
      <c r="I73" s="730">
        <v>94</v>
      </c>
      <c r="J73" s="730">
        <v>93</v>
      </c>
      <c r="K73" s="730">
        <v>92</v>
      </c>
      <c r="L73" s="730">
        <v>91</v>
      </c>
      <c r="M73" s="2771">
        <v>90</v>
      </c>
      <c r="N73" s="2772"/>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101</v>
      </c>
      <c r="E83" s="679">
        <f t="shared" ref="E83:M83" si="21">IF($B$48="单位面积地价",D83+$K13,D83-$K13)</f>
        <v>102</v>
      </c>
      <c r="F83" s="679">
        <f t="shared" si="21"/>
        <v>103</v>
      </c>
      <c r="G83" s="679">
        <f t="shared" si="21"/>
        <v>104</v>
      </c>
      <c r="H83" s="679">
        <f t="shared" si="21"/>
        <v>105</v>
      </c>
      <c r="I83" s="679">
        <f t="shared" si="21"/>
        <v>106</v>
      </c>
      <c r="J83" s="679">
        <f t="shared" si="21"/>
        <v>107</v>
      </c>
      <c r="K83" s="679">
        <f t="shared" si="21"/>
        <v>108</v>
      </c>
      <c r="L83" s="679">
        <f t="shared" si="21"/>
        <v>109</v>
      </c>
      <c r="M83" s="679">
        <f t="shared" si="21"/>
        <v>110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v>
      </c>
      <c r="H118" s="704" t="str">
        <f t="shared" si="25"/>
        <v>(含)-</v>
      </c>
      <c r="I118" s="704" t="str">
        <f t="shared" si="25"/>
        <v>(含)-</v>
      </c>
      <c r="J118" s="3068" t="str">
        <f t="shared" si="25"/>
        <v>(含)-</v>
      </c>
      <c r="K118" s="3068" t="str">
        <f t="shared" si="25"/>
        <v>(含)-</v>
      </c>
      <c r="L118" s="3069" t="str">
        <f t="shared" si="25"/>
        <v>(含)-</v>
      </c>
      <c r="M118" s="307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30000</v>
      </c>
      <c r="E119" s="730">
        <v>60000</v>
      </c>
      <c r="F119" s="730">
        <v>90000</v>
      </c>
      <c r="G119" s="730">
        <v>120000</v>
      </c>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26">
        <v>104</v>
      </c>
      <c r="F120" s="726">
        <v>106</v>
      </c>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t="s">
        <v>3090</v>
      </c>
      <c r="D125" s="1376" t="s">
        <v>3091</v>
      </c>
      <c r="E125" s="1376" t="s">
        <v>3092</v>
      </c>
      <c r="F125" s="1376" t="s">
        <v>3093</v>
      </c>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97" t="str">
        <f>项目基本情况!B1</f>
        <v>出让国有建设用地使用权抵押价格预评估</v>
      </c>
      <c r="C37" s="3197"/>
      <c r="D37" s="3197"/>
      <c r="E37" s="3197"/>
      <c r="F37" s="3197"/>
      <c r="G37" s="3197"/>
      <c r="H37" s="3197"/>
      <c r="I37" s="3197"/>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71" t="s">
        <v>522</v>
      </c>
      <c r="D6" s="3372"/>
      <c r="E6" s="3405" t="s">
        <v>523</v>
      </c>
      <c r="F6" s="3406"/>
      <c r="G6" s="3371" t="s">
        <v>524</v>
      </c>
      <c r="H6" s="3372"/>
      <c r="I6" s="3371" t="s">
        <v>525</v>
      </c>
      <c r="J6" s="3372"/>
      <c r="K6" s="514" t="s">
        <v>526</v>
      </c>
      <c r="L6" s="2134"/>
      <c r="M6" s="2135"/>
      <c r="N6" s="2135"/>
      <c r="O6" s="2135"/>
      <c r="P6" s="3373" t="s">
        <v>527</v>
      </c>
      <c r="Q6" s="3374"/>
      <c r="R6" s="3379" t="s">
        <v>523</v>
      </c>
      <c r="S6" s="3380"/>
      <c r="T6" s="3379" t="s">
        <v>524</v>
      </c>
      <c r="U6" s="3380"/>
      <c r="V6" s="3366" t="s">
        <v>525</v>
      </c>
      <c r="W6" s="3366"/>
      <c r="X6" s="1568"/>
      <c r="Y6" s="3379" t="s">
        <v>527</v>
      </c>
      <c r="Z6" s="3380"/>
      <c r="AA6" s="3368" t="s">
        <v>523</v>
      </c>
      <c r="AB6" s="3369" t="s">
        <v>524</v>
      </c>
      <c r="AC6" s="3368" t="s">
        <v>525</v>
      </c>
    </row>
    <row r="7" spans="1:29" ht="15">
      <c r="A7" s="515"/>
      <c r="B7" s="516"/>
      <c r="C7" s="3387" t="s">
        <v>2931</v>
      </c>
      <c r="D7" s="3388"/>
      <c r="E7" s="3407" t="s">
        <v>2932</v>
      </c>
      <c r="F7" s="3408"/>
      <c r="G7" s="3387" t="s">
        <v>2933</v>
      </c>
      <c r="H7" s="3388"/>
      <c r="I7" s="3387" t="s">
        <v>2934</v>
      </c>
      <c r="J7" s="3388"/>
      <c r="K7" s="514"/>
      <c r="L7" s="2134"/>
      <c r="M7" s="2135"/>
      <c r="N7" s="2135"/>
      <c r="O7" s="2135"/>
      <c r="P7" s="3375"/>
      <c r="Q7" s="3376"/>
      <c r="R7" s="3381"/>
      <c r="S7" s="3382"/>
      <c r="T7" s="3381"/>
      <c r="U7" s="3382"/>
      <c r="V7" s="3366"/>
      <c r="W7" s="3366"/>
      <c r="X7" s="1568"/>
      <c r="Y7" s="3381"/>
      <c r="Z7" s="3382"/>
      <c r="AA7" s="3369"/>
      <c r="AB7" s="3369"/>
      <c r="AC7" s="3369"/>
    </row>
    <row r="8" spans="1:29" ht="15.75" thickBot="1">
      <c r="A8" s="517"/>
      <c r="B8" s="518"/>
      <c r="C8" s="3385" t="s">
        <v>2935</v>
      </c>
      <c r="D8" s="3386"/>
      <c r="E8" s="3403" t="s">
        <v>2935</v>
      </c>
      <c r="F8" s="3404"/>
      <c r="G8" s="3385" t="s">
        <v>2935</v>
      </c>
      <c r="H8" s="3386"/>
      <c r="I8" s="3385" t="s">
        <v>2935</v>
      </c>
      <c r="J8" s="3386"/>
      <c r="K8" s="514" t="s">
        <v>528</v>
      </c>
      <c r="L8" s="2134"/>
      <c r="M8" s="2135"/>
      <c r="N8" s="2135"/>
      <c r="O8" s="2135"/>
      <c r="P8" s="3377"/>
      <c r="Q8" s="3378"/>
      <c r="R8" s="3381"/>
      <c r="S8" s="3382"/>
      <c r="T8" s="3383"/>
      <c r="U8" s="3384"/>
      <c r="V8" s="3366"/>
      <c r="W8" s="3366"/>
      <c r="X8" s="1568"/>
      <c r="Y8" s="3383"/>
      <c r="Z8" s="3384"/>
      <c r="AA8" s="3370"/>
      <c r="AB8" s="3370"/>
      <c r="AC8" s="3370"/>
    </row>
    <row r="9" spans="1:29" s="1220" customFormat="1" ht="15.75" thickBot="1">
      <c r="A9" s="2890"/>
      <c r="B9" s="2897" t="s">
        <v>529</v>
      </c>
      <c r="C9" s="519">
        <f>'数据-取费表'!B2</f>
        <v>43510</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96" t="s">
        <v>530</v>
      </c>
      <c r="Q9" s="3398"/>
      <c r="R9" s="1569" t="s">
        <v>8</v>
      </c>
      <c r="S9" s="1570">
        <f t="shared" ref="S9:S17" si="0">F9</f>
        <v>0</v>
      </c>
      <c r="T9" s="1569" t="s">
        <v>8</v>
      </c>
      <c r="U9" s="1570">
        <f t="shared" ref="U9:U17" si="1">H9</f>
        <v>0</v>
      </c>
      <c r="V9" s="1569" t="s">
        <v>8</v>
      </c>
      <c r="W9" s="1570">
        <f t="shared" ref="W9:W17" si="2">J9</f>
        <v>0</v>
      </c>
      <c r="X9" s="1571"/>
      <c r="Y9" s="3396" t="s">
        <v>530</v>
      </c>
      <c r="Z9" s="3397"/>
      <c r="AA9" s="1572" t="e">
        <f>D9/F9</f>
        <v>#DIV/0!</v>
      </c>
      <c r="AB9" s="1572" t="e">
        <f>D9/H9</f>
        <v>#DIV/0!</v>
      </c>
      <c r="AC9" s="1572"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96" t="s">
        <v>533</v>
      </c>
      <c r="Q10" s="3397"/>
      <c r="R10" s="1569" t="s">
        <v>8</v>
      </c>
      <c r="S10" s="1570">
        <f t="shared" si="0"/>
        <v>0</v>
      </c>
      <c r="T10" s="1569" t="s">
        <v>8</v>
      </c>
      <c r="U10" s="1570">
        <f t="shared" si="1"/>
        <v>0</v>
      </c>
      <c r="V10" s="1569" t="s">
        <v>8</v>
      </c>
      <c r="W10" s="1570">
        <f t="shared" si="2"/>
        <v>0</v>
      </c>
      <c r="X10" s="1571"/>
      <c r="Y10" s="3396" t="s">
        <v>533</v>
      </c>
      <c r="Z10" s="3397"/>
      <c r="AA10" s="1572" t="e">
        <f t="shared" ref="AA10:AA42" si="3">D10/F10</f>
        <v>#DIV/0!</v>
      </c>
      <c r="AB10" s="1572" t="e">
        <f t="shared" ref="AB10:AB42" si="4">D10/H10</f>
        <v>#DIV/0!</v>
      </c>
      <c r="AC10" s="1572" t="e">
        <f t="shared" ref="AC10:AC42" si="5">D10/J10</f>
        <v>#DIV/0!</v>
      </c>
    </row>
    <row r="11" spans="1:29" s="1220" customFormat="1" ht="15">
      <c r="A11" s="2892"/>
      <c r="B11" s="2899" t="s">
        <v>2756</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5" t="s">
        <v>535</v>
      </c>
      <c r="Q11" s="1151" t="str">
        <f t="shared" ref="Q11:Q17" si="6">B11</f>
        <v>用途</v>
      </c>
      <c r="R11" s="1569" t="s">
        <v>8</v>
      </c>
      <c r="S11" s="1570">
        <f t="shared" si="0"/>
        <v>100</v>
      </c>
      <c r="T11" s="1569" t="s">
        <v>8</v>
      </c>
      <c r="U11" s="1570">
        <f t="shared" si="1"/>
        <v>100</v>
      </c>
      <c r="V11" s="1569" t="s">
        <v>8</v>
      </c>
      <c r="W11" s="1570">
        <f t="shared" si="2"/>
        <v>100</v>
      </c>
      <c r="X11" s="1571"/>
      <c r="Y11" s="3311" t="s">
        <v>536</v>
      </c>
      <c r="Z11" s="1150" t="str">
        <f t="shared" ref="Z11:Z17" si="7">Q11</f>
        <v>用途</v>
      </c>
      <c r="AA11" s="1572">
        <f t="shared" si="3"/>
        <v>1</v>
      </c>
      <c r="AB11" s="1572">
        <f t="shared" si="4"/>
        <v>1</v>
      </c>
      <c r="AC11" s="1572">
        <f t="shared" si="5"/>
        <v>1</v>
      </c>
    </row>
    <row r="12" spans="1:29" s="1338" customFormat="1" ht="27">
      <c r="A12" s="2893"/>
      <c r="B12" s="2898" t="s">
        <v>2757</v>
      </c>
      <c r="C12" s="528"/>
      <c r="D12" s="255">
        <v>100</v>
      </c>
      <c r="E12" s="528"/>
      <c r="F12" s="255">
        <f>ROUND(100/'数据-取费表'!G16,0)</f>
        <v>106</v>
      </c>
      <c r="G12" s="528"/>
      <c r="H12" s="255">
        <f>ROUND(100/'数据-取费表'!G16,0)</f>
        <v>106</v>
      </c>
      <c r="I12" s="528"/>
      <c r="J12" s="255">
        <f>ROUND(100/'数据-取费表'!G16,0)</f>
        <v>106</v>
      </c>
      <c r="K12" s="531"/>
      <c r="L12" s="2139"/>
      <c r="M12" s="2179"/>
      <c r="N12" s="2179"/>
      <c r="O12" s="2140"/>
      <c r="P12" s="3365"/>
      <c r="Q12" s="1151" t="str">
        <f t="shared" si="6"/>
        <v>土地使用年限（年）</v>
      </c>
      <c r="R12" s="1569" t="s">
        <v>8</v>
      </c>
      <c r="S12" s="1570">
        <f t="shared" si="0"/>
        <v>106</v>
      </c>
      <c r="T12" s="1569" t="s">
        <v>8</v>
      </c>
      <c r="U12" s="1570">
        <f t="shared" si="1"/>
        <v>106</v>
      </c>
      <c r="V12" s="1569" t="s">
        <v>8</v>
      </c>
      <c r="W12" s="1570">
        <f t="shared" si="2"/>
        <v>106</v>
      </c>
      <c r="X12" s="1571"/>
      <c r="Y12" s="3311"/>
      <c r="Z12" s="1150" t="str">
        <f t="shared" si="7"/>
        <v>土地使用年限（年）</v>
      </c>
      <c r="AA12" s="1572">
        <f t="shared" si="3"/>
        <v>0.94339622641509435</v>
      </c>
      <c r="AB12" s="1572">
        <f t="shared" si="4"/>
        <v>0.94339622641509435</v>
      </c>
      <c r="AC12" s="1572">
        <f t="shared" si="5"/>
        <v>0.94339622641509435</v>
      </c>
    </row>
    <row r="13" spans="1:29" ht="15">
      <c r="A13" s="2894"/>
      <c r="B13" s="2898"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65"/>
      <c r="Q13" s="1151" t="str">
        <f t="shared" si="6"/>
        <v>容积率</v>
      </c>
      <c r="R13" s="1569" t="s">
        <v>8</v>
      </c>
      <c r="S13" s="1570" t="e">
        <f t="shared" si="0"/>
        <v>#N/A</v>
      </c>
      <c r="T13" s="1569" t="s">
        <v>8</v>
      </c>
      <c r="U13" s="1570" t="e">
        <f t="shared" si="1"/>
        <v>#N/A</v>
      </c>
      <c r="V13" s="1569" t="s">
        <v>8</v>
      </c>
      <c r="W13" s="1570" t="e">
        <f t="shared" si="2"/>
        <v>#N/A</v>
      </c>
      <c r="X13" s="1571"/>
      <c r="Y13" s="3311"/>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5"/>
      <c r="Q14" s="1151">
        <f t="shared" si="6"/>
        <v>111</v>
      </c>
      <c r="R14" s="1569" t="s">
        <v>8</v>
      </c>
      <c r="S14" s="1570">
        <f t="shared" si="0"/>
        <v>100</v>
      </c>
      <c r="T14" s="1569" t="s">
        <v>8</v>
      </c>
      <c r="U14" s="1570">
        <f t="shared" si="1"/>
        <v>100</v>
      </c>
      <c r="V14" s="1569" t="s">
        <v>8</v>
      </c>
      <c r="W14" s="1570">
        <f t="shared" si="2"/>
        <v>100</v>
      </c>
      <c r="X14" s="1571"/>
      <c r="Y14" s="3311"/>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5"/>
      <c r="Q15" s="1151">
        <f t="shared" si="6"/>
        <v>111</v>
      </c>
      <c r="R15" s="1569" t="s">
        <v>8</v>
      </c>
      <c r="S15" s="1570">
        <f t="shared" si="0"/>
        <v>100</v>
      </c>
      <c r="T15" s="1569" t="s">
        <v>8</v>
      </c>
      <c r="U15" s="1570">
        <f t="shared" si="1"/>
        <v>100</v>
      </c>
      <c r="V15" s="1569" t="s">
        <v>8</v>
      </c>
      <c r="W15" s="1570">
        <f t="shared" si="2"/>
        <v>100</v>
      </c>
      <c r="X15" s="1571"/>
      <c r="Y15" s="3311"/>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5"/>
      <c r="Q16" s="1151">
        <f t="shared" si="6"/>
        <v>111</v>
      </c>
      <c r="R16" s="1569" t="s">
        <v>8</v>
      </c>
      <c r="S16" s="1570">
        <f t="shared" si="0"/>
        <v>100</v>
      </c>
      <c r="T16" s="1569" t="s">
        <v>8</v>
      </c>
      <c r="U16" s="1570">
        <f t="shared" si="1"/>
        <v>100</v>
      </c>
      <c r="V16" s="1569" t="s">
        <v>8</v>
      </c>
      <c r="W16" s="1570">
        <f t="shared" si="2"/>
        <v>100</v>
      </c>
      <c r="X16" s="1571"/>
      <c r="Y16" s="3311"/>
      <c r="Z16" s="1150">
        <f t="shared" si="7"/>
        <v>111</v>
      </c>
      <c r="AA16" s="1572">
        <f t="shared" si="3"/>
        <v>1</v>
      </c>
      <c r="AB16" s="1572">
        <f t="shared" si="4"/>
        <v>1</v>
      </c>
      <c r="AC16" s="1572">
        <f t="shared" si="5"/>
        <v>1</v>
      </c>
    </row>
    <row r="17" spans="1:29" ht="57">
      <c r="A17" s="2888"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9" t="s">
        <v>540</v>
      </c>
      <c r="Q17" s="1573" t="str">
        <f t="shared" si="6"/>
        <v>产业集聚程度</v>
      </c>
      <c r="R17" s="1574" t="s">
        <v>8</v>
      </c>
      <c r="S17" s="1575">
        <f t="shared" si="0"/>
        <v>100</v>
      </c>
      <c r="T17" s="1574" t="s">
        <v>8</v>
      </c>
      <c r="U17" s="1575">
        <f t="shared" si="1"/>
        <v>100</v>
      </c>
      <c r="V17" s="1574" t="s">
        <v>8</v>
      </c>
      <c r="W17" s="1575">
        <f t="shared" si="2"/>
        <v>100</v>
      </c>
      <c r="X17" s="1568"/>
      <c r="Y17" s="3399"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00"/>
      <c r="Q18" s="1573"/>
      <c r="R18" s="1574"/>
      <c r="S18" s="1575"/>
      <c r="T18" s="1574"/>
      <c r="U18" s="1575"/>
      <c r="V18" s="1574"/>
      <c r="W18" s="1575"/>
      <c r="X18" s="1568"/>
      <c r="Y18" s="3400"/>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00"/>
      <c r="Q19" s="1573" t="str">
        <f>B19</f>
        <v>交通便捷度</v>
      </c>
      <c r="R19" s="1574" t="s">
        <v>8</v>
      </c>
      <c r="S19" s="1575">
        <f>F19</f>
        <v>100</v>
      </c>
      <c r="T19" s="1574" t="s">
        <v>8</v>
      </c>
      <c r="U19" s="1575">
        <f>H19</f>
        <v>100</v>
      </c>
      <c r="V19" s="1574" t="s">
        <v>8</v>
      </c>
      <c r="W19" s="1575">
        <f>J19</f>
        <v>100</v>
      </c>
      <c r="X19" s="1568"/>
      <c r="Y19" s="340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00"/>
      <c r="Q20" s="1573"/>
      <c r="R20" s="1574"/>
      <c r="S20" s="1575"/>
      <c r="T20" s="1574"/>
      <c r="U20" s="1575"/>
      <c r="V20" s="1574"/>
      <c r="W20" s="1575"/>
      <c r="X20" s="1568"/>
      <c r="Y20" s="3400"/>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00"/>
      <c r="Q21" s="1573" t="str">
        <f t="shared" ref="Q21:Q35" si="8">B21</f>
        <v>区域土地利用方向</v>
      </c>
      <c r="R21" s="1574" t="s">
        <v>8</v>
      </c>
      <c r="S21" s="1575">
        <f>F21</f>
        <v>100</v>
      </c>
      <c r="T21" s="1574" t="s">
        <v>8</v>
      </c>
      <c r="U21" s="1575">
        <f>H21</f>
        <v>100</v>
      </c>
      <c r="V21" s="1574" t="s">
        <v>8</v>
      </c>
      <c r="W21" s="1575">
        <f>J21</f>
        <v>100</v>
      </c>
      <c r="X21" s="1568"/>
      <c r="Y21" s="340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00"/>
      <c r="Q22" s="1573"/>
      <c r="R22" s="1574"/>
      <c r="S22" s="1575"/>
      <c r="T22" s="1574"/>
      <c r="U22" s="1575"/>
      <c r="V22" s="1574"/>
      <c r="W22" s="1575"/>
      <c r="X22" s="1568"/>
      <c r="Y22" s="3400"/>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00"/>
      <c r="Q23" s="1573" t="str">
        <f t="shared" si="8"/>
        <v>环境状况</v>
      </c>
      <c r="R23" s="1574" t="s">
        <v>8</v>
      </c>
      <c r="S23" s="1575">
        <f>F23</f>
        <v>100</v>
      </c>
      <c r="T23" s="1574" t="s">
        <v>8</v>
      </c>
      <c r="U23" s="1575">
        <f>H23</f>
        <v>100</v>
      </c>
      <c r="V23" s="1574" t="s">
        <v>8</v>
      </c>
      <c r="W23" s="1575">
        <f>J23</f>
        <v>100</v>
      </c>
      <c r="X23" s="1568"/>
      <c r="Y23" s="340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00"/>
      <c r="Q24" s="1573"/>
      <c r="R24" s="1574"/>
      <c r="S24" s="1575"/>
      <c r="T24" s="1574"/>
      <c r="U24" s="1575"/>
      <c r="V24" s="1574"/>
      <c r="W24" s="1575"/>
      <c r="X24" s="1568"/>
      <c r="Y24" s="3400"/>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00"/>
      <c r="Q25" s="1151" t="str">
        <f t="shared" si="8"/>
        <v>公共配套设施</v>
      </c>
      <c r="R25" s="1569" t="s">
        <v>8</v>
      </c>
      <c r="S25" s="1570">
        <f>F25</f>
        <v>100</v>
      </c>
      <c r="T25" s="1569" t="s">
        <v>8</v>
      </c>
      <c r="U25" s="1570">
        <f>H25</f>
        <v>100</v>
      </c>
      <c r="V25" s="1569" t="s">
        <v>8</v>
      </c>
      <c r="W25" s="1570">
        <f>J25</f>
        <v>100</v>
      </c>
      <c r="X25" s="1571"/>
      <c r="Y25" s="3400"/>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400"/>
      <c r="Q26" s="1151"/>
      <c r="R26" s="1569"/>
      <c r="S26" s="1570"/>
      <c r="T26" s="1569"/>
      <c r="U26" s="1570"/>
      <c r="V26" s="1569"/>
      <c r="W26" s="1570"/>
      <c r="X26" s="1571"/>
      <c r="Y26" s="3400"/>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00"/>
      <c r="Q27" s="2558" t="str">
        <f t="shared" ref="Q27" si="9">B27</f>
        <v>基础设施水平</v>
      </c>
      <c r="R27" s="1569" t="s">
        <v>8</v>
      </c>
      <c r="S27" s="1570">
        <f>F27</f>
        <v>100</v>
      </c>
      <c r="T27" s="1569" t="s">
        <v>8</v>
      </c>
      <c r="U27" s="1570">
        <f>H27</f>
        <v>100</v>
      </c>
      <c r="V27" s="1569" t="s">
        <v>8</v>
      </c>
      <c r="W27" s="1570">
        <f>J27</f>
        <v>100</v>
      </c>
      <c r="X27" s="1571"/>
      <c r="Y27" s="3400"/>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400"/>
      <c r="Q28" s="2558"/>
      <c r="R28" s="1569"/>
      <c r="S28" s="1570"/>
      <c r="T28" s="1569"/>
      <c r="U28" s="1570"/>
      <c r="V28" s="1569"/>
      <c r="W28" s="1570"/>
      <c r="X28" s="1571"/>
      <c r="Y28" s="3400"/>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0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0"/>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00"/>
      <c r="Q30" s="1573" t="str">
        <f t="shared" si="8"/>
        <v>毗邻道路的类型与等级</v>
      </c>
      <c r="R30" s="1574" t="s">
        <v>8</v>
      </c>
      <c r="S30" s="1575">
        <f t="shared" si="10"/>
        <v>100</v>
      </c>
      <c r="T30" s="1574" t="s">
        <v>8</v>
      </c>
      <c r="U30" s="1575">
        <f t="shared" si="11"/>
        <v>100</v>
      </c>
      <c r="V30" s="1574" t="s">
        <v>8</v>
      </c>
      <c r="W30" s="1575">
        <f t="shared" si="12"/>
        <v>100</v>
      </c>
      <c r="X30" s="1568"/>
      <c r="Y30" s="3400"/>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00"/>
      <c r="Q31" s="1573"/>
      <c r="R31" s="1574"/>
      <c r="S31" s="1575"/>
      <c r="T31" s="1574"/>
      <c r="U31" s="1575"/>
      <c r="V31" s="1574"/>
      <c r="W31" s="1575"/>
      <c r="X31" s="1568"/>
      <c r="Y31" s="3400"/>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00"/>
      <c r="Q32" s="1573" t="str">
        <f t="shared" si="8"/>
        <v>土地级别</v>
      </c>
      <c r="R32" s="1574" t="s">
        <v>8</v>
      </c>
      <c r="S32" s="1575">
        <f t="shared" si="10"/>
        <v>100</v>
      </c>
      <c r="T32" s="1574" t="s">
        <v>8</v>
      </c>
      <c r="U32" s="1575">
        <f t="shared" si="11"/>
        <v>100</v>
      </c>
      <c r="V32" s="1574" t="s">
        <v>8</v>
      </c>
      <c r="W32" s="1575">
        <f t="shared" si="12"/>
        <v>100</v>
      </c>
      <c r="X32" s="1568"/>
      <c r="Y32" s="340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00"/>
      <c r="Q33" s="1573">
        <f t="shared" si="8"/>
        <v>111</v>
      </c>
      <c r="R33" s="1574" t="s">
        <v>8</v>
      </c>
      <c r="S33" s="1575">
        <f t="shared" si="10"/>
        <v>100</v>
      </c>
      <c r="T33" s="1574" t="s">
        <v>8</v>
      </c>
      <c r="U33" s="1575">
        <f t="shared" si="11"/>
        <v>100</v>
      </c>
      <c r="V33" s="1574" t="s">
        <v>8</v>
      </c>
      <c r="W33" s="1575">
        <f t="shared" si="12"/>
        <v>100</v>
      </c>
      <c r="X33" s="1568"/>
      <c r="Y33" s="340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01" t="s">
        <v>550</v>
      </c>
      <c r="Q34" s="1573">
        <f t="shared" si="8"/>
        <v>111</v>
      </c>
      <c r="R34" s="1574" t="s">
        <v>8</v>
      </c>
      <c r="S34" s="1575">
        <f t="shared" si="10"/>
        <v>100</v>
      </c>
      <c r="T34" s="1574" t="s">
        <v>8</v>
      </c>
      <c r="U34" s="1575">
        <f t="shared" si="11"/>
        <v>100</v>
      </c>
      <c r="V34" s="1574" t="s">
        <v>8</v>
      </c>
      <c r="W34" s="1575">
        <f t="shared" si="12"/>
        <v>100</v>
      </c>
      <c r="X34" s="1568"/>
      <c r="Y34" s="3402"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02"/>
      <c r="Q35" s="1573">
        <f t="shared" si="8"/>
        <v>111</v>
      </c>
      <c r="R35" s="1578" t="s">
        <v>8</v>
      </c>
      <c r="S35" s="1579">
        <f t="shared" si="10"/>
        <v>100</v>
      </c>
      <c r="T35" s="1578" t="s">
        <v>8</v>
      </c>
      <c r="U35" s="1579">
        <f t="shared" si="11"/>
        <v>100</v>
      </c>
      <c r="V35" s="1578" t="s">
        <v>8</v>
      </c>
      <c r="W35" s="1579">
        <f t="shared" si="12"/>
        <v>100</v>
      </c>
      <c r="X35" s="1580"/>
      <c r="Y35" s="3402"/>
      <c r="Z35" s="1581">
        <f t="shared" si="13"/>
        <v>111</v>
      </c>
      <c r="AA35" s="1577">
        <f t="shared" si="3"/>
        <v>1</v>
      </c>
      <c r="AB35" s="1577">
        <f t="shared" si="4"/>
        <v>1</v>
      </c>
      <c r="AC35" s="1577">
        <f t="shared" si="5"/>
        <v>1</v>
      </c>
    </row>
    <row r="36" spans="1:29" ht="15">
      <c r="A36" s="2886"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02"/>
      <c r="Q36" s="1573" t="str">
        <f>B36</f>
        <v>宗地面积</v>
      </c>
      <c r="R36" s="1574" t="s">
        <v>8</v>
      </c>
      <c r="S36" s="1575" t="e">
        <f t="shared" si="10"/>
        <v>#N/A</v>
      </c>
      <c r="T36" s="1574" t="s">
        <v>8</v>
      </c>
      <c r="U36" s="1575" t="e">
        <f t="shared" si="11"/>
        <v>#N/A</v>
      </c>
      <c r="V36" s="1574" t="s">
        <v>8</v>
      </c>
      <c r="W36" s="1575" t="e">
        <f t="shared" si="12"/>
        <v>#N/A</v>
      </c>
      <c r="X36" s="1568"/>
      <c r="Y36" s="3402"/>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02"/>
      <c r="Q37" s="1573" t="str">
        <f t="shared" ref="Q37:Q42" si="14">B37</f>
        <v>宗地形状</v>
      </c>
      <c r="R37" s="1574" t="s">
        <v>8</v>
      </c>
      <c r="S37" s="1575">
        <f t="shared" si="10"/>
        <v>100</v>
      </c>
      <c r="T37" s="1574" t="s">
        <v>8</v>
      </c>
      <c r="U37" s="1575">
        <f t="shared" si="11"/>
        <v>100</v>
      </c>
      <c r="V37" s="1574" t="s">
        <v>8</v>
      </c>
      <c r="W37" s="1575">
        <f t="shared" si="12"/>
        <v>100</v>
      </c>
      <c r="X37" s="1568"/>
      <c r="Y37" s="3402"/>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02"/>
      <c r="Q38" s="1573" t="str">
        <f t="shared" si="14"/>
        <v>宗地开发程度</v>
      </c>
      <c r="R38" s="1569" t="s">
        <v>8</v>
      </c>
      <c r="S38" s="1570">
        <f t="shared" si="10"/>
        <v>100</v>
      </c>
      <c r="T38" s="1569" t="s">
        <v>8</v>
      </c>
      <c r="U38" s="1570">
        <f t="shared" si="11"/>
        <v>100</v>
      </c>
      <c r="V38" s="1569" t="s">
        <v>8</v>
      </c>
      <c r="W38" s="1570">
        <f t="shared" si="12"/>
        <v>100</v>
      </c>
      <c r="X38" s="1571"/>
      <c r="Y38" s="3402"/>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2" t="s">
        <v>601</v>
      </c>
      <c r="Q39" s="1573" t="str">
        <f t="shared" si="14"/>
        <v>工程地质条件</v>
      </c>
      <c r="R39" s="1574" t="s">
        <v>8</v>
      </c>
      <c r="S39" s="1575">
        <f t="shared" si="10"/>
        <v>100</v>
      </c>
      <c r="T39" s="1574" t="s">
        <v>8</v>
      </c>
      <c r="U39" s="1575">
        <f t="shared" si="11"/>
        <v>100</v>
      </c>
      <c r="V39" s="1574" t="s">
        <v>8</v>
      </c>
      <c r="W39" s="1575">
        <f t="shared" si="12"/>
        <v>100</v>
      </c>
      <c r="X39" s="1568"/>
      <c r="Y39" s="3402"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02"/>
      <c r="Q40" s="1573">
        <f t="shared" si="14"/>
        <v>111</v>
      </c>
      <c r="R40" s="1574" t="s">
        <v>8</v>
      </c>
      <c r="S40" s="1575">
        <f t="shared" si="10"/>
        <v>100</v>
      </c>
      <c r="T40" s="1574" t="s">
        <v>8</v>
      </c>
      <c r="U40" s="1575">
        <f t="shared" si="11"/>
        <v>100</v>
      </c>
      <c r="V40" s="1574" t="s">
        <v>8</v>
      </c>
      <c r="W40" s="1575">
        <f t="shared" si="12"/>
        <v>100</v>
      </c>
      <c r="X40" s="1568"/>
      <c r="Y40" s="340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02"/>
      <c r="Q41" s="1573">
        <f t="shared" si="14"/>
        <v>111</v>
      </c>
      <c r="R41" s="1574" t="s">
        <v>8</v>
      </c>
      <c r="S41" s="1575">
        <f t="shared" si="10"/>
        <v>100</v>
      </c>
      <c r="T41" s="1574" t="s">
        <v>8</v>
      </c>
      <c r="U41" s="1575">
        <f t="shared" si="11"/>
        <v>100</v>
      </c>
      <c r="V41" s="1574" t="s">
        <v>8</v>
      </c>
      <c r="W41" s="1575">
        <f t="shared" si="12"/>
        <v>100</v>
      </c>
      <c r="X41" s="1568"/>
      <c r="Y41" s="340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02"/>
      <c r="Q42" s="1573">
        <f t="shared" si="14"/>
        <v>111</v>
      </c>
      <c r="R42" s="1578" t="s">
        <v>8</v>
      </c>
      <c r="S42" s="1579">
        <f t="shared" si="10"/>
        <v>100</v>
      </c>
      <c r="T42" s="1578" t="s">
        <v>8</v>
      </c>
      <c r="U42" s="1579">
        <f t="shared" si="11"/>
        <v>100</v>
      </c>
      <c r="V42" s="1578" t="s">
        <v>8</v>
      </c>
      <c r="W42" s="1579">
        <f t="shared" si="12"/>
        <v>100</v>
      </c>
      <c r="X42" s="1580"/>
      <c r="Y42" s="3402"/>
      <c r="Z42" s="1581">
        <f t="shared" si="13"/>
        <v>111</v>
      </c>
      <c r="AA42" s="1577">
        <f t="shared" si="3"/>
        <v>1</v>
      </c>
      <c r="AB42" s="1577">
        <f t="shared" si="4"/>
        <v>1</v>
      </c>
      <c r="AC42" s="1577">
        <f t="shared" si="5"/>
        <v>1</v>
      </c>
    </row>
    <row r="43" spans="1:29" ht="15">
      <c r="A43" s="607" t="s">
        <v>556</v>
      </c>
      <c r="B43" s="608" t="s">
        <v>2936</v>
      </c>
      <c r="C43" s="609" t="s">
        <v>1</v>
      </c>
      <c r="D43" s="610"/>
      <c r="E43" s="611"/>
      <c r="F43" s="612"/>
      <c r="G43" s="613"/>
      <c r="H43" s="614"/>
      <c r="I43" s="611"/>
      <c r="J43" s="614"/>
      <c r="K43" s="1340"/>
      <c r="L43" s="2145"/>
      <c r="M43" s="2135"/>
      <c r="N43" s="2135"/>
      <c r="O43" s="2146"/>
      <c r="P43" s="3365" t="str">
        <f>A43</f>
        <v>成交单价</v>
      </c>
      <c r="Q43" s="3365"/>
      <c r="R43" s="3366">
        <f>E43</f>
        <v>0</v>
      </c>
      <c r="S43" s="3366"/>
      <c r="T43" s="3366">
        <f>G43</f>
        <v>0</v>
      </c>
      <c r="U43" s="3366"/>
      <c r="V43" s="3366">
        <f>I43</f>
        <v>0</v>
      </c>
      <c r="W43" s="3366"/>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5"/>
      <c r="M44" s="2135"/>
      <c r="N44" s="2135"/>
      <c r="O44" s="2146"/>
      <c r="P44" s="3365" t="str">
        <f>A44</f>
        <v>比较价格（元/平方米）</v>
      </c>
      <c r="Q44" s="3365"/>
      <c r="R44" s="3367" t="e">
        <f>ROUND(PRODUCT(R43,AA9:AA42),0)</f>
        <v>#DIV/0!</v>
      </c>
      <c r="S44" s="3367"/>
      <c r="T44" s="3367" t="e">
        <f>ROUND(PRODUCT(T43,AB9:AB42),0)</f>
        <v>#DIV/0!</v>
      </c>
      <c r="U44" s="3367"/>
      <c r="V44" s="3367" t="e">
        <f>ROUND(PRODUCT(V43,AC9:AC42),0)</f>
        <v>#DIV/0!</v>
      </c>
      <c r="W44" s="3367"/>
      <c r="X44" s="1560"/>
      <c r="Y44" s="1560"/>
      <c r="Z44" s="1560"/>
      <c r="AA44" s="1560"/>
      <c r="AB44" s="1560"/>
      <c r="AC44" s="1560"/>
    </row>
    <row r="45" spans="1:29" ht="15.75" thickBot="1">
      <c r="A45" s="621" t="s">
        <v>2937</v>
      </c>
      <c r="B45" s="622"/>
      <c r="C45" s="623" t="e">
        <f>R45</f>
        <v>#DIV/0!</v>
      </c>
      <c r="D45" s="623"/>
      <c r="E45" s="623"/>
      <c r="F45" s="623"/>
      <c r="G45" s="623"/>
      <c r="H45" s="623"/>
      <c r="I45" s="623"/>
      <c r="J45" s="623"/>
      <c r="K45" s="1342"/>
      <c r="L45" s="2145"/>
      <c r="M45" s="2135"/>
      <c r="N45" s="2135"/>
      <c r="O45" s="2146"/>
      <c r="P45" s="3362" t="str">
        <f>A45</f>
        <v>估价对象XX用房的比较价格（楼面单价，元/平方米）</v>
      </c>
      <c r="Q45" s="3363"/>
      <c r="R45" s="3364" t="e">
        <f>ROUND(AVERAGE(R44:V44),0)</f>
        <v>#DIV/0!</v>
      </c>
      <c r="S45" s="3364"/>
      <c r="T45" s="3364"/>
      <c r="U45" s="3364"/>
      <c r="V45" s="3364"/>
      <c r="W45" s="3364"/>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409" t="s">
        <v>2285</v>
      </c>
      <c r="H52" s="3410"/>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69044</v>
      </c>
      <c r="F53" s="1951" t="e">
        <f t="shared" ref="F53:F62" si="15">ROUND(B53*E53/10000,0)</f>
        <v>#DIV/0!</v>
      </c>
      <c r="G53" s="3411"/>
      <c r="H53" s="3412"/>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13"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13"/>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13"/>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13"/>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68972.94</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2019-2-1</v>
      </c>
      <c r="D65" s="2778">
        <f>EDATE(C65,-3)</f>
        <v>43405</v>
      </c>
      <c r="E65" s="2778">
        <f t="shared" ref="E65:N65" si="18">EDATE(D65,-3)</f>
        <v>43313</v>
      </c>
      <c r="F65" s="2778">
        <f t="shared" si="18"/>
        <v>43221</v>
      </c>
      <c r="G65" s="2778">
        <f t="shared" si="18"/>
        <v>43132</v>
      </c>
      <c r="H65" s="2778">
        <f t="shared" si="18"/>
        <v>43040</v>
      </c>
      <c r="I65" s="2778">
        <f t="shared" si="18"/>
        <v>42948</v>
      </c>
      <c r="J65" s="2778">
        <f t="shared" si="18"/>
        <v>42856</v>
      </c>
      <c r="K65" s="2778">
        <f t="shared" si="18"/>
        <v>42767</v>
      </c>
      <c r="L65" s="2778">
        <f t="shared" si="18"/>
        <v>42675</v>
      </c>
      <c r="M65" s="2778">
        <f t="shared" si="18"/>
        <v>42583</v>
      </c>
      <c r="N65" s="2778">
        <f t="shared" si="18"/>
        <v>42491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2649</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4" t="s">
        <v>2762</v>
      </c>
      <c r="S1" s="2914" t="s">
        <v>2763</v>
      </c>
      <c r="T1" s="2914" t="s">
        <v>2784</v>
      </c>
      <c r="U1" s="2914" t="s">
        <v>2785</v>
      </c>
      <c r="V1" s="2914" t="s">
        <v>2786</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2938</v>
      </c>
      <c r="G3" s="1039">
        <f>IF(F3="宗地容积率",'数据-汇总表'!I4,IF(F3="估价对象容积率",'数据-汇总表'!I6,'数据-汇总表'!I7))</f>
        <v>1</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5">
        <v>3</v>
      </c>
      <c r="S4" s="2915">
        <f>ROUND(IF(G3&gt;1,IF(R4&lt;7,SUMPRODUCT((B93:B98=R4)*(C92:N92=G2)*(C93:N98)),SUMIF(C92:N92,G2,C100:N100)),IF(R4&lt;7,SUMPRODUCT((B102:B107=R4)*(C92:N92=G2)*(C102:N107)),SUMIF(C92:N92,G2,C109:N109))),4)</f>
        <v>0</v>
      </c>
      <c r="T4" s="2915" t="e">
        <f t="shared" si="0"/>
        <v>#DIV/0!</v>
      </c>
      <c r="U4" s="2904"/>
      <c r="V4" s="2915"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6" t="e">
        <f>ROUND(IF(F16="增加",C6+C16,C6-C16),0)</f>
        <v>#DIV/0!</v>
      </c>
      <c r="E5" s="3096"/>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5">
        <v>4</v>
      </c>
      <c r="S5" s="2915">
        <f>ROUND(IF(G3&gt;1,IF(R5&lt;7,SUMPRODUCT((B93:B98=R5)*(C92:N92=G2)*(C93:N98)),SUMIF(C92:N92,G2,C100:N100)),IF(R5&lt;7,SUMPRODUCT((B102:B107=R5)*(C92:N92=G2)*(C102:N107)),SUMIF(C92:N92,G2,C109:N109))),4)</f>
        <v>0</v>
      </c>
      <c r="T5" s="2915" t="e">
        <f t="shared" si="0"/>
        <v>#DIV/0!</v>
      </c>
      <c r="U5" s="2904"/>
      <c r="V5" s="2915"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5">
        <v>5</v>
      </c>
      <c r="S6" s="2915">
        <f>ROUND(IF(G3&gt;1,IF(R6&lt;7,SUMPRODUCT((B93:B98=R6)*(C92:N92=G2)*(C93:N98)),SUMIF(C92:N92,G2,C100:N100)),IF(R6&lt;7,SUMPRODUCT((B102:B107=R6)*(C92:N92=G2)*(C102:N107)),SUMIF(C92:N92,G2,C109:N109))),4)</f>
        <v>0</v>
      </c>
      <c r="T6" s="2915" t="e">
        <f t="shared" si="0"/>
        <v>#DIV/0!</v>
      </c>
      <c r="U6" s="2904"/>
      <c r="V6" s="2915" t="e">
        <f t="shared" si="1"/>
        <v>#DIV/0!</v>
      </c>
      <c r="W6" s="2190"/>
      <c r="X6" s="2190"/>
      <c r="Y6" s="2190"/>
      <c r="Z6" s="2190"/>
      <c r="AA6" s="2190"/>
      <c r="AB6" s="2190"/>
      <c r="AC6" s="2192"/>
      <c r="AD6" s="1420"/>
      <c r="AE6" s="1420"/>
      <c r="AF6" s="1420"/>
      <c r="AG6" s="1420"/>
      <c r="AH6" s="1420"/>
      <c r="AI6" s="1420"/>
      <c r="AJ6" s="1421"/>
    </row>
    <row r="7" spans="1:39" ht="24">
      <c r="A7" s="3423"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2765</v>
      </c>
      <c r="X7" s="2905">
        <f>G2</f>
        <v>0</v>
      </c>
      <c r="Y7" s="2905" t="s">
        <v>2766</v>
      </c>
      <c r="Z7" s="2906">
        <f>G3</f>
        <v>1</v>
      </c>
      <c r="AA7" s="2193"/>
      <c r="AB7" s="2193"/>
      <c r="AC7" s="2194"/>
      <c r="AD7" s="2907"/>
      <c r="AE7" s="2907"/>
      <c r="AF7" s="2907"/>
      <c r="AG7" s="2907"/>
      <c r="AH7" s="2907"/>
      <c r="AI7" s="2907"/>
      <c r="AJ7" s="2908"/>
    </row>
    <row r="8" spans="1:39" ht="15">
      <c r="A8" s="3424"/>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5">
        <v>7</v>
      </c>
      <c r="S8" s="2904"/>
      <c r="T8" s="2915" t="e">
        <f t="shared" si="0"/>
        <v>#DIV/0!</v>
      </c>
      <c r="U8" s="2904"/>
      <c r="V8" s="2915" t="e">
        <f t="shared" si="1"/>
        <v>#DIV/0!</v>
      </c>
      <c r="W8" s="3415" t="s">
        <v>2783</v>
      </c>
      <c r="X8" s="3416"/>
      <c r="Y8" s="1850" t="s">
        <v>2767</v>
      </c>
      <c r="Z8" s="1850" t="s">
        <v>2768</v>
      </c>
      <c r="AA8" s="1850" t="s">
        <v>2769</v>
      </c>
      <c r="AB8" s="1850" t="s">
        <v>2770</v>
      </c>
      <c r="AC8" s="1850" t="s">
        <v>2771</v>
      </c>
      <c r="AD8" s="1850" t="s">
        <v>2772</v>
      </c>
      <c r="AE8" s="1850" t="s">
        <v>2773</v>
      </c>
      <c r="AF8" s="1850" t="s">
        <v>2774</v>
      </c>
      <c r="AG8" s="1850" t="s">
        <v>2775</v>
      </c>
      <c r="AH8" s="1850" t="s">
        <v>2776</v>
      </c>
      <c r="AI8" s="1850" t="s">
        <v>2777</v>
      </c>
      <c r="AJ8" s="1850" t="s">
        <v>2778</v>
      </c>
    </row>
    <row r="9" spans="1:39" ht="15">
      <c r="A9" s="3424"/>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5">
        <v>8</v>
      </c>
      <c r="S9" s="2904"/>
      <c r="T9" s="2915" t="e">
        <f t="shared" si="0"/>
        <v>#DIV/0!</v>
      </c>
      <c r="U9" s="2904"/>
      <c r="V9" s="2915" t="e">
        <f t="shared" si="1"/>
        <v>#DIV/0!</v>
      </c>
      <c r="W9" s="3414" t="s">
        <v>2779</v>
      </c>
      <c r="X9" s="2909" t="s">
        <v>2780</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24"/>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5">
        <v>9</v>
      </c>
      <c r="S10" s="2904"/>
      <c r="T10" s="2915" t="e">
        <f t="shared" si="0"/>
        <v>#DIV/0!</v>
      </c>
      <c r="U10" s="2904"/>
      <c r="V10" s="2915" t="e">
        <f t="shared" si="1"/>
        <v>#DIV/0!</v>
      </c>
      <c r="W10" s="3414"/>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24"/>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5">
        <v>10</v>
      </c>
      <c r="S11" s="2904"/>
      <c r="T11" s="2915" t="e">
        <f t="shared" si="0"/>
        <v>#DIV/0!</v>
      </c>
      <c r="U11" s="2904"/>
      <c r="V11" s="2915" t="e">
        <f t="shared" si="1"/>
        <v>#DIV/0!</v>
      </c>
      <c r="W11" s="3414" t="s">
        <v>2781</v>
      </c>
      <c r="X11" s="1048" t="s">
        <v>2766</v>
      </c>
      <c r="Y11" s="1654">
        <f>$G$3</f>
        <v>1</v>
      </c>
      <c r="Z11" s="1654">
        <f t="shared" ref="Z11:AJ11" si="3">$G$3</f>
        <v>1</v>
      </c>
      <c r="AA11" s="1654">
        <f t="shared" si="3"/>
        <v>1</v>
      </c>
      <c r="AB11" s="1654">
        <f t="shared" si="3"/>
        <v>1</v>
      </c>
      <c r="AC11" s="1654">
        <f t="shared" si="3"/>
        <v>1</v>
      </c>
      <c r="AD11" s="1654">
        <f t="shared" si="3"/>
        <v>1</v>
      </c>
      <c r="AE11" s="1654">
        <f t="shared" si="3"/>
        <v>1</v>
      </c>
      <c r="AF11" s="1654">
        <f t="shared" si="3"/>
        <v>1</v>
      </c>
      <c r="AG11" s="1654">
        <f t="shared" si="3"/>
        <v>1</v>
      </c>
      <c r="AH11" s="1654">
        <f t="shared" si="3"/>
        <v>1</v>
      </c>
      <c r="AI11" s="1654">
        <f t="shared" si="3"/>
        <v>1</v>
      </c>
      <c r="AJ11" s="1654">
        <f t="shared" si="3"/>
        <v>1</v>
      </c>
    </row>
    <row r="12" spans="1:39" ht="25.5" thickBot="1">
      <c r="A12" s="3423"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5">
        <v>11</v>
      </c>
      <c r="S12" s="2904"/>
      <c r="T12" s="2915" t="e">
        <f t="shared" si="0"/>
        <v>#DIV/0!</v>
      </c>
      <c r="U12" s="2904"/>
      <c r="V12" s="2915" t="e">
        <f t="shared" si="1"/>
        <v>#DIV/0!</v>
      </c>
      <c r="W12" s="3414"/>
      <c r="X12" s="2912" t="s">
        <v>2782</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25"/>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5">
        <v>12</v>
      </c>
      <c r="S13" s="2904"/>
      <c r="T13" s="2915" t="e">
        <f t="shared" si="0"/>
        <v>#DIV/0!</v>
      </c>
      <c r="U13" s="2904"/>
      <c r="V13" s="2915" t="e">
        <f t="shared" si="1"/>
        <v>#DIV/0!</v>
      </c>
      <c r="W13" s="3414"/>
      <c r="X13" s="2912"/>
      <c r="Y13" s="2911">
        <f>(-0.163*(Y12^2)-0.59*Y12+7617)*(10^(-4))/Y11</f>
        <v>0.76170000000000004</v>
      </c>
      <c r="Z13" s="2911">
        <f t="shared" ref="Z13:AJ13" si="5">(-0.163*(Z12^2)-0.59*Z12+7617)*(10^(-4))/Z11</f>
        <v>0.76170000000000004</v>
      </c>
      <c r="AA13" s="2911">
        <f t="shared" si="5"/>
        <v>0.76170000000000004</v>
      </c>
      <c r="AB13" s="2911">
        <f t="shared" si="5"/>
        <v>0.76170000000000004</v>
      </c>
      <c r="AC13" s="2911">
        <f t="shared" si="5"/>
        <v>0.76170000000000004</v>
      </c>
      <c r="AD13" s="2911">
        <f t="shared" si="5"/>
        <v>0.76170000000000004</v>
      </c>
      <c r="AE13" s="2911">
        <f t="shared" si="5"/>
        <v>0.76170000000000004</v>
      </c>
      <c r="AF13" s="2911">
        <f t="shared" si="5"/>
        <v>0.76170000000000004</v>
      </c>
      <c r="AG13" s="2911">
        <f t="shared" si="5"/>
        <v>0.76170000000000004</v>
      </c>
      <c r="AH13" s="2911">
        <f t="shared" si="5"/>
        <v>0.76170000000000004</v>
      </c>
      <c r="AI13" s="2911">
        <f t="shared" si="5"/>
        <v>0.76170000000000004</v>
      </c>
      <c r="AJ13" s="2911">
        <f t="shared" si="5"/>
        <v>0.76170000000000004</v>
      </c>
    </row>
    <row r="14" spans="1:39" ht="12.75" customHeight="1" thickBot="1">
      <c r="A14" s="3425"/>
      <c r="B14" s="1452"/>
      <c r="C14" s="1453"/>
      <c r="D14" s="1454"/>
      <c r="E14" s="1454"/>
      <c r="F14" s="1455"/>
      <c r="G14" s="1456" t="s">
        <v>949</v>
      </c>
      <c r="H14" s="1457"/>
      <c r="I14" s="1458"/>
      <c r="J14" s="1459"/>
      <c r="K14" s="1402"/>
      <c r="L14" s="2190"/>
      <c r="M14" s="2190"/>
      <c r="N14" s="2190"/>
      <c r="O14" s="2190"/>
      <c r="P14" s="2190"/>
      <c r="Q14" s="2190"/>
      <c r="R14" s="2915">
        <v>13</v>
      </c>
      <c r="S14" s="2904"/>
      <c r="T14" s="2915" t="e">
        <f t="shared" si="0"/>
        <v>#DIV/0!</v>
      </c>
      <c r="U14" s="2904"/>
      <c r="V14" s="2915" t="e">
        <f t="shared" si="1"/>
        <v>#DIV/0!</v>
      </c>
      <c r="W14" s="2190"/>
      <c r="X14" s="2190"/>
      <c r="Y14" s="2190"/>
      <c r="Z14" s="2190"/>
      <c r="AA14" s="2190"/>
      <c r="AB14" s="2190"/>
      <c r="AC14" s="2191"/>
    </row>
    <row r="15" spans="1:39" ht="13.5" customHeight="1" thickBot="1">
      <c r="A15" s="3426"/>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5">
        <v>14</v>
      </c>
      <c r="S15" s="2904"/>
      <c r="T15" s="2915" t="e">
        <f t="shared" si="0"/>
        <v>#DIV/0!</v>
      </c>
      <c r="U15" s="2904"/>
      <c r="V15" s="2915" t="e">
        <f t="shared" si="1"/>
        <v>#DIV/0!</v>
      </c>
      <c r="W15" s="2190"/>
      <c r="X15" s="2190"/>
      <c r="Y15" s="2190"/>
      <c r="Z15" s="2190"/>
      <c r="AA15" s="2190"/>
      <c r="AB15" s="2190"/>
      <c r="AC15" s="2191"/>
    </row>
    <row r="16" spans="1:39" ht="24">
      <c r="A16" s="3423"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5">
        <v>15</v>
      </c>
      <c r="S16" s="2904"/>
      <c r="T16" s="2915" t="e">
        <f t="shared" si="0"/>
        <v>#DIV/0!</v>
      </c>
      <c r="U16" s="2904"/>
      <c r="V16" s="2915" t="e">
        <f t="shared" si="1"/>
        <v>#DIV/0!</v>
      </c>
      <c r="W16" s="2193"/>
      <c r="X16" s="2193"/>
      <c r="Y16" s="2193"/>
      <c r="Z16" s="2193"/>
      <c r="AA16" s="2193"/>
      <c r="AB16" s="2193"/>
      <c r="AC16" s="2194"/>
    </row>
    <row r="17" spans="1:40" ht="13.5" thickBot="1">
      <c r="A17" s="3424"/>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43510</v>
      </c>
      <c r="H19" s="1476" t="s">
        <v>2939</v>
      </c>
      <c r="I19" s="2763" t="str">
        <f>IF(H19="季度增幅（自定义）",SUMIF(N21:N24,E2,O21:O24),"")</f>
        <v/>
      </c>
      <c r="J19" s="1472"/>
      <c r="K19" s="1482"/>
      <c r="L19" s="3015" t="s">
        <v>2841</v>
      </c>
      <c r="M19" s="3016">
        <f>ROUND(SUMIF(地价!B2:F2,E2,地价!B25:F25),0)</f>
        <v>0</v>
      </c>
      <c r="N19" s="2765" t="s">
        <v>1677</v>
      </c>
      <c r="O19" s="2764">
        <f>ROUNDDOWN(DATEDIF(E19,G19,"M")/3,0)</f>
        <v>20</v>
      </c>
      <c r="P19" s="1597"/>
      <c r="R19" s="2903"/>
      <c r="S19" s="2903"/>
      <c r="T19" s="2903"/>
      <c r="U19" s="2903"/>
      <c r="V19" s="2903"/>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1">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7" t="s">
        <v>2842</v>
      </c>
      <c r="M20" s="3018">
        <f>ROUND(SUMPRODUCT((地价!A4:A25=YEAR(G19)&amp;"-"&amp;ROUNDUP(MONTH(G19)/3,0))*(地价!B2:F2=E2)*(地价!B4:F25)),0)</f>
        <v>0</v>
      </c>
      <c r="N20" s="2768" t="s">
        <v>2646</v>
      </c>
      <c r="O20" s="2766" t="s">
        <v>2645</v>
      </c>
      <c r="P20" s="2767" t="s">
        <v>2650</v>
      </c>
      <c r="R20" s="2903"/>
      <c r="S20" s="2903"/>
      <c r="T20" s="2903"/>
      <c r="U20" s="2903"/>
      <c r="V20" s="2903"/>
      <c r="W20" s="2196"/>
      <c r="X20" s="2196"/>
      <c r="Y20" s="2196"/>
      <c r="Z20" s="2196"/>
      <c r="AA20" s="2196"/>
      <c r="AB20" s="2196"/>
      <c r="AC20" s="2196"/>
      <c r="AD20" s="1473"/>
      <c r="AE20" s="1473"/>
      <c r="AF20" s="1473"/>
      <c r="AG20" s="1473"/>
      <c r="AH20" s="1473"/>
      <c r="AI20" s="1473"/>
    </row>
    <row r="21" spans="1:40" s="1422" customFormat="1" ht="14.25">
      <c r="A21" s="1643" t="s">
        <v>1838</v>
      </c>
      <c r="B21" s="1481" t="s">
        <v>2761</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3"/>
      <c r="S21" s="2903"/>
      <c r="T21" s="2903"/>
      <c r="U21" s="2903"/>
      <c r="V21" s="2903"/>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3"/>
      <c r="S22" s="2903"/>
      <c r="T22" s="2903"/>
      <c r="U22" s="2903"/>
      <c r="V22" s="2903"/>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3"/>
      <c r="S23" s="2903"/>
      <c r="T23" s="2903"/>
      <c r="U23" s="2903"/>
      <c r="V23" s="2903"/>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3"/>
      <c r="S24" s="2903"/>
      <c r="T24" s="2903"/>
      <c r="U24" s="2903"/>
      <c r="V24" s="2903"/>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2648</v>
      </c>
      <c r="O25" s="2196"/>
      <c r="P25" s="1542">
        <f>SUMPRODUCT((地价!A3:A25=YEAR(G19)&amp;"-"&amp;ROUNDUP(MONTH(G19)/3,0))*(地价!AD2:AH2=N25)*(地价!AD3:AH25))</f>
        <v>2.1299999999999999E-2</v>
      </c>
      <c r="R25" s="2903"/>
      <c r="S25" s="2903"/>
      <c r="T25" s="2903"/>
      <c r="U25" s="2903"/>
      <c r="V25" s="2903"/>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3"/>
      <c r="S26" s="2903"/>
      <c r="T26" s="2903"/>
      <c r="U26" s="2903"/>
      <c r="V26" s="2903"/>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3"/>
      <c r="S27" s="2903"/>
      <c r="T27" s="2903"/>
      <c r="U27" s="2903"/>
      <c r="V27" s="2903"/>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3"/>
      <c r="S28" s="2903"/>
      <c r="T28" s="2903"/>
      <c r="U28" s="2903"/>
      <c r="V28" s="2903"/>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3"/>
      <c r="S29" s="2903"/>
      <c r="T29" s="2903"/>
      <c r="U29" s="2903"/>
      <c r="V29" s="2903"/>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29" t="s">
        <v>2965</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30"/>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30"/>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1"/>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4" t="s">
        <v>2992</v>
      </c>
      <c r="C41" s="839" t="e">
        <f>ROUND(POWER(1+E41,H41-G41)*(POWER(1+E41,G41)-1)/(POWER(1+E41,H41)-1),4)</f>
        <v>#DIV/0!</v>
      </c>
      <c r="D41" s="378" t="s">
        <v>2990</v>
      </c>
      <c r="E41" s="3173">
        <f>G20</f>
        <v>0</v>
      </c>
      <c r="F41" s="378" t="s">
        <v>2991</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3" t="s">
        <v>2941</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2" t="s">
        <v>2940</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3" t="s">
        <v>2942</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2" t="s">
        <v>2940</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2" t="s">
        <v>2940</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2" t="s">
        <v>2940</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27" t="s">
        <v>1634</v>
      </c>
      <c r="B90" s="3427"/>
      <c r="C90" s="3427"/>
      <c r="D90" s="3427"/>
      <c r="E90" s="3427"/>
      <c r="F90" s="3427"/>
      <c r="G90" s="3427"/>
      <c r="H90" s="3427"/>
      <c r="I90" s="3427"/>
      <c r="J90" s="3427"/>
      <c r="K90" s="2430"/>
      <c r="L90" s="2430"/>
      <c r="M90" s="2430"/>
      <c r="N90" s="2430"/>
    </row>
    <row r="91" spans="1:40">
      <c r="A91" s="3428" t="s">
        <v>1444</v>
      </c>
      <c r="B91" s="3428" t="s">
        <v>1635</v>
      </c>
      <c r="C91" s="1140" t="s">
        <v>1636</v>
      </c>
      <c r="D91" s="1141"/>
      <c r="E91" s="1141"/>
      <c r="F91" s="1141"/>
      <c r="G91" s="1141"/>
      <c r="H91" s="1141"/>
      <c r="I91" s="1141"/>
      <c r="J91" s="1142"/>
      <c r="K91" s="1134"/>
      <c r="L91" s="1134"/>
      <c r="M91" s="1134"/>
      <c r="N91" s="1134"/>
    </row>
    <row r="92" spans="1:40">
      <c r="A92" s="3428"/>
      <c r="B92" s="3428"/>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17"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8"/>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7"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18"/>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18"/>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18"/>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18"/>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18"/>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18"/>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18"/>
      <c r="B108" s="3420"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9"/>
      <c r="B109" s="3421"/>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422" t="s">
        <v>1640</v>
      </c>
      <c r="B110" s="3422"/>
      <c r="C110" s="3422"/>
      <c r="D110" s="3422"/>
      <c r="E110" s="3422"/>
      <c r="F110" s="3422"/>
      <c r="G110" s="3422"/>
      <c r="H110" s="3422"/>
      <c r="I110" s="3422"/>
      <c r="J110" s="3422"/>
      <c r="K110" s="2428"/>
      <c r="L110" s="2428"/>
      <c r="M110" s="2428"/>
      <c r="N110" s="2428"/>
    </row>
    <row r="112" spans="1:14" ht="12.75" thickBot="1"/>
    <row r="113" spans="1:13" ht="25.5" thickBot="1">
      <c r="A113" s="1016" t="s">
        <v>896</v>
      </c>
      <c r="B113" s="2431">
        <f>G3</f>
        <v>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28" t="s">
        <v>1008</v>
      </c>
      <c r="B18" s="1154" t="s">
        <v>1447</v>
      </c>
      <c r="C18" s="1131" t="s">
        <v>1448</v>
      </c>
      <c r="D18" s="1132"/>
      <c r="E18" s="1154">
        <v>1</v>
      </c>
      <c r="F18" s="1133" t="s">
        <v>1449</v>
      </c>
      <c r="G18" s="1134"/>
      <c r="H18" s="1105"/>
      <c r="I18" s="1105"/>
    </row>
    <row r="19" spans="1:9" s="1600" customFormat="1" ht="19.5" customHeight="1">
      <c r="A19" s="3428"/>
      <c r="B19" s="3428" t="s">
        <v>1450</v>
      </c>
      <c r="C19" s="1131" t="s">
        <v>1451</v>
      </c>
      <c r="D19" s="1132"/>
      <c r="E19" s="1154">
        <v>0.9</v>
      </c>
      <c r="F19" s="1133" t="s">
        <v>1452</v>
      </c>
      <c r="G19" s="1134"/>
      <c r="H19" s="1105"/>
      <c r="I19" s="1105"/>
    </row>
    <row r="20" spans="1:9" s="1600" customFormat="1" ht="19.5" customHeight="1">
      <c r="A20" s="3428"/>
      <c r="B20" s="3428"/>
      <c r="C20" s="1131" t="s">
        <v>1453</v>
      </c>
      <c r="D20" s="1132"/>
      <c r="E20" s="1154">
        <v>1.1000000000000001</v>
      </c>
      <c r="F20" s="1133" t="s">
        <v>1454</v>
      </c>
      <c r="G20" s="1134"/>
      <c r="H20" s="1105"/>
      <c r="I20" s="1105"/>
    </row>
    <row r="21" spans="1:9" s="1600" customFormat="1" ht="19.5" customHeight="1">
      <c r="A21" s="3428"/>
      <c r="B21" s="3428"/>
      <c r="C21" s="1131" t="s">
        <v>1455</v>
      </c>
      <c r="D21" s="1132"/>
      <c r="E21" s="1154">
        <v>0.8</v>
      </c>
      <c r="F21" s="1133" t="s">
        <v>1456</v>
      </c>
      <c r="G21" s="1134"/>
      <c r="H21" s="1105"/>
      <c r="I21" s="1105"/>
    </row>
    <row r="22" spans="1:9" s="1600" customFormat="1" ht="19.5" customHeight="1">
      <c r="A22" s="3428"/>
      <c r="B22" s="3428"/>
      <c r="C22" s="1131" t="s">
        <v>1457</v>
      </c>
      <c r="D22" s="1132"/>
      <c r="E22" s="1154">
        <v>0.5</v>
      </c>
      <c r="F22" s="1133"/>
      <c r="G22" s="1134"/>
      <c r="H22" s="1105"/>
      <c r="I22" s="1105"/>
    </row>
    <row r="23" spans="1:9" s="1600" customFormat="1" ht="19.5" customHeight="1">
      <c r="A23" s="3428" t="s">
        <v>1030</v>
      </c>
      <c r="B23" s="1154" t="s">
        <v>1447</v>
      </c>
      <c r="C23" s="1131" t="s">
        <v>1458</v>
      </c>
      <c r="D23" s="1132"/>
      <c r="E23" s="1154">
        <v>1</v>
      </c>
      <c r="F23" s="1133" t="s">
        <v>1459</v>
      </c>
      <c r="G23" s="1134"/>
      <c r="H23" s="1105"/>
      <c r="I23" s="1105"/>
    </row>
    <row r="24" spans="1:9" s="1600" customFormat="1" ht="19.5" customHeight="1">
      <c r="A24" s="3428"/>
      <c r="B24" s="3428" t="s">
        <v>1450</v>
      </c>
      <c r="C24" s="1131" t="s">
        <v>1460</v>
      </c>
      <c r="D24" s="1132"/>
      <c r="E24" s="1154">
        <v>0.5</v>
      </c>
      <c r="F24" s="1133"/>
      <c r="G24" s="1134"/>
      <c r="H24" s="1105"/>
      <c r="I24" s="1105"/>
    </row>
    <row r="25" spans="1:9" s="1600" customFormat="1" ht="19.5" customHeight="1">
      <c r="A25" s="3428"/>
      <c r="B25" s="3428"/>
      <c r="C25" s="1131" t="s">
        <v>1461</v>
      </c>
      <c r="D25" s="1132"/>
      <c r="E25" s="1154">
        <v>1.1000000000000001</v>
      </c>
      <c r="F25" s="1133"/>
      <c r="G25" s="1134"/>
      <c r="H25" s="1105"/>
      <c r="I25" s="1105"/>
    </row>
    <row r="26" spans="1:9" s="1600" customFormat="1" ht="19.5" customHeight="1">
      <c r="A26" s="3428"/>
      <c r="B26" s="3428"/>
      <c r="C26" s="1131" t="s">
        <v>1462</v>
      </c>
      <c r="D26" s="1132"/>
      <c r="E26" s="1154">
        <v>1.1000000000000001</v>
      </c>
      <c r="F26" s="1133"/>
      <c r="G26" s="1134"/>
      <c r="H26" s="1105"/>
      <c r="I26" s="1105"/>
    </row>
    <row r="27" spans="1:9" s="1600" customFormat="1" ht="19.5" customHeight="1">
      <c r="A27" s="3428"/>
      <c r="B27" s="3428"/>
      <c r="C27" s="1131" t="s">
        <v>1463</v>
      </c>
      <c r="D27" s="1132"/>
      <c r="E27" s="1154">
        <v>0.9</v>
      </c>
      <c r="F27" s="1133" t="s">
        <v>1464</v>
      </c>
      <c r="G27" s="1134"/>
      <c r="H27" s="1105"/>
      <c r="I27" s="1105"/>
    </row>
    <row r="28" spans="1:9" s="1600" customFormat="1" ht="19.5" customHeight="1">
      <c r="A28" s="3428"/>
      <c r="B28" s="3428"/>
      <c r="C28" s="1131" t="s">
        <v>1465</v>
      </c>
      <c r="D28" s="1132"/>
      <c r="E28" s="1154">
        <v>0.9</v>
      </c>
      <c r="F28" s="1133" t="s">
        <v>1466</v>
      </c>
      <c r="G28" s="1134"/>
      <c r="H28" s="1105"/>
      <c r="I28" s="1105"/>
    </row>
    <row r="29" spans="1:9" s="1600" customFormat="1" ht="19.5" customHeight="1">
      <c r="A29" s="3428"/>
      <c r="B29" s="3428"/>
      <c r="C29" s="1131" t="s">
        <v>1467</v>
      </c>
      <c r="D29" s="1132"/>
      <c r="E29" s="1154">
        <v>0.9</v>
      </c>
      <c r="F29" s="1133" t="s">
        <v>1468</v>
      </c>
      <c r="G29" s="1134"/>
      <c r="H29" s="1105"/>
      <c r="I29" s="1105"/>
    </row>
    <row r="30" spans="1:9" s="1600" customFormat="1" ht="19.5" customHeight="1">
      <c r="A30" s="3428"/>
      <c r="B30" s="3428"/>
      <c r="C30" s="1131" t="s">
        <v>1469</v>
      </c>
      <c r="D30" s="1132"/>
      <c r="E30" s="1154">
        <v>0.9</v>
      </c>
      <c r="F30" s="1133" t="s">
        <v>1470</v>
      </c>
      <c r="G30" s="1134"/>
      <c r="H30" s="1105"/>
      <c r="I30" s="1105"/>
    </row>
    <row r="31" spans="1:9" s="1600" customFormat="1" ht="19.5" customHeight="1">
      <c r="A31" s="3428"/>
      <c r="B31" s="3428"/>
      <c r="C31" s="1131" t="s">
        <v>1471</v>
      </c>
      <c r="D31" s="1132"/>
      <c r="E31" s="1154">
        <v>0.8</v>
      </c>
      <c r="F31" s="1133" t="s">
        <v>1472</v>
      </c>
      <c r="G31" s="1134"/>
      <c r="H31" s="1105"/>
      <c r="I31" s="1105"/>
    </row>
    <row r="32" spans="1:9" s="1600" customFormat="1" ht="19.5" customHeight="1">
      <c r="A32" s="3428"/>
      <c r="B32" s="3428"/>
      <c r="C32" s="1131" t="s">
        <v>1473</v>
      </c>
      <c r="D32" s="1132"/>
      <c r="E32" s="1154">
        <v>0.8</v>
      </c>
      <c r="F32" s="1133" t="s">
        <v>1474</v>
      </c>
      <c r="G32" s="1134"/>
      <c r="H32" s="1105"/>
      <c r="I32" s="1105"/>
    </row>
    <row r="33" spans="1:9" s="1600" customFormat="1" ht="19.5" customHeight="1">
      <c r="A33" s="3428" t="s">
        <v>1475</v>
      </c>
      <c r="B33" s="1154" t="s">
        <v>1447</v>
      </c>
      <c r="C33" s="1131" t="s">
        <v>1476</v>
      </c>
      <c r="D33" s="1132"/>
      <c r="E33" s="1154">
        <v>1</v>
      </c>
      <c r="F33" s="1133" t="s">
        <v>1477</v>
      </c>
      <c r="G33" s="1134"/>
      <c r="H33" s="1105"/>
      <c r="I33" s="1105"/>
    </row>
    <row r="34" spans="1:9" s="1600" customFormat="1" ht="19.5" customHeight="1">
      <c r="A34" s="3428"/>
      <c r="B34" s="1154" t="s">
        <v>1450</v>
      </c>
      <c r="C34" s="1131" t="s">
        <v>1478</v>
      </c>
      <c r="D34" s="1132"/>
      <c r="E34" s="1154">
        <v>1.5</v>
      </c>
      <c r="F34" s="1133" t="s">
        <v>1479</v>
      </c>
      <c r="G34" s="1134"/>
      <c r="H34" s="1105"/>
      <c r="I34" s="1105"/>
    </row>
    <row r="35" spans="1:9" s="1600" customFormat="1" ht="19.5" customHeight="1">
      <c r="A35" s="3428" t="s">
        <v>1433</v>
      </c>
      <c r="B35" s="1154" t="s">
        <v>1447</v>
      </c>
      <c r="C35" s="1131" t="s">
        <v>1480</v>
      </c>
      <c r="D35" s="1132"/>
      <c r="E35" s="1154">
        <v>1</v>
      </c>
      <c r="F35" s="1133" t="s">
        <v>1481</v>
      </c>
      <c r="G35" s="1134"/>
      <c r="H35" s="1105"/>
      <c r="I35" s="1105"/>
    </row>
    <row r="36" spans="1:9" s="1600" customFormat="1" ht="19.5" customHeight="1">
      <c r="A36" s="3428"/>
      <c r="B36" s="3428" t="s">
        <v>1450</v>
      </c>
      <c r="C36" s="1131" t="s">
        <v>1482</v>
      </c>
      <c r="D36" s="1132"/>
      <c r="E36" s="1154">
        <v>1</v>
      </c>
      <c r="F36" s="1133" t="s">
        <v>1483</v>
      </c>
      <c r="G36" s="1134"/>
      <c r="H36" s="1105"/>
      <c r="I36" s="1105"/>
    </row>
    <row r="37" spans="1:9" s="1600" customFormat="1" ht="19.5" customHeight="1">
      <c r="A37" s="3428"/>
      <c r="B37" s="3428"/>
      <c r="C37" s="1131" t="s">
        <v>1484</v>
      </c>
      <c r="D37" s="1132"/>
      <c r="E37" s="1154">
        <v>1.5</v>
      </c>
      <c r="F37" s="1133" t="s">
        <v>1485</v>
      </c>
      <c r="G37" s="1134"/>
      <c r="H37" s="1105"/>
      <c r="I37" s="1105"/>
    </row>
    <row r="38" spans="1:9" s="1600" customFormat="1" ht="19.5" customHeight="1">
      <c r="A38" s="3428"/>
      <c r="B38" s="3428"/>
      <c r="C38" s="1131" t="s">
        <v>1486</v>
      </c>
      <c r="D38" s="1132"/>
      <c r="E38" s="1154">
        <v>1</v>
      </c>
      <c r="F38" s="1133" t="s">
        <v>1487</v>
      </c>
      <c r="G38" s="1134"/>
      <c r="H38" s="1105"/>
      <c r="I38" s="1105"/>
    </row>
    <row r="39" spans="1:9" s="1600" customFormat="1" ht="19.5" customHeight="1">
      <c r="A39" s="3428"/>
      <c r="B39" s="3428"/>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8" t="s">
        <v>1502</v>
      </c>
      <c r="C61" s="1068" t="s">
        <v>1503</v>
      </c>
      <c r="D61" s="1068" t="s">
        <v>1504</v>
      </c>
      <c r="E61" s="1139">
        <v>0.5</v>
      </c>
      <c r="F61" s="1154">
        <v>80</v>
      </c>
      <c r="H61" s="1105">
        <f>SUMIF(C59:C119,基准地价!C8,E59:E119)</f>
        <v>0</v>
      </c>
    </row>
    <row r="62" spans="1:8" s="1105" customFormat="1" ht="24">
      <c r="A62" s="1154">
        <v>2</v>
      </c>
      <c r="B62" s="3428"/>
      <c r="C62" s="1068" t="s">
        <v>1505</v>
      </c>
      <c r="D62" s="1068" t="s">
        <v>1506</v>
      </c>
      <c r="E62" s="1139">
        <v>0.5</v>
      </c>
      <c r="F62" s="1154">
        <v>80</v>
      </c>
    </row>
    <row r="63" spans="1:8" s="1105" customFormat="1" ht="36">
      <c r="A63" s="1154">
        <v>3</v>
      </c>
      <c r="B63" s="3428"/>
      <c r="C63" s="1068" t="s">
        <v>1507</v>
      </c>
      <c r="D63" s="1068" t="s">
        <v>1508</v>
      </c>
      <c r="E63" s="1139">
        <v>0.5</v>
      </c>
      <c r="F63" s="1154">
        <v>80</v>
      </c>
    </row>
    <row r="64" spans="1:8" s="1105" customFormat="1" ht="36">
      <c r="A64" s="1154">
        <v>4</v>
      </c>
      <c r="B64" s="3428"/>
      <c r="C64" s="1068" t="s">
        <v>1509</v>
      </c>
      <c r="D64" s="1068" t="s">
        <v>1510</v>
      </c>
      <c r="E64" s="1139">
        <v>0.4</v>
      </c>
      <c r="F64" s="1154">
        <v>60</v>
      </c>
    </row>
    <row r="65" spans="1:6" s="1105" customFormat="1" ht="36">
      <c r="A65" s="1154">
        <v>5</v>
      </c>
      <c r="B65" s="3428"/>
      <c r="C65" s="1068" t="s">
        <v>1511</v>
      </c>
      <c r="D65" s="1068" t="s">
        <v>1512</v>
      </c>
      <c r="E65" s="1139">
        <v>0.2</v>
      </c>
      <c r="F65" s="1154">
        <v>30</v>
      </c>
    </row>
    <row r="66" spans="1:6" s="1105" customFormat="1" ht="36">
      <c r="A66" s="1154">
        <v>6</v>
      </c>
      <c r="B66" s="3428"/>
      <c r="C66" s="1068" t="s">
        <v>1513</v>
      </c>
      <c r="D66" s="1068" t="s">
        <v>1514</v>
      </c>
      <c r="E66" s="1139">
        <v>0.3</v>
      </c>
      <c r="F66" s="1154">
        <v>50</v>
      </c>
    </row>
    <row r="67" spans="1:6" s="1105" customFormat="1" ht="36">
      <c r="A67" s="1154">
        <v>7</v>
      </c>
      <c r="B67" s="3428"/>
      <c r="C67" s="1068" t="s">
        <v>1515</v>
      </c>
      <c r="D67" s="1068" t="s">
        <v>1516</v>
      </c>
      <c r="E67" s="1139">
        <v>0.2</v>
      </c>
      <c r="F67" s="1154">
        <v>30</v>
      </c>
    </row>
    <row r="68" spans="1:6" s="1105" customFormat="1" ht="36">
      <c r="A68" s="1154">
        <v>8</v>
      </c>
      <c r="B68" s="3428"/>
      <c r="C68" s="1068" t="s">
        <v>1517</v>
      </c>
      <c r="D68" s="1068" t="s">
        <v>1518</v>
      </c>
      <c r="E68" s="1139">
        <v>0.2</v>
      </c>
      <c r="F68" s="1154">
        <v>30</v>
      </c>
    </row>
    <row r="69" spans="1:6" s="1105" customFormat="1" ht="36">
      <c r="A69" s="1154">
        <v>9</v>
      </c>
      <c r="B69" s="3428"/>
      <c r="C69" s="1068" t="s">
        <v>1519</v>
      </c>
      <c r="D69" s="1068" t="s">
        <v>1520</v>
      </c>
      <c r="E69" s="1139">
        <v>0.2</v>
      </c>
      <c r="F69" s="1154">
        <v>30</v>
      </c>
    </row>
    <row r="70" spans="1:6" s="1105" customFormat="1" ht="48">
      <c r="A70" s="1154">
        <v>10</v>
      </c>
      <c r="B70" s="3428"/>
      <c r="C70" s="1068" t="s">
        <v>1521</v>
      </c>
      <c r="D70" s="1068" t="s">
        <v>1522</v>
      </c>
      <c r="E70" s="1139">
        <v>0.2</v>
      </c>
      <c r="F70" s="1154">
        <v>30</v>
      </c>
    </row>
    <row r="71" spans="1:6" s="1105" customFormat="1" ht="48">
      <c r="A71" s="1154">
        <v>11</v>
      </c>
      <c r="B71" s="3428"/>
      <c r="C71" s="1068" t="s">
        <v>1523</v>
      </c>
      <c r="D71" s="1068" t="s">
        <v>1524</v>
      </c>
      <c r="E71" s="1139">
        <v>0.2</v>
      </c>
      <c r="F71" s="1154">
        <v>30</v>
      </c>
    </row>
    <row r="72" spans="1:6" s="1105" customFormat="1" ht="36">
      <c r="A72" s="1154">
        <v>12</v>
      </c>
      <c r="B72" s="3428"/>
      <c r="C72" s="1068" t="s">
        <v>1525</v>
      </c>
      <c r="D72" s="1068" t="s">
        <v>1526</v>
      </c>
      <c r="E72" s="1139">
        <v>0.5</v>
      </c>
      <c r="F72" s="1154">
        <v>80</v>
      </c>
    </row>
    <row r="73" spans="1:6" s="1105" customFormat="1" ht="24">
      <c r="A73" s="1154">
        <v>13</v>
      </c>
      <c r="B73" s="3428"/>
      <c r="C73" s="1068" t="s">
        <v>1527</v>
      </c>
      <c r="D73" s="1068" t="s">
        <v>1528</v>
      </c>
      <c r="E73" s="1139">
        <v>0.4</v>
      </c>
      <c r="F73" s="1154">
        <v>60</v>
      </c>
    </row>
    <row r="74" spans="1:6" s="1105" customFormat="1" ht="24">
      <c r="A74" s="1154">
        <v>14</v>
      </c>
      <c r="B74" s="3428"/>
      <c r="C74" s="1068" t="s">
        <v>1529</v>
      </c>
      <c r="D74" s="1068" t="s">
        <v>1530</v>
      </c>
      <c r="E74" s="1139">
        <v>0.2</v>
      </c>
      <c r="F74" s="1154">
        <v>30</v>
      </c>
    </row>
    <row r="75" spans="1:6" s="1105" customFormat="1" ht="24">
      <c r="A75" s="1154">
        <v>15</v>
      </c>
      <c r="B75" s="3428"/>
      <c r="C75" s="1068" t="s">
        <v>1531</v>
      </c>
      <c r="D75" s="1068" t="s">
        <v>1532</v>
      </c>
      <c r="E75" s="1139">
        <v>0.2</v>
      </c>
      <c r="F75" s="1154">
        <v>30</v>
      </c>
    </row>
    <row r="76" spans="1:6" s="1105" customFormat="1" ht="24">
      <c r="A76" s="1154">
        <v>16</v>
      </c>
      <c r="B76" s="3428" t="s">
        <v>1533</v>
      </c>
      <c r="C76" s="1068" t="s">
        <v>1534</v>
      </c>
      <c r="D76" s="1068" t="s">
        <v>1535</v>
      </c>
      <c r="E76" s="1139">
        <v>0.5</v>
      </c>
      <c r="F76" s="1154">
        <v>80</v>
      </c>
    </row>
    <row r="77" spans="1:6" s="1105" customFormat="1" ht="24">
      <c r="A77" s="1154">
        <v>17</v>
      </c>
      <c r="B77" s="3428"/>
      <c r="C77" s="1068" t="s">
        <v>1536</v>
      </c>
      <c r="D77" s="1068" t="s">
        <v>1537</v>
      </c>
      <c r="E77" s="1139">
        <v>0.5</v>
      </c>
      <c r="F77" s="1154">
        <v>80</v>
      </c>
    </row>
    <row r="78" spans="1:6" s="1105" customFormat="1" ht="24">
      <c r="A78" s="1154">
        <v>18</v>
      </c>
      <c r="B78" s="3428"/>
      <c r="C78" s="1068" t="s">
        <v>1538</v>
      </c>
      <c r="D78" s="1068" t="s">
        <v>1539</v>
      </c>
      <c r="E78" s="1139">
        <v>0.2</v>
      </c>
      <c r="F78" s="1154">
        <v>30</v>
      </c>
    </row>
    <row r="79" spans="1:6" s="1105" customFormat="1" ht="24">
      <c r="A79" s="1154">
        <v>19</v>
      </c>
      <c r="B79" s="3428"/>
      <c r="C79" s="1068" t="s">
        <v>1540</v>
      </c>
      <c r="D79" s="1068" t="s">
        <v>1541</v>
      </c>
      <c r="E79" s="1139">
        <v>0.5</v>
      </c>
      <c r="F79" s="1154">
        <v>80</v>
      </c>
    </row>
    <row r="80" spans="1:6" s="1105" customFormat="1" ht="36">
      <c r="A80" s="1154">
        <v>20</v>
      </c>
      <c r="B80" s="3428"/>
      <c r="C80" s="1068" t="s">
        <v>1542</v>
      </c>
      <c r="D80" s="1068" t="s">
        <v>1543</v>
      </c>
      <c r="E80" s="1139">
        <v>0.2</v>
      </c>
      <c r="F80" s="1154">
        <v>30</v>
      </c>
    </row>
    <row r="81" spans="1:6" s="1105" customFormat="1" ht="36">
      <c r="A81" s="1154">
        <v>21</v>
      </c>
      <c r="B81" s="3428"/>
      <c r="C81" s="1068" t="s">
        <v>1544</v>
      </c>
      <c r="D81" s="1068" t="s">
        <v>1545</v>
      </c>
      <c r="E81" s="1139">
        <v>0.2</v>
      </c>
      <c r="F81" s="1154">
        <v>30</v>
      </c>
    </row>
    <row r="82" spans="1:6" s="1105" customFormat="1" ht="48">
      <c r="A82" s="1154">
        <v>22</v>
      </c>
      <c r="B82" s="3428"/>
      <c r="C82" s="1068" t="s">
        <v>1546</v>
      </c>
      <c r="D82" s="1068" t="s">
        <v>1547</v>
      </c>
      <c r="E82" s="1139">
        <v>0.2</v>
      </c>
      <c r="F82" s="1154">
        <v>30</v>
      </c>
    </row>
    <row r="83" spans="1:6" s="1105" customFormat="1" ht="48">
      <c r="A83" s="1154">
        <v>23</v>
      </c>
      <c r="B83" s="3428"/>
      <c r="C83" s="1068" t="s">
        <v>1548</v>
      </c>
      <c r="D83" s="1068" t="s">
        <v>1549</v>
      </c>
      <c r="E83" s="1139">
        <v>0.2</v>
      </c>
      <c r="F83" s="1154">
        <v>30</v>
      </c>
    </row>
    <row r="84" spans="1:6" s="1105" customFormat="1" ht="36">
      <c r="A84" s="1154">
        <v>24</v>
      </c>
      <c r="B84" s="3428"/>
      <c r="C84" s="1068" t="s">
        <v>1550</v>
      </c>
      <c r="D84" s="1068" t="s">
        <v>1551</v>
      </c>
      <c r="E84" s="1139">
        <v>0.2</v>
      </c>
      <c r="F84" s="1154">
        <v>30</v>
      </c>
    </row>
    <row r="85" spans="1:6" s="1105" customFormat="1" ht="36">
      <c r="A85" s="1154">
        <v>25</v>
      </c>
      <c r="B85" s="3428"/>
      <c r="C85" s="1068" t="s">
        <v>1552</v>
      </c>
      <c r="D85" s="1068" t="s">
        <v>1553</v>
      </c>
      <c r="E85" s="1139">
        <v>0.5</v>
      </c>
      <c r="F85" s="1154">
        <v>80</v>
      </c>
    </row>
    <row r="86" spans="1:6" s="1105" customFormat="1" ht="36">
      <c r="A86" s="1154">
        <v>26</v>
      </c>
      <c r="B86" s="3428"/>
      <c r="C86" s="1068" t="s">
        <v>1554</v>
      </c>
      <c r="D86" s="1068" t="s">
        <v>1555</v>
      </c>
      <c r="E86" s="1139">
        <v>0.2</v>
      </c>
      <c r="F86" s="1154">
        <v>30</v>
      </c>
    </row>
    <row r="87" spans="1:6" s="1105" customFormat="1" ht="36">
      <c r="A87" s="1154">
        <v>27</v>
      </c>
      <c r="B87" s="3428"/>
      <c r="C87" s="1068" t="s">
        <v>1556</v>
      </c>
      <c r="D87" s="1068" t="s">
        <v>1557</v>
      </c>
      <c r="E87" s="1139">
        <v>0.2</v>
      </c>
      <c r="F87" s="1154">
        <v>30</v>
      </c>
    </row>
    <row r="88" spans="1:6" s="1105" customFormat="1" ht="36">
      <c r="A88" s="1154">
        <v>28</v>
      </c>
      <c r="B88" s="3428"/>
      <c r="C88" s="1068" t="s">
        <v>1558</v>
      </c>
      <c r="D88" s="1068" t="s">
        <v>1559</v>
      </c>
      <c r="E88" s="1139">
        <v>0.2</v>
      </c>
      <c r="F88" s="1154">
        <v>30</v>
      </c>
    </row>
    <row r="89" spans="1:6" s="1105" customFormat="1" ht="24">
      <c r="A89" s="1154">
        <v>29</v>
      </c>
      <c r="B89" s="3428"/>
      <c r="C89" s="1068" t="s">
        <v>1560</v>
      </c>
      <c r="D89" s="1068" t="s">
        <v>1561</v>
      </c>
      <c r="E89" s="1139">
        <v>0.2</v>
      </c>
      <c r="F89" s="1154">
        <v>30</v>
      </c>
    </row>
    <row r="90" spans="1:6" s="1105" customFormat="1" ht="24">
      <c r="A90" s="1154">
        <v>30</v>
      </c>
      <c r="B90" s="3428"/>
      <c r="C90" s="1068" t="s">
        <v>1562</v>
      </c>
      <c r="D90" s="1068" t="s">
        <v>1563</v>
      </c>
      <c r="E90" s="1139">
        <v>0.2</v>
      </c>
      <c r="F90" s="1154">
        <v>30</v>
      </c>
    </row>
    <row r="91" spans="1:6" s="1105" customFormat="1" ht="36">
      <c r="A91" s="1154">
        <v>31</v>
      </c>
      <c r="B91" s="3428"/>
      <c r="C91" s="1068" t="s">
        <v>1564</v>
      </c>
      <c r="D91" s="1068" t="s">
        <v>1565</v>
      </c>
      <c r="E91" s="1139">
        <v>0.2</v>
      </c>
      <c r="F91" s="1154">
        <v>30</v>
      </c>
    </row>
    <row r="92" spans="1:6" s="1105" customFormat="1" ht="24">
      <c r="A92" s="1154">
        <v>32</v>
      </c>
      <c r="B92" s="3428" t="s">
        <v>1566</v>
      </c>
      <c r="C92" s="1154" t="s">
        <v>1567</v>
      </c>
      <c r="D92" s="1068" t="s">
        <v>1568</v>
      </c>
      <c r="E92" s="1139">
        <v>0.2</v>
      </c>
      <c r="F92" s="1154">
        <v>30</v>
      </c>
    </row>
    <row r="93" spans="1:6" s="1105" customFormat="1" ht="36">
      <c r="A93" s="1154">
        <v>33</v>
      </c>
      <c r="B93" s="3428"/>
      <c r="C93" s="1154" t="s">
        <v>1569</v>
      </c>
      <c r="D93" s="1068" t="s">
        <v>1570</v>
      </c>
      <c r="E93" s="1139">
        <v>0.2</v>
      </c>
      <c r="F93" s="1154">
        <v>30</v>
      </c>
    </row>
    <row r="94" spans="1:6" s="1105" customFormat="1" ht="48">
      <c r="A94" s="1154">
        <v>34</v>
      </c>
      <c r="B94" s="3428"/>
      <c r="C94" s="1154" t="s">
        <v>1571</v>
      </c>
      <c r="D94" s="1068" t="s">
        <v>1572</v>
      </c>
      <c r="E94" s="1139">
        <v>0.2</v>
      </c>
      <c r="F94" s="1154">
        <v>30</v>
      </c>
    </row>
    <row r="95" spans="1:6" s="1105" customFormat="1" ht="36">
      <c r="A95" s="1154">
        <v>35</v>
      </c>
      <c r="B95" s="3428"/>
      <c r="C95" s="1154" t="s">
        <v>1573</v>
      </c>
      <c r="D95" s="1068" t="s">
        <v>1574</v>
      </c>
      <c r="E95" s="1139">
        <v>0.2</v>
      </c>
      <c r="F95" s="1154">
        <v>30</v>
      </c>
    </row>
    <row r="96" spans="1:6" s="1105" customFormat="1" ht="48">
      <c r="A96" s="1154">
        <v>36</v>
      </c>
      <c r="B96" s="3428"/>
      <c r="C96" s="1068" t="s">
        <v>1575</v>
      </c>
      <c r="D96" s="1068" t="s">
        <v>1576</v>
      </c>
      <c r="E96" s="1139">
        <v>0.2</v>
      </c>
      <c r="F96" s="1154">
        <v>30</v>
      </c>
    </row>
    <row r="97" spans="1:6" s="1105" customFormat="1" ht="36">
      <c r="A97" s="1154">
        <v>37</v>
      </c>
      <c r="B97" s="3428"/>
      <c r="C97" s="1154" t="s">
        <v>1577</v>
      </c>
      <c r="D97" s="1068" t="s">
        <v>1578</v>
      </c>
      <c r="E97" s="1139">
        <v>0.2</v>
      </c>
      <c r="F97" s="1154">
        <v>30</v>
      </c>
    </row>
    <row r="98" spans="1:6" s="1105" customFormat="1" ht="36">
      <c r="A98" s="1154">
        <v>38</v>
      </c>
      <c r="B98" s="3428"/>
      <c r="C98" s="1154" t="s">
        <v>1579</v>
      </c>
      <c r="D98" s="1068" t="s">
        <v>1580</v>
      </c>
      <c r="E98" s="1139">
        <v>0.2</v>
      </c>
      <c r="F98" s="1154">
        <v>30</v>
      </c>
    </row>
    <row r="99" spans="1:6" s="1105" customFormat="1" ht="36">
      <c r="A99" s="1154">
        <v>39</v>
      </c>
      <c r="B99" s="3428" t="s">
        <v>1581</v>
      </c>
      <c r="C99" s="1154" t="s">
        <v>1582</v>
      </c>
      <c r="D99" s="1068" t="s">
        <v>1583</v>
      </c>
      <c r="E99" s="1139">
        <v>0.3</v>
      </c>
      <c r="F99" s="1154">
        <v>50</v>
      </c>
    </row>
    <row r="100" spans="1:6" s="1105" customFormat="1" ht="24">
      <c r="A100" s="1154">
        <v>40</v>
      </c>
      <c r="B100" s="3428"/>
      <c r="C100" s="1154" t="s">
        <v>1584</v>
      </c>
      <c r="D100" s="1068" t="s">
        <v>1585</v>
      </c>
      <c r="E100" s="1139">
        <v>0.2</v>
      </c>
      <c r="F100" s="1154">
        <v>30</v>
      </c>
    </row>
    <row r="101" spans="1:6" s="1105" customFormat="1" ht="36">
      <c r="A101" s="1154">
        <v>41</v>
      </c>
      <c r="B101" s="3428"/>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8" t="s">
        <v>1596</v>
      </c>
      <c r="C105" s="1154" t="s">
        <v>1597</v>
      </c>
      <c r="D105" s="1068" t="s">
        <v>1598</v>
      </c>
      <c r="E105" s="1139">
        <v>0.2</v>
      </c>
      <c r="F105" s="1154">
        <v>30</v>
      </c>
    </row>
    <row r="106" spans="1:6" s="1105" customFormat="1" ht="36">
      <c r="A106" s="1154">
        <v>46</v>
      </c>
      <c r="B106" s="3428"/>
      <c r="C106" s="1154" t="s">
        <v>1599</v>
      </c>
      <c r="D106" s="1068" t="s">
        <v>1600</v>
      </c>
      <c r="E106" s="1139">
        <v>0.2</v>
      </c>
      <c r="F106" s="1154">
        <v>30</v>
      </c>
    </row>
    <row r="107" spans="1:6" s="1105" customFormat="1" ht="36">
      <c r="A107" s="1154">
        <v>47</v>
      </c>
      <c r="B107" s="3428" t="s">
        <v>1601</v>
      </c>
      <c r="C107" s="1154" t="s">
        <v>1602</v>
      </c>
      <c r="D107" s="1068" t="s">
        <v>1603</v>
      </c>
      <c r="E107" s="1139">
        <v>0.3</v>
      </c>
      <c r="F107" s="1154">
        <v>50</v>
      </c>
    </row>
    <row r="108" spans="1:6" s="1105" customFormat="1" ht="36">
      <c r="A108" s="1154">
        <v>48</v>
      </c>
      <c r="B108" s="3428"/>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8" t="s">
        <v>1612</v>
      </c>
      <c r="C111" s="1154" t="s">
        <v>1613</v>
      </c>
      <c r="D111" s="1068" t="s">
        <v>1614</v>
      </c>
      <c r="E111" s="1139">
        <v>0.2</v>
      </c>
      <c r="F111" s="1154">
        <v>30</v>
      </c>
    </row>
    <row r="112" spans="1:6" s="1105" customFormat="1" ht="24">
      <c r="A112" s="1154">
        <v>52</v>
      </c>
      <c r="B112" s="3428"/>
      <c r="C112" s="1154" t="s">
        <v>1615</v>
      </c>
      <c r="D112" s="1068" t="s">
        <v>1616</v>
      </c>
      <c r="E112" s="1139">
        <v>0.2</v>
      </c>
      <c r="F112" s="1154">
        <v>30</v>
      </c>
    </row>
    <row r="113" spans="1:14" s="1105" customFormat="1" ht="24">
      <c r="A113" s="1154">
        <v>53</v>
      </c>
      <c r="B113" s="3428"/>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8" t="s">
        <v>1625</v>
      </c>
      <c r="C116" s="1154" t="s">
        <v>1626</v>
      </c>
      <c r="D116" s="1068" t="s">
        <v>1627</v>
      </c>
      <c r="E116" s="1139">
        <v>0.2</v>
      </c>
      <c r="F116" s="1154">
        <v>30</v>
      </c>
    </row>
    <row r="117" spans="1:14" ht="36">
      <c r="A117" s="1154">
        <v>57</v>
      </c>
      <c r="B117" s="3428"/>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7" t="s">
        <v>1634</v>
      </c>
      <c r="B121" s="3427"/>
      <c r="C121" s="3427"/>
      <c r="D121" s="3427"/>
      <c r="E121" s="3427"/>
      <c r="F121" s="3427"/>
      <c r="G121" s="3427"/>
      <c r="H121" s="3427"/>
      <c r="I121" s="3427"/>
      <c r="J121" s="342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2" t="s">
        <v>1040</v>
      </c>
      <c r="B1" s="3432"/>
      <c r="C1" s="3432"/>
      <c r="D1" s="3432"/>
      <c r="E1" s="3432"/>
      <c r="F1" s="3432"/>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3" t="s">
        <v>1053</v>
      </c>
      <c r="B2" s="3433"/>
      <c r="C2" s="3433"/>
      <c r="D2" s="3433"/>
      <c r="E2" s="3433"/>
      <c r="F2" s="3433"/>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4"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35"/>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36" t="s">
        <v>2080</v>
      </c>
      <c r="B1" s="3436"/>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2953</v>
      </c>
      <c r="B1" s="3081"/>
      <c r="C1" s="3081"/>
      <c r="D1" s="3081"/>
      <c r="E1" s="3081"/>
      <c r="F1" s="3081"/>
    </row>
    <row r="2" spans="1:6" ht="14.25">
      <c r="A2" s="3082" t="s">
        <v>2948</v>
      </c>
      <c r="B2" s="3083" t="e">
        <f ca="1">SUMIF(B7:B14,"&lt;&gt;#ref!",B7:B14)</f>
        <v>#DIV/0!</v>
      </c>
      <c r="C2" s="3082" t="s">
        <v>2949</v>
      </c>
      <c r="D2" s="3081"/>
      <c r="E2" s="3081"/>
      <c r="F2" s="3081"/>
    </row>
    <row r="3" spans="1:6" ht="14.25">
      <c r="A3" s="3082" t="s">
        <v>2981</v>
      </c>
      <c r="B3" s="3083" t="e">
        <f ca="1">ROUND(B2*10000/E3,0)</f>
        <v>#DIV/0!</v>
      </c>
      <c r="C3" s="3082" t="s">
        <v>2079</v>
      </c>
      <c r="D3" s="3082" t="s">
        <v>2950</v>
      </c>
      <c r="E3" s="3083">
        <f ca="1">SUMIF(E7:E14,"&lt;&gt;#ref!",E7:E14)</f>
        <v>0</v>
      </c>
      <c r="F3" s="3081"/>
    </row>
    <row r="4" spans="1:6" ht="14.25">
      <c r="A4" s="3082" t="s">
        <v>2957</v>
      </c>
      <c r="B4" s="3083" t="e">
        <f ca="1">ROUND(B2*10000/E4,0)</f>
        <v>#DIV/0!</v>
      </c>
      <c r="C4" s="3082" t="s">
        <v>2079</v>
      </c>
      <c r="D4" s="3082" t="s">
        <v>2958</v>
      </c>
      <c r="E4" s="3083">
        <f ca="1">SUMIF(F7:F14,"&lt;&gt;#ref!",F7:F14)</f>
        <v>0</v>
      </c>
      <c r="F4" s="3081"/>
    </row>
    <row r="5" spans="1:6" ht="14.25">
      <c r="A5" s="3084"/>
      <c r="B5" s="1882"/>
      <c r="C5" s="1882"/>
      <c r="D5" s="1882"/>
      <c r="E5" s="1882"/>
      <c r="F5" s="3081"/>
    </row>
    <row r="6" spans="1:6" ht="28.5">
      <c r="A6" s="3085" t="s">
        <v>2954</v>
      </c>
      <c r="B6" s="3082" t="s">
        <v>2951</v>
      </c>
      <c r="C6" s="3083"/>
      <c r="D6" s="1882"/>
      <c r="E6" s="3082" t="s">
        <v>2952</v>
      </c>
      <c r="F6" s="3082" t="s">
        <v>2956</v>
      </c>
    </row>
    <row r="7" spans="1:6" ht="14.25">
      <c r="A7" s="260" t="s">
        <v>2955</v>
      </c>
      <c r="B7" s="3086" t="e">
        <f ca="1">SUMIF(INDIRECT("'"&amp;A7&amp;"'"&amp;"!A:A"),"总价",INDIRECT("'"&amp;A7&amp;"'"&amp;"!B:B"))</f>
        <v>#DIV/0!</v>
      </c>
      <c r="C7" s="3082" t="s">
        <v>2949</v>
      </c>
      <c r="D7" s="1882"/>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2949</v>
      </c>
      <c r="D8" s="1882"/>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2949</v>
      </c>
      <c r="D9" s="1882"/>
      <c r="E9" s="3087" t="e">
        <f t="shared" ca="1" si="1"/>
        <v>#REF!</v>
      </c>
      <c r="F9" s="3087" t="e">
        <f t="shared" ca="1" si="2"/>
        <v>#REF!</v>
      </c>
    </row>
    <row r="10" spans="1:6" ht="14.25">
      <c r="A10" s="260"/>
      <c r="B10" s="3086" t="e">
        <f t="shared" ca="1" si="0"/>
        <v>#REF!</v>
      </c>
      <c r="C10" s="3082" t="s">
        <v>2949</v>
      </c>
      <c r="D10" s="1882"/>
      <c r="E10" s="3087" t="e">
        <f t="shared" ca="1" si="1"/>
        <v>#REF!</v>
      </c>
      <c r="F10" s="3087" t="e">
        <f t="shared" ca="1" si="2"/>
        <v>#REF!</v>
      </c>
    </row>
    <row r="11" spans="1:6" ht="14.25">
      <c r="A11" s="260"/>
      <c r="B11" s="3086" t="e">
        <f t="shared" ca="1" si="0"/>
        <v>#REF!</v>
      </c>
      <c r="C11" s="3082" t="s">
        <v>2949</v>
      </c>
      <c r="D11" s="1882"/>
      <c r="E11" s="3087" t="e">
        <f t="shared" ca="1" si="1"/>
        <v>#REF!</v>
      </c>
      <c r="F11" s="3087" t="e">
        <f t="shared" ca="1" si="2"/>
        <v>#REF!</v>
      </c>
    </row>
    <row r="12" spans="1:6" ht="14.25">
      <c r="A12" s="260"/>
      <c r="B12" s="3086" t="e">
        <f t="shared" ca="1" si="0"/>
        <v>#REF!</v>
      </c>
      <c r="C12" s="3082" t="s">
        <v>2949</v>
      </c>
      <c r="D12" s="1882"/>
      <c r="E12" s="3087" t="e">
        <f t="shared" ca="1" si="1"/>
        <v>#REF!</v>
      </c>
      <c r="F12" s="3087" t="e">
        <f t="shared" ca="1" si="2"/>
        <v>#REF!</v>
      </c>
    </row>
    <row r="13" spans="1:6" ht="14.25">
      <c r="A13" s="260"/>
      <c r="B13" s="3086" t="e">
        <f t="shared" ca="1" si="0"/>
        <v>#REF!</v>
      </c>
      <c r="C13" s="3082" t="s">
        <v>2949</v>
      </c>
      <c r="D13" s="1882"/>
      <c r="E13" s="3087" t="e">
        <f t="shared" ca="1" si="1"/>
        <v>#REF!</v>
      </c>
      <c r="F13" s="3087" t="e">
        <f t="shared" ca="1" si="2"/>
        <v>#REF!</v>
      </c>
    </row>
    <row r="14" spans="1:6" ht="14.25">
      <c r="A14" s="3080"/>
      <c r="B14" s="3086" t="e">
        <f t="shared" ca="1" si="0"/>
        <v>#REF!</v>
      </c>
      <c r="C14" s="3082" t="s">
        <v>2949</v>
      </c>
      <c r="D14" s="1882"/>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-2</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38" t="s">
        <v>2464</v>
      </c>
      <c r="C8" s="1826">
        <f ca="1">ROUND(F8*F10*F9*(1-F11)/10000,0)</f>
        <v>0</v>
      </c>
      <c r="D8" s="1823" t="s">
        <v>2535</v>
      </c>
      <c r="E8" s="61" t="s">
        <v>637</v>
      </c>
      <c r="F8" s="785">
        <f ca="1">INDIRECT("'数据-取费表'!u"&amp;$G$1)</f>
        <v>0</v>
      </c>
      <c r="G8" s="1593"/>
      <c r="H8" s="2484" t="s">
        <v>1825</v>
      </c>
      <c r="I8" s="3438" t="s">
        <v>2464</v>
      </c>
      <c r="J8" s="783">
        <f ca="1">ROUND(M8*M10*M9*(1-M11)/10000,0)</f>
        <v>0</v>
      </c>
      <c r="K8" s="341" t="s">
        <v>2535</v>
      </c>
      <c r="L8" s="784" t="s">
        <v>1739</v>
      </c>
      <c r="M8" s="785">
        <f ca="1">INDIRECT("'数据-取费表'!z"&amp;$G$1)</f>
        <v>0</v>
      </c>
    </row>
    <row r="9" spans="1:25" ht="18" customHeight="1">
      <c r="A9" s="2480"/>
      <c r="B9" s="3439"/>
      <c r="C9" s="1827"/>
      <c r="D9" s="1824"/>
      <c r="E9" s="61" t="s">
        <v>638</v>
      </c>
      <c r="F9" s="785">
        <f ca="1">IF(INDIRECT("'数据-取费表'!ah"&amp;$G$1)="",INDIRECT("'数据-取费表'!k"&amp;$G$1),INDIRECT("'数据-取费表'!ah"&amp;$G$1))</f>
        <v>0</v>
      </c>
      <c r="G9" s="1593"/>
      <c r="H9" s="2469"/>
      <c r="I9" s="3439"/>
      <c r="J9" s="788"/>
      <c r="K9" s="789"/>
      <c r="L9" s="784" t="s">
        <v>1740</v>
      </c>
      <c r="M9" s="785">
        <f ca="1">F9</f>
        <v>0</v>
      </c>
    </row>
    <row r="10" spans="1:25" ht="18" customHeight="1">
      <c r="A10" s="2473"/>
      <c r="B10" s="3440"/>
      <c r="C10" s="1827"/>
      <c r="D10" s="1824"/>
      <c r="E10" s="61" t="s">
        <v>639</v>
      </c>
      <c r="F10" s="785">
        <f ca="1">INDIRECT("'数据-取费表'!ai"&amp;$G$1)</f>
        <v>0</v>
      </c>
      <c r="G10" s="1593"/>
      <c r="H10" s="2469"/>
      <c r="I10" s="3440"/>
      <c r="J10" s="788"/>
      <c r="K10" s="789"/>
      <c r="L10" s="784" t="s">
        <v>1741</v>
      </c>
      <c r="M10" s="785">
        <f ca="1">INDIRECT("'数据-取费表'!ai"&amp;$G$1)</f>
        <v>0</v>
      </c>
    </row>
    <row r="11" spans="1:25" ht="18" customHeight="1">
      <c r="A11" s="786"/>
      <c r="B11" s="3441"/>
      <c r="C11" s="1827"/>
      <c r="D11" s="1824"/>
      <c r="E11" s="61" t="s">
        <v>640</v>
      </c>
      <c r="F11" s="794">
        <f ca="1">INDIRECT("'数据-取费表'!w"&amp;$G$1)</f>
        <v>0</v>
      </c>
      <c r="G11" s="1593"/>
      <c r="H11" s="2485"/>
      <c r="I11" s="3440"/>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2978</v>
      </c>
      <c r="E12" s="2478" t="s">
        <v>2465</v>
      </c>
      <c r="F12" s="2601"/>
      <c r="G12" s="1593"/>
      <c r="H12" s="2541" t="s">
        <v>1826</v>
      </c>
      <c r="I12" s="2546" t="s">
        <v>2460</v>
      </c>
      <c r="J12" s="783">
        <f ca="1">ROUND(IF(M12="押一",J8/12*M13,IF(M12="押二",J8/12*2*M13,IF(M12="押三",J8/12*3*M13,J13*M13))),0)</f>
        <v>0</v>
      </c>
      <c r="K12" s="2481" t="s">
        <v>2978</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2825</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6" t="s">
        <v>2822</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2823</v>
      </c>
      <c r="C31" s="2524">
        <f ca="1">ROUND((C21+C22+C25+C28)/(1-F23-C26-C29-C30),0)</f>
        <v>0</v>
      </c>
      <c r="D31" s="2525"/>
      <c r="E31" s="2526"/>
      <c r="F31" s="2527"/>
      <c r="G31" s="1594"/>
      <c r="H31" s="823" t="s">
        <v>1873</v>
      </c>
      <c r="I31" s="2987" t="s">
        <v>2824</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15</v>
      </c>
      <c r="G36" s="2063"/>
      <c r="H36" s="2066"/>
      <c r="I36" s="3437"/>
      <c r="J36" s="2080"/>
      <c r="K36" s="2081"/>
      <c r="L36" s="2080"/>
      <c r="M36" s="2080"/>
    </row>
    <row r="37" spans="1:18" ht="18" customHeight="1">
      <c r="A37" s="815"/>
      <c r="B37" s="793"/>
      <c r="C37" s="69"/>
      <c r="D37" s="816"/>
      <c r="E37" s="784" t="s">
        <v>674</v>
      </c>
      <c r="F37" s="785">
        <f ca="1">INDIRECT("'数据-取费表'!r"&amp;$G$1)</f>
        <v>0</v>
      </c>
      <c r="G37" s="2063"/>
      <c r="H37" s="2066"/>
      <c r="I37" s="3437"/>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8" t="s">
        <v>2966</v>
      </c>
      <c r="F43" s="3099">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3">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0"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3" t="str">
        <f ca="1">IF(M48="住宅",0,IF(L49&gt;J52,L61,J61))</f>
        <v>0</v>
      </c>
      <c r="O47" s="2374" t="s">
        <v>2411</v>
      </c>
      <c r="P47" s="1593"/>
      <c r="Q47" s="1605"/>
      <c r="R47" s="1593"/>
    </row>
    <row r="48" spans="1:18" s="2060" customFormat="1" ht="18" customHeight="1" thickBot="1">
      <c r="A48" s="2085"/>
      <c r="C48" s="2088"/>
      <c r="D48" s="2089"/>
      <c r="E48" s="2089"/>
      <c r="F48" s="2090"/>
      <c r="G48" s="2091"/>
      <c r="I48" s="3123" t="s">
        <v>2345</v>
      </c>
      <c r="J48" s="2361"/>
      <c r="K48" s="3130" t="s">
        <v>2350</v>
      </c>
      <c r="L48" s="3134">
        <f ca="1">INDIRECT("'数据-取费表'!d"&amp;$G$1)</f>
        <v>0</v>
      </c>
      <c r="M48" s="3097"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2" t="s">
        <v>2346</v>
      </c>
      <c r="J49" s="2362"/>
      <c r="K49" s="3131"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2" t="s">
        <v>2347</v>
      </c>
      <c r="J50" s="2363"/>
      <c r="K50" s="3132"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2" t="s">
        <v>2348</v>
      </c>
      <c r="J51" s="3127">
        <f>SUMPRODUCT((I64:I66=J48)*(J63:L63=J49)*(J64:L66))</f>
        <v>0</v>
      </c>
      <c r="K51" s="3132" t="s">
        <v>2354</v>
      </c>
      <c r="L51" s="2364"/>
      <c r="O51" s="2381" t="s">
        <v>2384</v>
      </c>
      <c r="P51" s="2379" t="s">
        <v>2408</v>
      </c>
      <c r="Q51" s="2380">
        <f ca="1">C31</f>
        <v>0</v>
      </c>
      <c r="R51" s="2379" t="s">
        <v>2381</v>
      </c>
    </row>
    <row r="52" spans="1:18" s="2060" customFormat="1" ht="18" customHeight="1" thickBot="1">
      <c r="A52" s="2097"/>
      <c r="F52" s="2086"/>
      <c r="I52" s="3124" t="s">
        <v>2349</v>
      </c>
      <c r="J52" s="3128">
        <f>IF(J50="",J51,J50+J51-YEAR('数据-取费表'!B3))</f>
        <v>0</v>
      </c>
      <c r="K52" s="3102" t="s">
        <v>2355</v>
      </c>
      <c r="L52" s="3135">
        <f ca="1">ROUND(-PV(INDIRECT("'数据-取费表'!h"&amp;$G$1),L49,(C40-C14*J36),0),0)</f>
        <v>0</v>
      </c>
      <c r="O52" s="2381" t="s">
        <v>2385</v>
      </c>
      <c r="P52" s="2379" t="s">
        <v>2386</v>
      </c>
      <c r="Q52" s="2382" t="e">
        <f ca="1">J59</f>
        <v>#VALUE!</v>
      </c>
      <c r="R52" s="2383"/>
    </row>
    <row r="53" spans="1:18" s="2060" customFormat="1" ht="18" customHeight="1" thickBot="1">
      <c r="A53" s="2097"/>
      <c r="F53" s="2086"/>
      <c r="I53" s="3125" t="s">
        <v>2422</v>
      </c>
      <c r="J53" s="2365"/>
      <c r="K53" s="3125" t="s">
        <v>2421</v>
      </c>
      <c r="L53" s="2365"/>
      <c r="O53" s="2381" t="s">
        <v>2387</v>
      </c>
      <c r="P53" s="2379" t="s">
        <v>2388</v>
      </c>
      <c r="Q53" s="2382">
        <f>J53</f>
        <v>0</v>
      </c>
      <c r="R53" s="2383"/>
    </row>
    <row r="54" spans="1:18" s="2060" customFormat="1" ht="29.25" thickBot="1">
      <c r="A54" s="2097"/>
      <c r="I54" s="3126" t="s">
        <v>2982</v>
      </c>
      <c r="J54" s="3129">
        <f ca="1">IF(M48="住宅",MAX(J52,L49-'数据-取费表'!B20),MIN(J52,L49-'数据-取费表'!B20))</f>
        <v>-2</v>
      </c>
      <c r="K54" s="3442"/>
      <c r="L54" s="3443"/>
      <c r="O54" s="2381" t="s">
        <v>2389</v>
      </c>
      <c r="P54" s="2379" t="s">
        <v>2390</v>
      </c>
      <c r="Q54" s="2380">
        <f ca="1">J54</f>
        <v>-2</v>
      </c>
      <c r="R54" s="2379" t="s">
        <v>2391</v>
      </c>
    </row>
    <row r="55" spans="1:18" s="2060" customFormat="1" ht="18" customHeight="1" thickBot="1">
      <c r="A55" s="2097"/>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8" t="s">
        <v>2392</v>
      </c>
      <c r="P55" s="2379" t="s">
        <v>2409</v>
      </c>
      <c r="Q55" s="2380">
        <f ca="1">Q49+Q50</f>
        <v>0</v>
      </c>
      <c r="R55" s="2383" t="s">
        <v>2393</v>
      </c>
    </row>
    <row r="56" spans="1:18" s="2060" customFormat="1" ht="16.5" thickBot="1">
      <c r="A56" s="2097"/>
      <c r="B56" s="2098"/>
      <c r="C56" s="2098"/>
      <c r="I56" s="3138" t="s">
        <v>2356</v>
      </c>
      <c r="J56" s="3077" t="e">
        <f ca="1">ROUND(IF(J48="钢混",J58/J51,1-(1-2%)*(J51-J58)/J51),3)</f>
        <v>#VALUE!</v>
      </c>
      <c r="K56" s="3139" t="s">
        <v>2357</v>
      </c>
      <c r="L56" s="2366"/>
      <c r="O56" s="2384" t="s">
        <v>2412</v>
      </c>
      <c r="P56" s="1593"/>
      <c r="Q56" s="1605"/>
      <c r="R56" s="1593"/>
    </row>
    <row r="57" spans="1:18" s="2060" customFormat="1" ht="43.5" thickBot="1">
      <c r="A57" s="2097"/>
      <c r="B57" s="2098"/>
      <c r="C57" s="2098"/>
      <c r="I57" s="3140" t="s">
        <v>2358</v>
      </c>
      <c r="J57" s="3150" t="s">
        <v>1679</v>
      </c>
      <c r="K57" s="3102" t="s">
        <v>2363</v>
      </c>
      <c r="L57" s="1909">
        <f ca="1">IF(L49&lt;J52,"——",L49-J52)</f>
        <v>0</v>
      </c>
      <c r="O57" s="2375" t="s">
        <v>2376</v>
      </c>
      <c r="P57" s="2376" t="s">
        <v>2377</v>
      </c>
      <c r="Q57" s="2377" t="s">
        <v>2378</v>
      </c>
      <c r="R57" s="2376" t="s">
        <v>2379</v>
      </c>
    </row>
    <row r="58" spans="1:18" s="2060" customFormat="1" ht="29.25" thickBot="1">
      <c r="A58" s="2097"/>
      <c r="B58" s="2098"/>
      <c r="C58" s="2098"/>
      <c r="I58" s="3141" t="s">
        <v>2359</v>
      </c>
      <c r="J58" s="3142" t="str">
        <f ca="1">IF(OR(M48="住宅",J52&lt;L49,J57="是"),"——",J52-L49)</f>
        <v>——</v>
      </c>
      <c r="K58" s="3102"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1" t="s">
        <v>2360</v>
      </c>
      <c r="J59" s="3078" t="e">
        <f ca="1">IF(J56&lt;0.4,0.4,J56)</f>
        <v>#VALUE!</v>
      </c>
      <c r="K59" s="3102"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1" t="s">
        <v>2361</v>
      </c>
      <c r="J60" s="3142" t="str">
        <f ca="1">IF(OR(M48="住宅",J52&lt;L49,J57="是"),"——",ROUND(C30*J59,0))</f>
        <v>——</v>
      </c>
      <c r="K60" s="3102"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3" t="s">
        <v>2362</v>
      </c>
      <c r="J61" s="3144" t="str">
        <f ca="1">IF(OR(M48="住宅",J52&lt;L49,J57="是"),"0",ROUND(J60/(1+J53)^J54,0))</f>
        <v>0</v>
      </c>
      <c r="K61" s="3145" t="s">
        <v>2367</v>
      </c>
      <c r="L61" s="3144"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6" t="s">
        <v>2368</v>
      </c>
      <c r="J63" s="3147" t="s">
        <v>2369</v>
      </c>
      <c r="K63" s="3147" t="s">
        <v>2370</v>
      </c>
      <c r="L63" s="3147" t="s">
        <v>2351</v>
      </c>
      <c r="M63" s="3148" t="s">
        <v>2946</v>
      </c>
      <c r="O63" s="2381" t="s">
        <v>2389</v>
      </c>
      <c r="P63" s="2379" t="s">
        <v>2397</v>
      </c>
      <c r="Q63" s="2380">
        <f ca="1">L60</f>
        <v>0</v>
      </c>
      <c r="R63" s="2383" t="s">
        <v>2398</v>
      </c>
    </row>
    <row r="64" spans="1:18" s="2060" customFormat="1" ht="15.75" thickBot="1">
      <c r="A64" s="2097"/>
      <c r="B64" s="2098"/>
      <c r="C64" s="2098"/>
      <c r="I64" s="3146" t="s">
        <v>2371</v>
      </c>
      <c r="J64" s="3147">
        <v>70</v>
      </c>
      <c r="K64" s="3147">
        <v>50</v>
      </c>
      <c r="L64" s="3147">
        <v>80</v>
      </c>
      <c r="M64" s="3149">
        <v>0.02</v>
      </c>
      <c r="O64" s="2378" t="s">
        <v>2392</v>
      </c>
      <c r="P64" s="2379" t="s">
        <v>2409</v>
      </c>
      <c r="Q64" s="2380" t="e">
        <f ca="1">Q58+Q59</f>
        <v>#DIV/0!</v>
      </c>
      <c r="R64" s="2383" t="s">
        <v>2393</v>
      </c>
    </row>
    <row r="65" spans="1:18" s="2060" customFormat="1" ht="16.5" thickBot="1">
      <c r="A65" s="2097"/>
      <c r="B65" s="2098"/>
      <c r="C65" s="2098"/>
      <c r="I65" s="3146" t="s">
        <v>2372</v>
      </c>
      <c r="J65" s="3147">
        <v>50</v>
      </c>
      <c r="K65" s="3147">
        <v>35</v>
      </c>
      <c r="L65" s="3147">
        <v>60</v>
      </c>
      <c r="M65" s="846">
        <v>0</v>
      </c>
      <c r="O65" s="2384" t="s">
        <v>2416</v>
      </c>
      <c r="P65" s="1593"/>
      <c r="Q65" s="1605"/>
      <c r="R65" s="1593"/>
    </row>
    <row r="66" spans="1:18" s="2060" customFormat="1" ht="15.75" thickBot="1">
      <c r="A66" s="2097"/>
      <c r="B66" s="2098"/>
      <c r="C66" s="2098"/>
      <c r="I66" s="3146" t="s">
        <v>2373</v>
      </c>
      <c r="J66" s="3147">
        <v>40</v>
      </c>
      <c r="K66" s="3147">
        <v>30</v>
      </c>
      <c r="L66" s="3147">
        <v>50</v>
      </c>
      <c r="M66" s="3149">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51" t="s">
        <v>2577</v>
      </c>
      <c r="C1" s="3451"/>
      <c r="D1" s="3451"/>
      <c r="E1" s="3451"/>
      <c r="F1" s="3451"/>
      <c r="G1" s="3450" t="s">
        <v>2578</v>
      </c>
      <c r="H1" s="3450"/>
      <c r="I1" s="3450"/>
      <c r="J1" s="3450"/>
      <c r="K1" s="3450"/>
      <c r="L1" s="3450"/>
      <c r="N1" s="3450" t="s">
        <v>2579</v>
      </c>
      <c r="O1" s="3450"/>
      <c r="P1" s="3450"/>
      <c r="Q1" s="3450"/>
      <c r="R1" s="2634"/>
      <c r="S1" s="3450" t="s">
        <v>2580</v>
      </c>
      <c r="T1" s="3450"/>
      <c r="U1" s="3450"/>
      <c r="V1" s="3450"/>
      <c r="X1" s="3449" t="s">
        <v>2640</v>
      </c>
      <c r="Y1" s="3450"/>
      <c r="Z1" s="3450"/>
      <c r="AA1" s="3450"/>
      <c r="AB1" s="3450"/>
      <c r="AD1" s="3449" t="s">
        <v>2644</v>
      </c>
      <c r="AE1" s="3450"/>
      <c r="AF1" s="3450"/>
      <c r="AG1" s="3450"/>
      <c r="AH1" s="3450"/>
    </row>
    <row r="2" spans="1:34" s="2735" customFormat="1" ht="14.25" thickBot="1">
      <c r="B2" s="2743" t="s">
        <v>2581</v>
      </c>
      <c r="C2" s="2743" t="s">
        <v>2642</v>
      </c>
      <c r="D2" s="2736" t="s">
        <v>1645</v>
      </c>
      <c r="E2" s="2736" t="s">
        <v>1950</v>
      </c>
      <c r="F2" s="2743" t="s">
        <v>2643</v>
      </c>
      <c r="G2" s="2739"/>
      <c r="H2" s="2738"/>
      <c r="I2" s="2743" t="s">
        <v>2960</v>
      </c>
      <c r="J2" s="2736" t="s">
        <v>2962</v>
      </c>
      <c r="K2" s="2736" t="s">
        <v>2963</v>
      </c>
      <c r="L2" s="2743" t="s">
        <v>2964</v>
      </c>
      <c r="N2" s="2743" t="s">
        <v>2581</v>
      </c>
      <c r="O2" s="2736" t="s">
        <v>2961</v>
      </c>
      <c r="P2" s="2736" t="s">
        <v>1950</v>
      </c>
      <c r="Q2" s="2743" t="s">
        <v>2643</v>
      </c>
      <c r="R2" s="2737"/>
      <c r="S2" s="2743" t="s">
        <v>2581</v>
      </c>
      <c r="T2" s="2736" t="s">
        <v>2961</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7" customFormat="1" ht="14.25">
      <c r="A3" s="3119" t="s">
        <v>2973</v>
      </c>
      <c r="B3" s="3108"/>
      <c r="C3" s="3108"/>
      <c r="D3" s="3109"/>
      <c r="E3" s="3109"/>
      <c r="F3" s="3108"/>
      <c r="G3" s="3110"/>
      <c r="H3" s="3111"/>
      <c r="I3" s="3118">
        <f>ROUND(AVERAGE($I4:$I25),2)</f>
        <v>2.13</v>
      </c>
      <c r="J3" s="3118">
        <f>ROUND(AVERAGE($J4:$J25),2)</f>
        <v>1.51</v>
      </c>
      <c r="K3" s="3118">
        <f>ROUND(AVERAGE($K4:$K25),2)</f>
        <v>2.34</v>
      </c>
      <c r="L3" s="3118">
        <f>ROUND(AVERAGE($L4:$L25),2)</f>
        <v>1.42</v>
      </c>
      <c r="N3" s="3110"/>
      <c r="O3" s="3112"/>
      <c r="P3" s="3112"/>
      <c r="Q3" s="3112"/>
      <c r="R3" s="3112"/>
      <c r="S3" s="3110"/>
      <c r="T3" s="3112"/>
      <c r="U3" s="3112"/>
      <c r="V3" s="3112"/>
      <c r="W3" s="3115"/>
      <c r="X3" s="3113">
        <f>ROUND(SUMPRODUCT(PRODUCT(1+N3:N$24)),4)</f>
        <v>1.5099</v>
      </c>
      <c r="Y3" s="3113">
        <f>ROUND(SUMPRODUCT(PRODUCT(1+O3:O$24)),4)</f>
        <v>1.3372999999999999</v>
      </c>
      <c r="Z3" s="3113">
        <f t="shared" ref="Z3:Z22" si="0">Y3</f>
        <v>1.3372999999999999</v>
      </c>
      <c r="AA3" s="3113">
        <f>ROUND(SUMPRODUCT(PRODUCT(1+P3:P$24)),4)</f>
        <v>1.5683</v>
      </c>
      <c r="AB3" s="3113">
        <f>ROUND(SUMPRODUCT(PRODUCT(1+Q3:Q$24)),4)</f>
        <v>1.3255999999999999</v>
      </c>
      <c r="AD3" s="3114">
        <f>ROUND(AVERAGE(I3:I$25)/100,4)</f>
        <v>2.1299999999999999E-2</v>
      </c>
      <c r="AE3" s="3114">
        <f>ROUND(AVERAGE(J3:J$25)/100,4)</f>
        <v>1.5100000000000001E-2</v>
      </c>
      <c r="AF3" s="3114">
        <f t="shared" ref="AF3:AF23" si="1">AE3</f>
        <v>1.5100000000000001E-2</v>
      </c>
      <c r="AG3" s="3114">
        <f>ROUND(AVERAGE(K3:K$25)/100,4)</f>
        <v>2.3400000000000001E-2</v>
      </c>
      <c r="AH3" s="3114">
        <f>ROUND(AVERAGE(L3:L$25)/100,4)</f>
        <v>1.4200000000000001E-2</v>
      </c>
    </row>
    <row r="4" spans="1:34" s="2728" customFormat="1" ht="14.25">
      <c r="B4" s="2729"/>
      <c r="C4" s="2729"/>
      <c r="D4" s="2730"/>
      <c r="E4" s="2730"/>
      <c r="F4" s="2729"/>
      <c r="G4" s="2734"/>
      <c r="H4" s="2731"/>
      <c r="I4" s="3103"/>
      <c r="J4" s="3103"/>
      <c r="K4" s="3103"/>
      <c r="L4" s="3103"/>
      <c r="N4" s="2734"/>
      <c r="O4" s="2732"/>
      <c r="P4" s="2732"/>
      <c r="Q4" s="2732"/>
      <c r="R4" s="2732"/>
      <c r="S4" s="2734"/>
      <c r="T4" s="2732"/>
      <c r="U4" s="2732"/>
      <c r="V4" s="2732"/>
      <c r="W4" s="3116"/>
      <c r="X4" s="2733"/>
      <c r="Y4" s="2733"/>
      <c r="Z4" s="2733"/>
      <c r="AA4" s="2733"/>
      <c r="AB4" s="2733"/>
      <c r="AD4" s="2653"/>
      <c r="AE4" s="2653"/>
      <c r="AF4" s="2653"/>
      <c r="AG4" s="2653"/>
      <c r="AH4" s="2653"/>
    </row>
    <row r="5" spans="1:34" s="3091" customFormat="1" ht="13.5" thickBot="1">
      <c r="A5" s="3089" t="s">
        <v>2993</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0">
        <v>1</v>
      </c>
      <c r="I5" s="3104">
        <v>0</v>
      </c>
      <c r="J5" s="3104">
        <v>0</v>
      </c>
      <c r="K5" s="3104">
        <v>0</v>
      </c>
      <c r="L5" s="3104">
        <v>0</v>
      </c>
      <c r="N5" s="2741">
        <f t="shared" ref="N5" si="6">I5/100</f>
        <v>0</v>
      </c>
      <c r="O5" s="2741">
        <f t="shared" ref="O5" si="7">J5/100</f>
        <v>0</v>
      </c>
      <c r="P5" s="2741">
        <f t="shared" ref="P5" si="8">K5/100</f>
        <v>0</v>
      </c>
      <c r="Q5" s="2741">
        <f t="shared" ref="Q5" si="9">L5/100</f>
        <v>0</v>
      </c>
      <c r="R5" s="3092"/>
      <c r="S5" s="3093"/>
      <c r="T5" s="3092"/>
      <c r="U5" s="3092"/>
      <c r="V5" s="3092"/>
      <c r="W5" s="3117" t="s">
        <v>2974</v>
      </c>
      <c r="X5" s="3094">
        <f>ROUND(IF(项目基本情况!B8="出让",SUMPRODUCT(PRODUCT(1+N5:N$25)),SUMPRODUCT(PRODUCT(1+N5:N$24))),4)</f>
        <v>1.5099</v>
      </c>
      <c r="Y5" s="3094">
        <f>ROUND(IF(项目基本情况!B8="出让",SUMPRODUCT(PRODUCT(1+O5:O$25)),SUMPRODUCT(PRODUCT(1+O5:O$24))),4)</f>
        <v>1.3372999999999999</v>
      </c>
      <c r="Z5" s="3094">
        <f t="shared" ref="Z5" si="10">Y5</f>
        <v>1.3372999999999999</v>
      </c>
      <c r="AA5" s="3094">
        <f>ROUND(IF(项目基本情况!B8="出让",SUMPRODUCT(PRODUCT(1+P5:P$25)),SUMPRODUCT(PRODUCT(1+P5:P$24))),4)</f>
        <v>1.5683</v>
      </c>
      <c r="AB5" s="3094">
        <f>ROUND(IF(项目基本情况!B8="出让",SUMPRODUCT(PRODUCT(1+Q5:Q$25)),SUMPRODUCT(PRODUCT(1+Q5:Q$24))),4)</f>
        <v>1.3255999999999999</v>
      </c>
      <c r="AD5" s="3095">
        <f>ROUND(AVERAGE(I5:I$25)/100,4)</f>
        <v>2.1299999999999999E-2</v>
      </c>
      <c r="AE5" s="3095">
        <f>ROUND(AVERAGE(J5:J$25)/100,4)</f>
        <v>1.5100000000000001E-2</v>
      </c>
      <c r="AF5" s="3095">
        <f t="shared" ref="AF5" si="11">AE5</f>
        <v>1.5100000000000001E-2</v>
      </c>
      <c r="AG5" s="3095">
        <f>ROUND(AVERAGE(K5:K$25)/100,4)</f>
        <v>2.3400000000000001E-2</v>
      </c>
      <c r="AH5" s="3095">
        <f>ROUND(AVERAGE(L5:L$25)/100,4)</f>
        <v>1.4200000000000001E-2</v>
      </c>
    </row>
    <row r="6" spans="1:34" s="2740" customFormat="1">
      <c r="A6" s="2635" t="s">
        <v>2994</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45">
        <v>2018</v>
      </c>
      <c r="H6" s="2638">
        <v>4</v>
      </c>
      <c r="I6" s="3175">
        <v>0.96</v>
      </c>
      <c r="J6" s="3175">
        <v>1.03</v>
      </c>
      <c r="K6" s="3175">
        <v>0.92</v>
      </c>
      <c r="L6" s="3176">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2983</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45"/>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2984</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45"/>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2980</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46"/>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2971</v>
      </c>
      <c r="B10" s="3121">
        <v>439</v>
      </c>
      <c r="C10" s="3121">
        <v>327</v>
      </c>
      <c r="D10" s="3121">
        <f t="shared" si="43"/>
        <v>327</v>
      </c>
      <c r="E10" s="3121">
        <v>627</v>
      </c>
      <c r="F10" s="3122">
        <v>283</v>
      </c>
      <c r="G10" s="3444">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2975</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45"/>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45"/>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46"/>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44">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45"/>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45"/>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48"/>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47">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45"/>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45"/>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48"/>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47">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45"/>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45"/>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48"/>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5" t="s">
        <v>2584</v>
      </c>
      <c r="B26" s="2640">
        <v>299</v>
      </c>
      <c r="C26" s="2640">
        <v>252</v>
      </c>
      <c r="D26" s="2640">
        <f t="shared" si="65"/>
        <v>252</v>
      </c>
      <c r="E26" s="2640">
        <v>409</v>
      </c>
      <c r="F26" s="2641">
        <v>227</v>
      </c>
      <c r="G26" s="3452">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53"/>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53"/>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54"/>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47">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45"/>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45"/>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48"/>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47">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45">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45">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48">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47">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45">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45">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48">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47">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45">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45">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48">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47">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45">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45">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48">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47">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45">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45">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48">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47">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45">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45">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48">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47">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45">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45">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48">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47">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45">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45">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48">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47">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45">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45">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48">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47">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45">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45">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48">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B1" workbookViewId="0">
      <selection activeCell="O9" sqref="O9"/>
    </sheetView>
  </sheetViews>
  <sheetFormatPr defaultRowHeight="13.5"/>
  <cols>
    <col min="1" max="1" width="35.625" customWidth="1"/>
    <col min="9" max="9" width="11.625" customWidth="1"/>
    <col min="10" max="10" width="12.375" customWidth="1"/>
    <col min="11" max="11" width="11.75" customWidth="1"/>
  </cols>
  <sheetData>
    <row r="1" spans="1:15">
      <c r="A1" s="3177" t="s">
        <v>3008</v>
      </c>
      <c r="B1" s="3177" t="s">
        <v>3009</v>
      </c>
      <c r="C1" s="3177" t="s">
        <v>3010</v>
      </c>
      <c r="D1" s="3177" t="s">
        <v>3011</v>
      </c>
      <c r="E1" s="3177" t="s">
        <v>3012</v>
      </c>
      <c r="F1" s="3177" t="s">
        <v>2033</v>
      </c>
      <c r="G1" s="3177" t="s">
        <v>3013</v>
      </c>
      <c r="H1" s="3177" t="s">
        <v>3014</v>
      </c>
      <c r="I1" s="3177" t="s">
        <v>3015</v>
      </c>
      <c r="J1" s="3177" t="s">
        <v>3016</v>
      </c>
      <c r="K1" s="3177" t="s">
        <v>3017</v>
      </c>
      <c r="L1" s="3177" t="s">
        <v>3018</v>
      </c>
      <c r="M1" s="3177" t="s">
        <v>3019</v>
      </c>
      <c r="N1" s="3177" t="s">
        <v>3020</v>
      </c>
      <c r="O1" s="3195" t="s">
        <v>3089</v>
      </c>
    </row>
    <row r="2" spans="1:15">
      <c r="A2" s="3177" t="s">
        <v>3021</v>
      </c>
      <c r="B2" s="3177" t="s">
        <v>3022</v>
      </c>
      <c r="C2" s="3177" t="s">
        <v>3023</v>
      </c>
      <c r="D2" s="3177">
        <v>26421</v>
      </c>
      <c r="E2" s="3177">
        <v>60768.3</v>
      </c>
      <c r="F2" s="3177" t="s">
        <v>3024</v>
      </c>
      <c r="G2" s="3177" t="s">
        <v>3025</v>
      </c>
      <c r="H2" s="3177" t="s">
        <v>3026</v>
      </c>
      <c r="I2" s="3177">
        <v>7134</v>
      </c>
      <c r="J2" s="3177">
        <v>7134</v>
      </c>
      <c r="K2" s="3177">
        <v>1173.97</v>
      </c>
      <c r="L2" s="3177">
        <v>0</v>
      </c>
      <c r="M2" s="3177" t="s">
        <v>3027</v>
      </c>
      <c r="N2" s="3177" t="s">
        <v>3028</v>
      </c>
      <c r="O2" s="3179">
        <f>ROUND(J2/D2*10000,0)</f>
        <v>2700</v>
      </c>
    </row>
    <row r="3" spans="1:15" s="3179" customFormat="1">
      <c r="A3" s="3178" t="s">
        <v>3029</v>
      </c>
      <c r="B3" s="3178" t="s">
        <v>3022</v>
      </c>
      <c r="C3" s="3178" t="s">
        <v>3023</v>
      </c>
      <c r="D3" s="3178">
        <v>88566</v>
      </c>
      <c r="E3" s="3178">
        <v>200159.2</v>
      </c>
      <c r="F3" s="3178" t="s">
        <v>3030</v>
      </c>
      <c r="G3" s="3178" t="s">
        <v>3025</v>
      </c>
      <c r="H3" s="3178" t="s">
        <v>3031</v>
      </c>
      <c r="I3" s="3178">
        <v>41198</v>
      </c>
      <c r="J3" s="3178">
        <v>41203</v>
      </c>
      <c r="K3" s="3178">
        <v>2058.5100000000002</v>
      </c>
      <c r="L3" s="3178">
        <v>0.01</v>
      </c>
      <c r="M3" s="3178" t="s">
        <v>3032</v>
      </c>
      <c r="N3" s="3178" t="s">
        <v>3033</v>
      </c>
      <c r="O3" s="3179">
        <f>ROUND(J3/D3*10000,0)</f>
        <v>4652</v>
      </c>
    </row>
    <row r="4" spans="1:15" s="3194" customFormat="1">
      <c r="A4" s="3195" t="s">
        <v>3029</v>
      </c>
      <c r="B4" s="3195" t="s">
        <v>3022</v>
      </c>
      <c r="C4" s="3195" t="s">
        <v>3023</v>
      </c>
      <c r="D4" s="3195">
        <v>137323.5</v>
      </c>
      <c r="E4" s="3195">
        <v>233450</v>
      </c>
      <c r="F4" s="3195" t="s">
        <v>3034</v>
      </c>
      <c r="G4" s="3195" t="s">
        <v>3025</v>
      </c>
      <c r="H4" s="3195" t="s">
        <v>3031</v>
      </c>
      <c r="I4" s="3195">
        <v>61162</v>
      </c>
      <c r="J4" s="3195">
        <v>61167</v>
      </c>
      <c r="K4" s="3195">
        <v>2620.13</v>
      </c>
      <c r="L4" s="3195">
        <v>0.01</v>
      </c>
      <c r="M4" s="3195" t="s">
        <v>3032</v>
      </c>
      <c r="N4" s="3195" t="s">
        <v>3033</v>
      </c>
      <c r="O4" s="3194">
        <f>ROUND(J4/D4*10000,0)</f>
        <v>4454</v>
      </c>
    </row>
    <row r="5" spans="1:15" s="3179" customFormat="1">
      <c r="A5" s="3178" t="s">
        <v>3029</v>
      </c>
      <c r="B5" s="3178" t="s">
        <v>3022</v>
      </c>
      <c r="C5" s="3178" t="s">
        <v>3023</v>
      </c>
      <c r="D5" s="3178">
        <v>21255.599999999999</v>
      </c>
      <c r="E5" s="3178">
        <v>59515.68</v>
      </c>
      <c r="F5" s="3178" t="s">
        <v>3035</v>
      </c>
      <c r="G5" s="3178" t="s">
        <v>3025</v>
      </c>
      <c r="H5" s="3178" t="s">
        <v>3031</v>
      </c>
      <c r="I5" s="3178">
        <v>11069</v>
      </c>
      <c r="J5" s="3178">
        <v>11074</v>
      </c>
      <c r="K5" s="3178">
        <v>1860.69</v>
      </c>
      <c r="L5" s="3178">
        <v>0.05</v>
      </c>
      <c r="M5" s="3178" t="s">
        <v>3032</v>
      </c>
      <c r="N5" s="3178" t="s">
        <v>3033</v>
      </c>
      <c r="O5" s="3179">
        <f t="shared" ref="O5:O6" si="0">ROUND(J5/D5*10000,0)</f>
        <v>5210</v>
      </c>
    </row>
    <row r="6" spans="1:15" s="3179" customFormat="1">
      <c r="A6" s="3178" t="s">
        <v>3029</v>
      </c>
      <c r="B6" s="3178" t="s">
        <v>3022</v>
      </c>
      <c r="C6" s="3178" t="s">
        <v>3023</v>
      </c>
      <c r="D6" s="3178">
        <v>16561</v>
      </c>
      <c r="E6" s="3178">
        <v>41402.5</v>
      </c>
      <c r="F6" s="3178" t="s">
        <v>3036</v>
      </c>
      <c r="G6" s="3178" t="s">
        <v>3025</v>
      </c>
      <c r="H6" s="3178" t="s">
        <v>3031</v>
      </c>
      <c r="I6" s="3178">
        <v>7867</v>
      </c>
      <c r="J6" s="3178">
        <v>7872</v>
      </c>
      <c r="K6" s="3178">
        <v>1901.32</v>
      </c>
      <c r="L6" s="3178">
        <v>0.06</v>
      </c>
      <c r="M6" s="3178" t="s">
        <v>3032</v>
      </c>
      <c r="N6" s="3178" t="s">
        <v>3033</v>
      </c>
      <c r="O6" s="3179">
        <f t="shared" si="0"/>
        <v>4753</v>
      </c>
    </row>
    <row r="7" spans="1:15" s="3194" customFormat="1">
      <c r="A7" s="3195" t="s">
        <v>3037</v>
      </c>
      <c r="B7" s="3195" t="s">
        <v>3022</v>
      </c>
      <c r="C7" s="3195" t="s">
        <v>3023</v>
      </c>
      <c r="D7" s="3195">
        <v>3330</v>
      </c>
      <c r="E7" s="3195">
        <v>13320</v>
      </c>
      <c r="F7" s="3195" t="s">
        <v>3038</v>
      </c>
      <c r="G7" s="3195" t="s">
        <v>3039</v>
      </c>
      <c r="H7" s="3195" t="s">
        <v>3040</v>
      </c>
      <c r="I7" s="3195">
        <v>4495.5</v>
      </c>
      <c r="J7" s="3195">
        <v>4508.8100000000004</v>
      </c>
      <c r="K7" s="3195">
        <v>3385</v>
      </c>
      <c r="L7" s="3195">
        <v>0.3</v>
      </c>
      <c r="M7" s="3195" t="s">
        <v>3041</v>
      </c>
      <c r="N7" s="3195" t="s">
        <v>3033</v>
      </c>
      <c r="O7" s="3194">
        <f t="shared" ref="O7:O16" si="1">ROUND(J7/D7*10000,0)</f>
        <v>13540</v>
      </c>
    </row>
    <row r="8" spans="1:15" s="3194" customFormat="1">
      <c r="A8" s="3195" t="s">
        <v>3042</v>
      </c>
      <c r="B8" s="3195" t="s">
        <v>3022</v>
      </c>
      <c r="C8" s="3195" t="s">
        <v>3023</v>
      </c>
      <c r="D8" s="3195">
        <v>1331.42</v>
      </c>
      <c r="E8" s="3195">
        <v>3328.55</v>
      </c>
      <c r="F8" s="3195" t="s">
        <v>3036</v>
      </c>
      <c r="G8" s="3195" t="s">
        <v>3039</v>
      </c>
      <c r="H8" s="3195" t="s">
        <v>3043</v>
      </c>
      <c r="I8" s="3195">
        <v>1198.26</v>
      </c>
      <c r="J8" s="3195">
        <v>1198.4100000000001</v>
      </c>
      <c r="K8" s="3195">
        <v>3600.4</v>
      </c>
      <c r="L8" s="3195">
        <v>0.01</v>
      </c>
      <c r="M8" s="3195" t="s">
        <v>3044</v>
      </c>
      <c r="N8" s="3195" t="s">
        <v>3033</v>
      </c>
      <c r="O8" s="3194">
        <f t="shared" si="1"/>
        <v>9001</v>
      </c>
    </row>
    <row r="9" spans="1:15" s="3179" customFormat="1">
      <c r="A9" s="3178" t="s">
        <v>3045</v>
      </c>
      <c r="B9" s="3178" t="s">
        <v>3022</v>
      </c>
      <c r="C9" s="3178" t="s">
        <v>3023</v>
      </c>
      <c r="D9" s="3178">
        <v>2196.15</v>
      </c>
      <c r="E9" s="3178">
        <v>5477.2</v>
      </c>
      <c r="F9" s="3178" t="s">
        <v>3046</v>
      </c>
      <c r="G9" s="3178" t="s">
        <v>3039</v>
      </c>
      <c r="H9" s="3178" t="s">
        <v>3047</v>
      </c>
      <c r="I9" s="3178">
        <v>979.25</v>
      </c>
      <c r="J9" s="3178">
        <v>979.48</v>
      </c>
      <c r="K9" s="3178">
        <v>1788.28</v>
      </c>
      <c r="L9" s="3178">
        <v>0.02</v>
      </c>
      <c r="M9" s="3178" t="s">
        <v>3048</v>
      </c>
      <c r="N9" s="3178" t="s">
        <v>3049</v>
      </c>
      <c r="O9" s="3179">
        <f t="shared" si="1"/>
        <v>4460</v>
      </c>
    </row>
    <row r="10" spans="1:15" s="3179" customFormat="1">
      <c r="A10" s="3178" t="s">
        <v>3050</v>
      </c>
      <c r="B10" s="3178" t="s">
        <v>3022</v>
      </c>
      <c r="C10" s="3178" t="s">
        <v>3023</v>
      </c>
      <c r="D10" s="3178">
        <v>1600.07</v>
      </c>
      <c r="E10" s="3178">
        <v>5600.25</v>
      </c>
      <c r="F10" s="3178" t="s">
        <v>3051</v>
      </c>
      <c r="G10" s="3178" t="s">
        <v>3039</v>
      </c>
      <c r="H10" s="3178" t="s">
        <v>3052</v>
      </c>
      <c r="I10" s="3178">
        <v>639.71</v>
      </c>
      <c r="J10" s="3178">
        <v>640.26</v>
      </c>
      <c r="K10" s="3178">
        <v>1143.28</v>
      </c>
      <c r="L10" s="3178">
        <v>0.09</v>
      </c>
      <c r="M10" s="3178" t="s">
        <v>3053</v>
      </c>
      <c r="N10" s="3178" t="s">
        <v>3049</v>
      </c>
      <c r="O10" s="3179">
        <f t="shared" si="1"/>
        <v>4001</v>
      </c>
    </row>
    <row r="11" spans="1:15">
      <c r="A11" s="3177" t="s">
        <v>3054</v>
      </c>
      <c r="B11" s="3177" t="s">
        <v>3022</v>
      </c>
      <c r="C11" s="3177" t="s">
        <v>3023</v>
      </c>
      <c r="D11" s="3177">
        <v>10506.36</v>
      </c>
      <c r="E11" s="3177">
        <v>21012.720000000001</v>
      </c>
      <c r="F11" s="3177" t="s">
        <v>3055</v>
      </c>
      <c r="G11" s="3177" t="s">
        <v>3039</v>
      </c>
      <c r="H11" s="3177" t="s">
        <v>3056</v>
      </c>
      <c r="I11" s="3177">
        <v>5831.02</v>
      </c>
      <c r="J11" s="3177">
        <v>5832.07</v>
      </c>
      <c r="K11" s="3177">
        <v>2775.5</v>
      </c>
      <c r="L11" s="3177">
        <v>0.02</v>
      </c>
      <c r="M11" s="3177" t="s">
        <v>3057</v>
      </c>
      <c r="N11" s="3177" t="s">
        <v>3033</v>
      </c>
      <c r="O11" s="3194">
        <f t="shared" si="1"/>
        <v>5551</v>
      </c>
    </row>
    <row r="12" spans="1:15">
      <c r="A12" s="3177" t="s">
        <v>3058</v>
      </c>
      <c r="B12" s="3177" t="s">
        <v>3022</v>
      </c>
      <c r="C12" s="3177" t="s">
        <v>3023</v>
      </c>
      <c r="D12" s="3177">
        <v>24413.47</v>
      </c>
      <c r="E12" s="3177">
        <v>26122.41</v>
      </c>
      <c r="F12" s="3177" t="s">
        <v>3059</v>
      </c>
      <c r="G12" s="3177" t="s">
        <v>3039</v>
      </c>
      <c r="H12" s="3177" t="s">
        <v>3060</v>
      </c>
      <c r="I12" s="3177">
        <v>3742.59</v>
      </c>
      <c r="J12" s="3177">
        <v>3745.03</v>
      </c>
      <c r="K12" s="3177">
        <v>1433.65</v>
      </c>
      <c r="L12" s="3177">
        <v>0.06</v>
      </c>
      <c r="M12" s="3177" t="s">
        <v>3061</v>
      </c>
      <c r="N12" s="3177" t="s">
        <v>3028</v>
      </c>
      <c r="O12" s="3194">
        <f t="shared" si="1"/>
        <v>1534</v>
      </c>
    </row>
    <row r="13" spans="1:15">
      <c r="A13" s="3177" t="s">
        <v>3062</v>
      </c>
      <c r="B13" s="3177" t="s">
        <v>3022</v>
      </c>
      <c r="C13" s="3177" t="s">
        <v>3023</v>
      </c>
      <c r="D13" s="3177">
        <v>13099.24</v>
      </c>
      <c r="E13" s="3177">
        <v>39297.72</v>
      </c>
      <c r="F13" s="3177" t="s">
        <v>3063</v>
      </c>
      <c r="G13" s="3177" t="s">
        <v>3039</v>
      </c>
      <c r="H13" s="3177" t="s">
        <v>3064</v>
      </c>
      <c r="I13" s="3177">
        <v>6060.1</v>
      </c>
      <c r="J13" s="3177">
        <v>6061.4</v>
      </c>
      <c r="K13" s="3177">
        <v>1542.43</v>
      </c>
      <c r="L13" s="3177">
        <v>0.02</v>
      </c>
      <c r="M13" s="3177" t="s">
        <v>3065</v>
      </c>
      <c r="N13" s="3177" t="s">
        <v>3033</v>
      </c>
      <c r="O13" s="3194">
        <f t="shared" si="1"/>
        <v>4627</v>
      </c>
    </row>
    <row r="14" spans="1:15">
      <c r="A14" s="3177" t="s">
        <v>3066</v>
      </c>
      <c r="B14" s="3177" t="s">
        <v>3022</v>
      </c>
      <c r="C14" s="3177" t="s">
        <v>3023</v>
      </c>
      <c r="D14" s="3177">
        <v>33568.449999999997</v>
      </c>
      <c r="E14" s="3177">
        <v>33568.449999999997</v>
      </c>
      <c r="F14" s="3177" t="s">
        <v>3067</v>
      </c>
      <c r="G14" s="3177" t="s">
        <v>3039</v>
      </c>
      <c r="H14" s="3177" t="s">
        <v>3068</v>
      </c>
      <c r="I14" s="3177">
        <v>5009.7700000000004</v>
      </c>
      <c r="J14" s="3177">
        <v>5019.7700000000004</v>
      </c>
      <c r="K14" s="3177">
        <v>1495.38</v>
      </c>
      <c r="L14" s="3177">
        <v>0.2</v>
      </c>
      <c r="M14" s="3177" t="s">
        <v>3069</v>
      </c>
      <c r="N14" s="3177" t="s">
        <v>3033</v>
      </c>
      <c r="O14" s="3194">
        <f t="shared" si="1"/>
        <v>1495</v>
      </c>
    </row>
    <row r="15" spans="1:15">
      <c r="A15" s="3177" t="s">
        <v>3070</v>
      </c>
      <c r="B15" s="3177" t="s">
        <v>3022</v>
      </c>
      <c r="C15" s="3177" t="s">
        <v>3023</v>
      </c>
      <c r="D15" s="3177">
        <v>3491.53</v>
      </c>
      <c r="E15" s="3177">
        <v>2094.92</v>
      </c>
      <c r="F15" s="3177" t="s">
        <v>3071</v>
      </c>
      <c r="G15" s="3177" t="s">
        <v>3039</v>
      </c>
      <c r="H15" s="3177" t="s">
        <v>3072</v>
      </c>
      <c r="I15" s="3177">
        <v>485.64</v>
      </c>
      <c r="J15" s="3177">
        <v>486</v>
      </c>
      <c r="K15" s="3177">
        <v>2319.9</v>
      </c>
      <c r="L15" s="3177">
        <v>7.0000000000000007E-2</v>
      </c>
      <c r="M15" s="3177" t="s">
        <v>3073</v>
      </c>
      <c r="N15" s="3177" t="s">
        <v>3049</v>
      </c>
      <c r="O15" s="3194">
        <f t="shared" si="1"/>
        <v>1392</v>
      </c>
    </row>
    <row r="16" spans="1:15">
      <c r="A16" s="3177" t="s">
        <v>3070</v>
      </c>
      <c r="B16" s="3177" t="s">
        <v>3022</v>
      </c>
      <c r="C16" s="3177" t="s">
        <v>3023</v>
      </c>
      <c r="D16" s="3177">
        <v>62083.39</v>
      </c>
      <c r="E16" s="3177">
        <v>37250.03</v>
      </c>
      <c r="F16" s="3177" t="s">
        <v>3071</v>
      </c>
      <c r="G16" s="3177" t="s">
        <v>3039</v>
      </c>
      <c r="H16" s="3177" t="s">
        <v>3072</v>
      </c>
      <c r="I16" s="3177">
        <v>8620.09</v>
      </c>
      <c r="J16" s="3177">
        <v>8626.2900000000009</v>
      </c>
      <c r="K16" s="3177">
        <v>2315.7800000000002</v>
      </c>
      <c r="L16" s="3177">
        <v>7.0000000000000007E-2</v>
      </c>
      <c r="M16" s="3177" t="s">
        <v>3073</v>
      </c>
      <c r="N16" s="3177" t="s">
        <v>3049</v>
      </c>
      <c r="O16" s="3194">
        <f t="shared" si="1"/>
        <v>1389</v>
      </c>
    </row>
  </sheetData>
  <phoneticPr fontId="228"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68972.94平方米。根据《建设工程规划许可证》[]、《出让合同》[]，估价对象规划建筑面积为87244平方米。</v>
      </c>
    </row>
    <row r="7" spans="1:4" ht="56.25">
      <c r="A7" s="1796" t="s">
        <v>2747</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2019年2月14日</v>
      </c>
    </row>
    <row r="12" spans="1:4" ht="18.75">
      <c r="A12" s="1798" t="s">
        <v>2026</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根据《国有土地使用证》[]，估价对象（分摊）出让国有建设用地使用权面积为68972.94平方米。根据《建设工程规划许可证》[]、《出让合同》[]，估价对象规划建筑面积为87244平方米。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本次估价对象为出让国有建设用地使用权，《国有土地使用证》[]证载土地终止日期为商业2053年1月11日。截至估价期日，出让国有建设用地使用权剩余土地使用年限为。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20" sqref="L20"/>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7</v>
      </c>
    </row>
    <row r="2" spans="1:31" s="2042" customFormat="1" ht="18" customHeight="1">
      <c r="A2" s="2102" t="s">
        <v>467</v>
      </c>
      <c r="B2" s="2106">
        <f ca="1">C36</f>
        <v>54732</v>
      </c>
      <c r="C2" s="2105"/>
      <c r="D2" s="2105"/>
      <c r="E2" s="2105"/>
      <c r="F2" s="2105"/>
      <c r="G2" s="2105"/>
      <c r="H2" s="2105"/>
      <c r="I2" s="2105"/>
      <c r="J2" s="2105"/>
      <c r="K2" s="2105"/>
    </row>
    <row r="3" spans="1:31" s="2042" customFormat="1" ht="18" customHeight="1">
      <c r="A3" s="2107" t="s">
        <v>1685</v>
      </c>
      <c r="B3" s="2108">
        <f ca="1">ROUND(B2*10000/IF(B1="",'数据-汇总表'!E3,INDIRECT("'数据-取费表'!K"&amp;$K$1)),0)</f>
        <v>6273</v>
      </c>
      <c r="C3" s="2105"/>
      <c r="D3" s="2105"/>
      <c r="E3" s="2105"/>
      <c r="F3" s="2105"/>
      <c r="G3" s="2105"/>
      <c r="H3" s="2105"/>
      <c r="I3" s="2105"/>
      <c r="J3" s="2105"/>
      <c r="K3" s="2105"/>
    </row>
    <row r="4" spans="1:31" s="2042" customFormat="1" ht="18" customHeight="1">
      <c r="A4" s="426" t="s">
        <v>468</v>
      </c>
      <c r="B4" s="427">
        <f ca="1">ROUND(B2*10000/IF(B1="",'数据-汇总表'!D3,INDIRECT("'数据-取费表'!R"&amp;$K$1)),0)</f>
        <v>7935</v>
      </c>
      <c r="C4" s="428"/>
      <c r="D4" s="422"/>
      <c r="E4" s="422"/>
      <c r="F4" s="422"/>
      <c r="G4" s="422"/>
      <c r="H4" s="422"/>
      <c r="I4" s="422"/>
      <c r="J4" s="422"/>
      <c r="K4" s="422"/>
    </row>
    <row r="5" spans="1:31" s="2042" customFormat="1" ht="18" customHeight="1" thickBot="1">
      <c r="A5" s="429"/>
      <c r="B5" s="430">
        <f ca="1">ROUND(B2/(IF(B1="",'数据-汇总表'!D3,INDIRECT("'数据-取费表'!R"&amp;$K$1))/666.67),0)</f>
        <v>529</v>
      </c>
      <c r="C5" s="431" t="s">
        <v>469</v>
      </c>
      <c r="D5" s="422"/>
      <c r="E5" s="422"/>
      <c r="F5" s="422"/>
      <c r="G5" s="422"/>
      <c r="H5" s="422"/>
      <c r="I5" s="422"/>
      <c r="J5" s="422"/>
      <c r="K5" s="422"/>
    </row>
    <row r="6" spans="1:31" s="2112" customFormat="1" ht="16.5" customHeight="1">
      <c r="A6" s="2807" t="s">
        <v>1843</v>
      </c>
      <c r="B6" s="2808"/>
      <c r="C6" s="2809">
        <f ca="1">SUM(C10:K10)</f>
        <v>152835</v>
      </c>
      <c r="D6" s="2808"/>
      <c r="E6" s="2808"/>
      <c r="F6" s="2808"/>
      <c r="G6" s="2808"/>
      <c r="H6" s="2808"/>
      <c r="I6" s="2808"/>
      <c r="J6" s="2808"/>
      <c r="K6" s="2810"/>
    </row>
    <row r="7" spans="1:31" s="2114" customFormat="1" ht="15">
      <c r="A7" s="2811" t="s">
        <v>470</v>
      </c>
      <c r="B7" s="2812" t="s">
        <v>471</v>
      </c>
      <c r="C7" s="436" t="s">
        <v>3004</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不动产收益法!B3</f>
        <v>22136</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69044</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4">
        <f ca="1">不动产收益法!B2</f>
        <v>152835</v>
      </c>
      <c r="D10" s="3004"/>
      <c r="E10" s="3004"/>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c r="L12" s="3196"/>
    </row>
    <row r="13" spans="1:31" s="2117" customFormat="1" ht="13.5" customHeight="1">
      <c r="A13" s="2821" t="s">
        <v>1849</v>
      </c>
      <c r="B13" s="2822" t="s">
        <v>479</v>
      </c>
      <c r="C13" s="450">
        <f ca="1">IF(B1="",'数据-取费表'!P16,INDIRECT("'数据-取费表'!p"&amp;$K$1)+INDIRECT("'数据-取费表'!t"&amp;$K$1))</f>
        <v>45976</v>
      </c>
      <c r="D13" s="2823"/>
      <c r="E13" s="2824"/>
      <c r="F13" s="2825"/>
      <c r="G13" s="2791"/>
      <c r="H13" s="2792"/>
      <c r="I13" s="2792"/>
      <c r="J13" s="2792"/>
      <c r="K13" s="2793"/>
    </row>
    <row r="14" spans="1:31" s="2117" customFormat="1" ht="13.5" customHeight="1">
      <c r="A14" s="2821" t="s">
        <v>1850</v>
      </c>
      <c r="B14" s="2822" t="s">
        <v>480</v>
      </c>
      <c r="C14" s="53">
        <f ca="1">ROUND(C13*F14,0)</f>
        <v>1379</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0.05</v>
      </c>
      <c r="G15" s="2791" t="s">
        <v>483</v>
      </c>
      <c r="H15" s="2792"/>
      <c r="I15" s="2792"/>
      <c r="J15" s="2792"/>
      <c r="K15" s="2793"/>
    </row>
    <row r="16" spans="1:31" s="2118" customFormat="1" ht="13.5" customHeight="1">
      <c r="A16" s="2821" t="s">
        <v>1852</v>
      </c>
      <c r="B16" s="2822" t="s">
        <v>484</v>
      </c>
      <c r="C16" s="53">
        <f ca="1">ROUND(D16*E16/10000,0)</f>
        <v>1745</v>
      </c>
      <c r="D16" s="2823">
        <f ca="1">IF(B1="",'数据-汇总表'!E3,INDIRECT("'数据-取费表'!K"&amp;$K$1)+INDIRECT("'数据-取费表'!S"&amp;$K$1))</f>
        <v>87244</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690</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49790</v>
      </c>
      <c r="D18" s="2832"/>
      <c r="E18" s="468"/>
      <c r="F18" s="468"/>
      <c r="G18" s="2795" t="s">
        <v>2431</v>
      </c>
      <c r="H18" s="2796"/>
      <c r="I18" s="2796"/>
      <c r="J18" s="2796"/>
      <c r="K18" s="2797"/>
    </row>
    <row r="19" spans="1:14" s="2117" customFormat="1" ht="13.5" customHeight="1">
      <c r="A19" s="2829" t="s">
        <v>1855</v>
      </c>
      <c r="B19" s="2830" t="s">
        <v>488</v>
      </c>
      <c r="C19" s="2787">
        <f ca="1">ROUND(D19*E19/10000,0)</f>
        <v>1047</v>
      </c>
      <c r="D19" s="2833">
        <f ca="1">D16</f>
        <v>87244</v>
      </c>
      <c r="E19" s="2787">
        <f>'数据-取费表'!B32</f>
        <v>120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1919</v>
      </c>
      <c r="D20" s="2833"/>
      <c r="E20" s="2787"/>
      <c r="F20" s="2834"/>
      <c r="G20" s="3064"/>
      <c r="H20" s="2789"/>
      <c r="I20" s="2790" t="s">
        <v>2651</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0</v>
      </c>
      <c r="F21" s="2826"/>
      <c r="G21" s="26"/>
      <c r="H21" s="51"/>
      <c r="I21" s="51"/>
      <c r="J21" s="51"/>
      <c r="K21" s="2798"/>
    </row>
    <row r="22" spans="1:14" s="2117" customFormat="1" ht="13.5" customHeight="1">
      <c r="A22" s="2821" t="s">
        <v>1858</v>
      </c>
      <c r="B22" s="2822" t="s">
        <v>492</v>
      </c>
      <c r="C22" s="53">
        <f ca="1">ROUND(D22*E22/10000,0)</f>
        <v>1919</v>
      </c>
      <c r="D22" s="2823">
        <f ca="1">IF(B1="",'数据-汇总表'!E6,IF(INDIRECT("'数据-取费表'!c"&amp;$K$1)="住宅",INDIRECT("'数据-取费表'!s"&amp;$K$1),INDIRECT("'数据-取费表'!k"&amp;$K$1)+INDIRECT("'数据-取费表'!s"&amp;$K$1)))</f>
        <v>87244</v>
      </c>
      <c r="E22" s="53">
        <f>'数据-取费表'!B28</f>
        <v>220</v>
      </c>
      <c r="F22" s="2826"/>
      <c r="G22" s="26"/>
      <c r="H22" s="51"/>
      <c r="I22" s="51"/>
      <c r="J22" s="51"/>
      <c r="K22" s="2798"/>
    </row>
    <row r="23" spans="1:14" s="2117" customFormat="1" ht="13.5" customHeight="1">
      <c r="A23" s="2829" t="s">
        <v>1859</v>
      </c>
      <c r="B23" s="3010" t="s">
        <v>2834</v>
      </c>
      <c r="C23" s="2831">
        <f ca="1">ROUND((C18+C19+C20)*F23,0)</f>
        <v>1055</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0" t="s">
        <v>2837</v>
      </c>
      <c r="C24" s="2831">
        <f ca="1">ROUND(C6*F24,0)</f>
        <v>3057</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0" t="s">
        <v>2835</v>
      </c>
      <c r="C25" s="467">
        <f>ROUND(F25/(1+'数据-取费表'!C42),4)</f>
        <v>3.8600000000000002E-2</v>
      </c>
      <c r="D25" s="462" t="s">
        <v>2829</v>
      </c>
      <c r="E25" s="469"/>
      <c r="F25" s="2835">
        <f>'数据-取费表'!B48+'数据-取费表'!B49</f>
        <v>4.0500000000000001E-2</v>
      </c>
      <c r="G25" s="2799" t="s">
        <v>2290</v>
      </c>
      <c r="H25" s="2792"/>
      <c r="I25" s="2792"/>
      <c r="J25" s="2792"/>
      <c r="K25" s="2793"/>
    </row>
    <row r="26" spans="1:14" s="2119" customFormat="1" ht="13.5" customHeight="1">
      <c r="A26" s="2829" t="s">
        <v>1862</v>
      </c>
      <c r="B26" s="3011" t="s">
        <v>2836</v>
      </c>
      <c r="C26" s="2836">
        <f ca="1">C28</f>
        <v>2701</v>
      </c>
      <c r="D26" s="467">
        <f ca="1">C27</f>
        <v>0.10100000000000001</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0.10100000000000001</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2701</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8151</v>
      </c>
      <c r="D29" s="468"/>
      <c r="E29" s="468"/>
      <c r="F29" s="3012">
        <f>'数据-取费表'!B41</f>
        <v>5.6000000000000001E-2</v>
      </c>
      <c r="G29" s="2800" t="s">
        <v>498</v>
      </c>
      <c r="H29" s="2792"/>
      <c r="I29" s="2792"/>
      <c r="J29" s="2792"/>
      <c r="K29" s="2793"/>
    </row>
    <row r="30" spans="1:14" s="2122" customFormat="1" ht="13.5" customHeight="1">
      <c r="A30" s="1636" t="s">
        <v>1864</v>
      </c>
      <c r="B30" s="2841" t="s">
        <v>500</v>
      </c>
      <c r="C30" s="2836">
        <f ca="1">C31</f>
        <v>67720</v>
      </c>
      <c r="D30" s="477">
        <f ca="1">C32</f>
        <v>0.1396</v>
      </c>
      <c r="E30" s="469" t="s">
        <v>495</v>
      </c>
      <c r="F30" s="471"/>
      <c r="G30" s="2799" t="s">
        <v>2976</v>
      </c>
      <c r="H30" s="2792"/>
      <c r="I30" s="2792"/>
      <c r="J30" s="2792"/>
      <c r="K30" s="2793"/>
    </row>
    <row r="31" spans="1:14" s="2121" customFormat="1" ht="13.5" customHeight="1">
      <c r="A31" s="803" t="s">
        <v>1857</v>
      </c>
      <c r="B31" s="2837"/>
      <c r="C31" s="450">
        <f ca="1">C18+C19+C20+C23+C24+C26+C29</f>
        <v>67720</v>
      </c>
      <c r="D31" s="472"/>
      <c r="E31" s="473"/>
      <c r="F31" s="474"/>
      <c r="G31" s="261"/>
      <c r="H31" s="2794"/>
      <c r="I31" s="2794"/>
      <c r="J31" s="2794"/>
      <c r="K31" s="279"/>
    </row>
    <row r="32" spans="1:14" s="2121" customFormat="1" ht="13.5" customHeight="1">
      <c r="A32" s="803" t="s">
        <v>1858</v>
      </c>
      <c r="B32" s="2837"/>
      <c r="C32" s="53">
        <f ca="1">ROUND(C25+D26,4)</f>
        <v>0.1396</v>
      </c>
      <c r="D32" s="472"/>
      <c r="E32" s="473"/>
      <c r="F32" s="474"/>
      <c r="G32" s="261"/>
      <c r="H32" s="2794"/>
      <c r="I32" s="2794"/>
      <c r="J32" s="2794"/>
      <c r="K32" s="279"/>
    </row>
    <row r="33" spans="1:11" s="2123" customFormat="1" ht="13.5" customHeight="1">
      <c r="A33" s="3009" t="s">
        <v>2833</v>
      </c>
      <c r="B33" s="3007" t="s">
        <v>2831</v>
      </c>
      <c r="C33" s="478">
        <f ca="1">C35</f>
        <v>11374</v>
      </c>
      <c r="D33" s="467">
        <f ca="1">C34</f>
        <v>0.2077</v>
      </c>
      <c r="E33" s="469" t="s">
        <v>495</v>
      </c>
      <c r="F33" s="479">
        <f ca="1">IF(B1="",'数据-取费表'!Q16,INDIRECT("'数据-取费表'!q"&amp;$K$1))</f>
        <v>0.2</v>
      </c>
      <c r="G33" s="2795"/>
      <c r="H33" s="2796"/>
      <c r="I33" s="2796"/>
      <c r="J33" s="2796"/>
      <c r="K33" s="2797"/>
    </row>
    <row r="34" spans="1:11" s="2124" customFormat="1" ht="13.5" customHeight="1">
      <c r="A34" s="375" t="s">
        <v>1857</v>
      </c>
      <c r="B34" s="2842" t="s">
        <v>501</v>
      </c>
      <c r="C34" s="472">
        <f ca="1">ROUND((1+C25)*F33,4)</f>
        <v>0.2077</v>
      </c>
      <c r="D34" s="472"/>
      <c r="E34" s="473"/>
      <c r="F34" s="480"/>
      <c r="G34" s="261" t="s">
        <v>2291</v>
      </c>
      <c r="H34" s="2794"/>
      <c r="I34" s="2794"/>
      <c r="J34" s="2794"/>
      <c r="K34" s="279"/>
    </row>
    <row r="35" spans="1:11" s="2124" customFormat="1" ht="13.5" customHeight="1" thickBot="1">
      <c r="A35" s="1637" t="s">
        <v>1858</v>
      </c>
      <c r="B35" s="3008" t="s">
        <v>2839</v>
      </c>
      <c r="C35" s="1629">
        <f ca="1">ROUND((C18+C19+C20+C23+C24)*F33,0)</f>
        <v>11374</v>
      </c>
      <c r="D35" s="1630"/>
      <c r="E35" s="2843"/>
      <c r="F35" s="1631"/>
      <c r="G35" s="2801"/>
      <c r="H35" s="2802"/>
      <c r="I35" s="2802"/>
      <c r="J35" s="2802"/>
      <c r="K35" s="2803"/>
    </row>
    <row r="36" spans="1:11" s="2086" customFormat="1" ht="13.5" customHeight="1" thickBot="1">
      <c r="A36" s="284" t="s">
        <v>1845</v>
      </c>
      <c r="B36" s="2805"/>
      <c r="C36" s="2844">
        <f ca="1">ROUND((C6-C30-C33)/(1+D30+D33),0)</f>
        <v>54732</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H37" sqref="H37"/>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3004</v>
      </c>
      <c r="D1" s="3101" t="s">
        <v>3085</v>
      </c>
      <c r="E1" s="2367" t="s">
        <v>2375</v>
      </c>
      <c r="F1" s="2368">
        <f ca="1">J53</f>
        <v>31.93</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152835</v>
      </c>
      <c r="C2" s="2058"/>
      <c r="D2" s="2056"/>
      <c r="E2" s="2057"/>
      <c r="F2" s="2057"/>
      <c r="G2" s="1591"/>
      <c r="H2" s="2058"/>
      <c r="I2" s="2058"/>
      <c r="J2" s="2058"/>
      <c r="K2" s="2059"/>
      <c r="L2" s="2058"/>
      <c r="M2" s="2058"/>
    </row>
    <row r="3" spans="1:33" ht="18" customHeight="1" thickBot="1">
      <c r="A3" s="833" t="s">
        <v>1728</v>
      </c>
      <c r="B3" s="834">
        <f ca="1">IF(ISERROR(B2*10000/F43),0,ROUND(B2*10000/F43,0))</f>
        <v>22136</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13321</v>
      </c>
      <c r="D5" s="2476" t="s">
        <v>2462</v>
      </c>
      <c r="E5" s="2470"/>
      <c r="F5" s="2471"/>
      <c r="G5" s="1593"/>
      <c r="H5" s="781">
        <v>1</v>
      </c>
      <c r="I5" s="782" t="s">
        <v>2459</v>
      </c>
      <c r="J5" s="55">
        <f ca="1">J6+J10+J12</f>
        <v>0</v>
      </c>
      <c r="K5" s="2476" t="s">
        <v>2462</v>
      </c>
      <c r="L5" s="2470"/>
      <c r="M5" s="2471"/>
    </row>
    <row r="6" spans="1:33" ht="18" customHeight="1">
      <c r="A6" s="1831" t="s">
        <v>1825</v>
      </c>
      <c r="B6" s="3438" t="s">
        <v>2464</v>
      </c>
      <c r="C6" s="783">
        <f ca="1">ROUND(F6*F8*F7*(1-F9)/10000,0)</f>
        <v>13321</v>
      </c>
      <c r="D6" s="2477" t="s">
        <v>2463</v>
      </c>
      <c r="E6" s="784" t="s">
        <v>1739</v>
      </c>
      <c r="F6" s="785">
        <f ca="1">INDIRECT("'数据-取费表'!u"&amp;$G$1)</f>
        <v>5.2858887681708628</v>
      </c>
      <c r="G6" s="1593"/>
      <c r="H6" s="2484" t="s">
        <v>2469</v>
      </c>
      <c r="I6" s="3438" t="s">
        <v>2464</v>
      </c>
      <c r="J6" s="783">
        <f ca="1">ROUND(M6*M8*M7*(1-M9)/10000,0)</f>
        <v>0</v>
      </c>
      <c r="K6" s="341" t="s">
        <v>1738</v>
      </c>
      <c r="L6" s="784" t="s">
        <v>1739</v>
      </c>
      <c r="M6" s="785">
        <f ca="1">INDIRECT("'数据-取费表'!z"&amp;$G$1)</f>
        <v>0</v>
      </c>
    </row>
    <row r="7" spans="1:33" ht="18" customHeight="1">
      <c r="A7" s="2480"/>
      <c r="B7" s="3439"/>
      <c r="C7" s="788"/>
      <c r="D7" s="789"/>
      <c r="E7" s="784" t="s">
        <v>1740</v>
      </c>
      <c r="F7" s="785">
        <f ca="1">IF(INDIRECT("'数据-取费表'!ah"&amp;$G$1)="",INDIRECT("'数据-取费表'!k"&amp;$G$1),INDIRECT("'数据-取费表'!ah"&amp;$G$1))</f>
        <v>69044</v>
      </c>
      <c r="G7" s="1593"/>
      <c r="H7" s="2469"/>
      <c r="I7" s="3439"/>
      <c r="J7" s="788"/>
      <c r="K7" s="789"/>
      <c r="L7" s="784" t="s">
        <v>1740</v>
      </c>
      <c r="M7" s="785">
        <f ca="1">F7</f>
        <v>69044</v>
      </c>
    </row>
    <row r="8" spans="1:33" ht="18" customHeight="1">
      <c r="A8" s="2473"/>
      <c r="B8" s="3440"/>
      <c r="C8" s="788"/>
      <c r="D8" s="789"/>
      <c r="E8" s="784" t="s">
        <v>1741</v>
      </c>
      <c r="F8" s="785">
        <f ca="1">INDIRECT("'数据-取费表'!ai"&amp;$G$1)</f>
        <v>365</v>
      </c>
      <c r="G8" s="1593"/>
      <c r="H8" s="2469"/>
      <c r="I8" s="3440"/>
      <c r="J8" s="788"/>
      <c r="K8" s="789"/>
      <c r="L8" s="784" t="s">
        <v>1741</v>
      </c>
      <c r="M8" s="785">
        <f ca="1">INDIRECT("'数据-取费表'!ai"&amp;$G$1)</f>
        <v>365</v>
      </c>
    </row>
    <row r="9" spans="1:33" ht="18" customHeight="1">
      <c r="A9" s="786"/>
      <c r="B9" s="3441"/>
      <c r="C9" s="788"/>
      <c r="D9" s="789"/>
      <c r="E9" s="784" t="s">
        <v>1742</v>
      </c>
      <c r="F9" s="794">
        <f ca="1">INDIRECT("'数据-取费表'!w"&amp;$G$1)</f>
        <v>0</v>
      </c>
      <c r="G9" s="1593"/>
      <c r="H9" s="2485"/>
      <c r="I9" s="3440"/>
      <c r="J9" s="788"/>
      <c r="K9" s="789"/>
      <c r="L9" s="795" t="s">
        <v>1742</v>
      </c>
      <c r="M9" s="796">
        <f ca="1">INDIRECT("'数据-取费表'!ab"&amp;$G$1)</f>
        <v>0</v>
      </c>
    </row>
    <row r="10" spans="1:33" ht="18" customHeight="1">
      <c r="A10" s="1831" t="s">
        <v>2467</v>
      </c>
      <c r="B10" s="2474" t="s">
        <v>2460</v>
      </c>
      <c r="C10" s="799">
        <f ca="1">ROUND(IF(F10="押一",C6/12*F11,IF(F10="押二",C6/12*2*F11,IF(F10="押三",C6/12*3*F11,C11*F11))),0)</f>
        <v>0</v>
      </c>
      <c r="D10" s="2481" t="s">
        <v>2978</v>
      </c>
      <c r="E10" s="2478" t="s">
        <v>2465</v>
      </c>
      <c r="F10" s="2601" t="s">
        <v>3086</v>
      </c>
      <c r="G10" s="1593"/>
      <c r="H10" s="2541" t="s">
        <v>2470</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68737</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45976</v>
      </c>
      <c r="D14" s="1980" t="s">
        <v>1746</v>
      </c>
      <c r="E14" s="1981"/>
      <c r="F14" s="805"/>
      <c r="G14" s="1593"/>
      <c r="H14" s="1650" t="s">
        <v>1831</v>
      </c>
      <c r="I14" s="2232" t="s">
        <v>2826</v>
      </c>
      <c r="J14" s="53">
        <f ca="1">C29</f>
        <v>68737</v>
      </c>
      <c r="K14" s="26"/>
      <c r="L14" s="801"/>
      <c r="M14" s="802"/>
    </row>
    <row r="15" spans="1:33" s="2065" customFormat="1" ht="18" customHeight="1" thickBot="1">
      <c r="A15" s="1649" t="s">
        <v>1886</v>
      </c>
      <c r="B15" s="784" t="s">
        <v>647</v>
      </c>
      <c r="C15" s="53">
        <f ca="1">ROUND(C14*F15,0)</f>
        <v>1379</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1711</v>
      </c>
      <c r="K16" s="1822" t="s">
        <v>1751</v>
      </c>
      <c r="L16" s="2466"/>
      <c r="M16" s="2471"/>
    </row>
    <row r="17" spans="1:33" s="2065" customFormat="1" ht="18" customHeight="1">
      <c r="A17" s="1649" t="s">
        <v>1888</v>
      </c>
      <c r="B17" s="784" t="s">
        <v>653</v>
      </c>
      <c r="C17" s="53">
        <f ca="1">ROUND(F17*(F43+INDIRECT("'数据-取费表'!S"&amp;$G$1))/10000,0)</f>
        <v>1745</v>
      </c>
      <c r="D17" s="784" t="s">
        <v>1752</v>
      </c>
      <c r="E17" s="784" t="s">
        <v>1753</v>
      </c>
      <c r="F17" s="56">
        <f>'数据-取费表'!B35</f>
        <v>200</v>
      </c>
      <c r="G17" s="1594"/>
      <c r="H17" s="1650" t="s">
        <v>1831</v>
      </c>
      <c r="I17" s="784" t="s">
        <v>656</v>
      </c>
      <c r="J17" s="53">
        <f ca="1">ROUND(IF(项目基本情况!B11="自然人",J5*M17,J18+J19+J20),0)</f>
        <v>680</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690</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49790</v>
      </c>
      <c r="D19" s="261" t="s">
        <v>1758</v>
      </c>
      <c r="E19" s="1983"/>
      <c r="F19" s="56"/>
      <c r="G19" s="1593"/>
      <c r="H19" s="1649" t="s">
        <v>1886</v>
      </c>
      <c r="I19" s="784" t="s">
        <v>1759</v>
      </c>
      <c r="J19" s="53">
        <f ca="1">IF(K19="按租金收入计税",ROUND(J5*M19,1),ROUND(C29*F33*0.7,1))</f>
        <v>577.4</v>
      </c>
      <c r="K19" s="811" t="s">
        <v>665</v>
      </c>
      <c r="L19" s="784" t="s">
        <v>1748</v>
      </c>
      <c r="M19" s="809">
        <f>IF(K19="按租金收入计税",'数据-取费表'!B51,'数据-取费表'!B50)</f>
        <v>1.2E-2</v>
      </c>
    </row>
    <row r="20" spans="1:33" s="2065" customFormat="1" ht="18" customHeight="1">
      <c r="A20" s="1650" t="s">
        <v>1890</v>
      </c>
      <c r="B20" s="784" t="s">
        <v>666</v>
      </c>
      <c r="C20" s="53">
        <f ca="1">ROUND(C19*F20,0)</f>
        <v>996</v>
      </c>
      <c r="D20" s="812" t="s">
        <v>1760</v>
      </c>
      <c r="E20" s="784" t="s">
        <v>1748</v>
      </c>
      <c r="F20" s="809">
        <f>'数据-取费表'!B37</f>
        <v>0.02</v>
      </c>
      <c r="G20" s="1594"/>
      <c r="H20" s="1652" t="s">
        <v>1881</v>
      </c>
      <c r="I20" s="341" t="s">
        <v>1761</v>
      </c>
      <c r="J20" s="54">
        <f ca="1">ROUND(M20*M21/10000,0)</f>
        <v>103</v>
      </c>
      <c r="K20" s="814" t="s">
        <v>1762</v>
      </c>
      <c r="L20" s="784" t="s">
        <v>1763</v>
      </c>
      <c r="M20" s="640">
        <f>'数据-取费表'!B52</f>
        <v>15</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68972.94</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1031</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2412</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0.04</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5" t="s">
        <v>2822</v>
      </c>
      <c r="J25" s="792">
        <f ca="1">J5-J16</f>
        <v>-1711</v>
      </c>
      <c r="K25" s="2528" t="s">
        <v>1778</v>
      </c>
      <c r="L25" s="2529"/>
      <c r="M25" s="2530"/>
    </row>
    <row r="26" spans="1:33" ht="18" customHeight="1">
      <c r="A26" s="1649" t="s">
        <v>1832</v>
      </c>
      <c r="B26" s="784" t="s">
        <v>2439</v>
      </c>
      <c r="C26" s="53">
        <f ca="1">ROUND((C19+C20)*F26,0)</f>
        <v>10157</v>
      </c>
      <c r="D26" s="812" t="s">
        <v>1779</v>
      </c>
      <c r="E26" s="795" t="s">
        <v>1780</v>
      </c>
      <c r="F26" s="794">
        <f ca="1">INDIRECT("'数据-取费表'!q"&amp;$G$1)</f>
        <v>0.2</v>
      </c>
      <c r="G26" s="1593"/>
      <c r="H26" s="2482" t="s">
        <v>1781</v>
      </c>
      <c r="I26" s="2233" t="s">
        <v>2827</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4.0000000000000001E-3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68737</v>
      </c>
      <c r="D29" s="2525"/>
      <c r="E29" s="2526"/>
      <c r="F29" s="2527"/>
      <c r="G29" s="1594"/>
      <c r="H29" s="823" t="s">
        <v>1788</v>
      </c>
      <c r="I29" s="824" t="s">
        <v>1789</v>
      </c>
      <c r="J29" s="825">
        <f ca="1">ROUND(J26/(1+F40)^F41,0)</f>
        <v>0</v>
      </c>
      <c r="K29" s="826" t="s">
        <v>1790</v>
      </c>
      <c r="L29" s="827"/>
      <c r="M29" s="828">
        <f ca="1">INDIRECT("'数据-取费表'!k"&amp;$G$1)</f>
        <v>69044</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3058</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1391.4</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710.5</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577.4</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2" t="s">
        <v>1834</v>
      </c>
      <c r="B34" s="341" t="s">
        <v>1799</v>
      </c>
      <c r="C34" s="54">
        <f ca="1">ROUND(F34*F35/10000,1)</f>
        <v>103.5</v>
      </c>
      <c r="D34" s="814" t="s">
        <v>1800</v>
      </c>
      <c r="E34" s="784" t="s">
        <v>1801</v>
      </c>
      <c r="F34" s="640">
        <f>'数据-取费表'!B52</f>
        <v>15</v>
      </c>
      <c r="G34" s="2063"/>
      <c r="H34" s="2066"/>
      <c r="I34" s="835" t="s">
        <v>1814</v>
      </c>
      <c r="J34" s="836"/>
      <c r="K34" s="2081"/>
      <c r="L34" s="2080"/>
      <c r="M34" s="2080"/>
    </row>
    <row r="35" spans="1:18" ht="18" customHeight="1">
      <c r="A35" s="815"/>
      <c r="B35" s="793"/>
      <c r="C35" s="69"/>
      <c r="D35" s="816"/>
      <c r="E35" s="784" t="s">
        <v>1802</v>
      </c>
      <c r="F35" s="785">
        <f ca="1">INDIRECT("'数据-取费表'!r"&amp;$G$1)</f>
        <v>68972.94</v>
      </c>
      <c r="G35" s="2063"/>
      <c r="H35" s="2066"/>
      <c r="I35" s="837" t="s">
        <v>1815</v>
      </c>
      <c r="J35" s="838">
        <f ca="1">ROUND(C13*J36,0)</f>
        <v>5499</v>
      </c>
      <c r="K35" s="2079"/>
      <c r="L35" s="2078"/>
      <c r="M35" s="2078"/>
    </row>
    <row r="36" spans="1:18" ht="18" customHeight="1">
      <c r="A36" s="1650" t="s">
        <v>1890</v>
      </c>
      <c r="B36" s="784" t="s">
        <v>1803</v>
      </c>
      <c r="C36" s="53">
        <f ca="1">ROUND(C29*F36,1)</f>
        <v>1031.0999999999999</v>
      </c>
      <c r="D36" s="1978" t="s">
        <v>1804</v>
      </c>
      <c r="E36" s="784" t="s">
        <v>1797</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103.1</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532.79999999999995</v>
      </c>
      <c r="D38" s="2525" t="s">
        <v>1806</v>
      </c>
      <c r="E38" s="2526" t="s">
        <v>1797</v>
      </c>
      <c r="F38" s="2522">
        <f ca="1">INDIRECT("'数据-取费表'!Am"&amp;$G$1)</f>
        <v>0.04</v>
      </c>
      <c r="G38" s="2063"/>
      <c r="H38" s="2078"/>
      <c r="I38" s="843" t="s">
        <v>1818</v>
      </c>
      <c r="J38" s="844"/>
      <c r="K38" s="2084"/>
      <c r="L38" s="2078"/>
      <c r="M38" s="2078"/>
    </row>
    <row r="39" spans="1:18" ht="24.6" customHeight="1" thickTop="1">
      <c r="A39" s="1830" t="s">
        <v>1895</v>
      </c>
      <c r="B39" s="2985" t="s">
        <v>2822</v>
      </c>
      <c r="C39" s="792">
        <f ca="1">C5-C30</f>
        <v>10263</v>
      </c>
      <c r="D39" s="2528" t="s">
        <v>1807</v>
      </c>
      <c r="E39" s="2529"/>
      <c r="F39" s="2530"/>
      <c r="G39" s="2063"/>
      <c r="H39" s="2078"/>
      <c r="I39" s="837" t="s">
        <v>1819</v>
      </c>
      <c r="J39" s="845">
        <f ca="1">ROUND(J35/C39,3)</f>
        <v>0.53600000000000003</v>
      </c>
      <c r="K39" s="2084"/>
      <c r="L39" s="2078"/>
      <c r="M39" s="2078"/>
    </row>
    <row r="40" spans="1:18" ht="18" customHeight="1">
      <c r="A40" s="781" t="s">
        <v>1896</v>
      </c>
      <c r="B40" s="2233" t="s">
        <v>2302</v>
      </c>
      <c r="C40" s="783">
        <f ca="1">ROUND(C39*(1-((1+F42)/(1+F40))^F41)/(F40-F42),0)</f>
        <v>152835</v>
      </c>
      <c r="D40" s="814" t="s">
        <v>1808</v>
      </c>
      <c r="E40" s="784" t="s">
        <v>2420</v>
      </c>
      <c r="F40" s="794">
        <f ca="1">INDIRECT("'数据-取费表'!I"&amp;$G$1)</f>
        <v>5.5E-2</v>
      </c>
      <c r="G40" s="2063"/>
      <c r="H40" s="2063"/>
      <c r="I40" s="837" t="s">
        <v>1820</v>
      </c>
      <c r="J40" s="845">
        <f ca="1">1-J39</f>
        <v>0.46399999999999997</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31.93</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f ca="1">ROUND(C13/C40,3)</f>
        <v>0.45</v>
      </c>
      <c r="K42" s="2083"/>
      <c r="L42" s="1989"/>
      <c r="M42" s="1989"/>
    </row>
    <row r="43" spans="1:18" ht="18" customHeight="1" thickBot="1">
      <c r="A43" s="823" t="s">
        <v>1788</v>
      </c>
      <c r="B43" s="824" t="s">
        <v>1811</v>
      </c>
      <c r="C43" s="825">
        <f ca="1">ROUND(C40*10000/F43,0)</f>
        <v>22136</v>
      </c>
      <c r="D43" s="826" t="s">
        <v>1812</v>
      </c>
      <c r="E43" s="827" t="s">
        <v>1813</v>
      </c>
      <c r="F43" s="828">
        <f ca="1">INDIRECT("'数据-取费表'!k"&amp;$G$1)</f>
        <v>69044</v>
      </c>
      <c r="G43" s="2063"/>
      <c r="H43" s="1989"/>
      <c r="I43" s="847" t="s">
        <v>1823</v>
      </c>
      <c r="J43" s="848">
        <f ca="1">1-J42</f>
        <v>0.55000000000000004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-179864</v>
      </c>
      <c r="D46" s="2086"/>
      <c r="E46" s="2086"/>
      <c r="F46" s="2086"/>
      <c r="I46" s="2358" t="s">
        <v>2344</v>
      </c>
      <c r="J46" s="2359"/>
      <c r="K46" s="2360"/>
      <c r="L46" s="3133">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3" t="s">
        <v>2345</v>
      </c>
      <c r="J47" s="2361" t="s">
        <v>3087</v>
      </c>
      <c r="K47" s="3130" t="s">
        <v>2350</v>
      </c>
      <c r="L47" s="3134">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2" t="s">
        <v>2346</v>
      </c>
      <c r="J48" s="2362" t="s">
        <v>2351</v>
      </c>
      <c r="K48" s="3131" t="s">
        <v>2352</v>
      </c>
      <c r="L48" s="1909">
        <f ca="1">INDIRECT("'数据-取费表'!f"&amp;$G$1)</f>
        <v>33.93</v>
      </c>
      <c r="O48" s="2378" t="s">
        <v>2380</v>
      </c>
      <c r="P48" s="2379" t="s">
        <v>2406</v>
      </c>
      <c r="Q48" s="2380">
        <f ca="1">C40+J29</f>
        <v>152835</v>
      </c>
      <c r="R48" s="2379" t="s">
        <v>2381</v>
      </c>
    </row>
    <row r="49" spans="1:18" s="2060" customFormat="1" ht="18" customHeight="1" thickBot="1">
      <c r="A49" s="786"/>
      <c r="B49" s="787"/>
      <c r="C49" s="788"/>
      <c r="D49" s="789"/>
      <c r="E49" s="784" t="s">
        <v>1740</v>
      </c>
      <c r="F49" s="785">
        <f ca="1">F7</f>
        <v>69044</v>
      </c>
      <c r="G49" s="2091"/>
      <c r="H49" s="2094"/>
      <c r="I49" s="3102" t="s">
        <v>2347</v>
      </c>
      <c r="J49" s="2363">
        <v>2021</v>
      </c>
      <c r="K49" s="3132"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2" t="s">
        <v>2348</v>
      </c>
      <c r="J50" s="3127">
        <f>SUMPRODUCT((I63:I65=J47)*(J62:L62=J48)*(J63:L65))</f>
        <v>60</v>
      </c>
      <c r="K50" s="3132" t="s">
        <v>2354</v>
      </c>
      <c r="L50" s="2364"/>
      <c r="O50" s="2381" t="s">
        <v>2384</v>
      </c>
      <c r="P50" s="2379" t="s">
        <v>2408</v>
      </c>
      <c r="Q50" s="2380">
        <f ca="1">C29</f>
        <v>68737</v>
      </c>
      <c r="R50" s="2379" t="s">
        <v>2381</v>
      </c>
    </row>
    <row r="51" spans="1:18" s="2060" customFormat="1" ht="18" customHeight="1" thickBot="1">
      <c r="A51" s="786"/>
      <c r="B51" s="787"/>
      <c r="C51" s="788"/>
      <c r="D51" s="789"/>
      <c r="E51" s="784" t="s">
        <v>640</v>
      </c>
      <c r="F51" s="2351"/>
      <c r="H51" s="2094"/>
      <c r="I51" s="3124" t="s">
        <v>2349</v>
      </c>
      <c r="J51" s="3128">
        <f>IF(J49="",J50,J49+J50-YEAR('数据-取费表'!B2))</f>
        <v>62</v>
      </c>
      <c r="K51" s="3102" t="s">
        <v>2355</v>
      </c>
      <c r="L51" s="3135">
        <f ca="1">ROUND(-PV(INDIRECT("'数据-取费表'!h"&amp;$G$1),L48,(C39-C13*J36),0),0)</f>
        <v>77082</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2979</v>
      </c>
      <c r="E52" s="2478" t="s">
        <v>2465</v>
      </c>
      <c r="F52" s="2601"/>
      <c r="I52" s="3125" t="s">
        <v>2422</v>
      </c>
      <c r="J52" s="2365">
        <v>8.5000000000000006E-2</v>
      </c>
      <c r="K52" s="3125" t="s">
        <v>2421</v>
      </c>
      <c r="L52" s="2365"/>
      <c r="O52" s="2381" t="s">
        <v>2387</v>
      </c>
      <c r="P52" s="2379" t="s">
        <v>2388</v>
      </c>
      <c r="Q52" s="2382">
        <f>J52</f>
        <v>8.5000000000000006E-2</v>
      </c>
      <c r="R52" s="2383"/>
    </row>
    <row r="53" spans="1:18" s="2060" customFormat="1" ht="39.75" customHeight="1" thickBot="1">
      <c r="A53" s="786"/>
      <c r="B53" s="2475" t="s">
        <v>2574</v>
      </c>
      <c r="C53" s="2479"/>
      <c r="D53" s="2481"/>
      <c r="E53" s="2478"/>
      <c r="F53" s="800"/>
      <c r="I53" s="3126" t="s">
        <v>2982</v>
      </c>
      <c r="J53" s="3129">
        <f ca="1">IF(M47="住宅",IF(D1="——",MAX(J51,L48),MAX(J51,L48-'数据-取费表'!B20)),IF(D1="——",MIN(J51,L48),MIN(J51,L48-'数据-取费表'!B20)))</f>
        <v>31.93</v>
      </c>
      <c r="K53" s="3455" t="s">
        <v>2970</v>
      </c>
      <c r="L53" s="3456"/>
      <c r="O53" s="2381" t="s">
        <v>2389</v>
      </c>
      <c r="P53" s="2379" t="s">
        <v>2390</v>
      </c>
      <c r="Q53" s="2380">
        <f ca="1">J53</f>
        <v>31.93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152835</v>
      </c>
      <c r="R54" s="2383" t="s">
        <v>2393</v>
      </c>
    </row>
    <row r="55" spans="1:18" s="2060" customFormat="1" ht="18" customHeight="1" thickTop="1" thickBot="1">
      <c r="A55" s="797">
        <v>2</v>
      </c>
      <c r="B55" s="798" t="s">
        <v>644</v>
      </c>
      <c r="C55" s="799">
        <f ca="1">C13</f>
        <v>68737</v>
      </c>
      <c r="D55" s="795"/>
      <c r="E55" s="795"/>
      <c r="F55" s="800"/>
      <c r="I55" s="3138" t="s">
        <v>2356</v>
      </c>
      <c r="J55" s="3077" t="e">
        <f ca="1">ROUND(IF(J47="钢混",J57/J50,1-(1-2%)*(J50-J57)/J50),3)</f>
        <v>#VALUE!</v>
      </c>
      <c r="K55" s="3139" t="s">
        <v>2357</v>
      </c>
      <c r="L55" s="2366"/>
      <c r="O55" s="2384" t="s">
        <v>2412</v>
      </c>
      <c r="P55" s="1593"/>
      <c r="Q55" s="1605"/>
      <c r="R55" s="1593"/>
    </row>
    <row r="56" spans="1:18" s="2060" customFormat="1" ht="42.75" customHeight="1" thickBot="1">
      <c r="A56" s="1651"/>
      <c r="B56" s="2232" t="s">
        <v>2303</v>
      </c>
      <c r="C56" s="53">
        <f ca="1">C29</f>
        <v>68737</v>
      </c>
      <c r="D56" s="2619"/>
      <c r="E56" s="784"/>
      <c r="F56" s="809"/>
      <c r="I56" s="3140" t="s">
        <v>2358</v>
      </c>
      <c r="J56" s="3150" t="s">
        <v>1679</v>
      </c>
      <c r="K56" s="3102"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1815</v>
      </c>
      <c r="D57" s="26" t="s">
        <v>1751</v>
      </c>
      <c r="E57" s="2620"/>
      <c r="F57" s="56"/>
      <c r="I57" s="3141" t="s">
        <v>2359</v>
      </c>
      <c r="J57" s="3142" t="str">
        <f ca="1">IF(OR(M47="住宅",J51&lt;L48,J56="是"),"——",J51-L48)</f>
        <v>——</v>
      </c>
      <c r="K57" s="3102" t="s">
        <v>2364</v>
      </c>
      <c r="L57" s="1909" t="str">
        <f ca="1">IF(L48&lt;J51,"——",IF(L55="比较法",L49,IF(L55="基准地价",L50,L51)))</f>
        <v>——</v>
      </c>
      <c r="O57" s="2378" t="s">
        <v>2380</v>
      </c>
      <c r="P57" s="2379" t="s">
        <v>2410</v>
      </c>
      <c r="Q57" s="2380">
        <f ca="1">C40+J29</f>
        <v>152835</v>
      </c>
      <c r="R57" s="2379" t="s">
        <v>2381</v>
      </c>
    </row>
    <row r="58" spans="1:18" s="2060" customFormat="1" ht="28.5" customHeight="1" thickBot="1">
      <c r="A58" s="1650" t="s">
        <v>1825</v>
      </c>
      <c r="B58" s="784" t="s">
        <v>656</v>
      </c>
      <c r="C58" s="53">
        <f ca="1">ROUND(IF(项目基本情况!B11="自然人",C47*F58,C59+C60+C61),1)</f>
        <v>680.9</v>
      </c>
      <c r="D58" s="2618" t="s">
        <v>657</v>
      </c>
      <c r="E58" s="2619" t="s">
        <v>690</v>
      </c>
      <c r="F58" s="810" t="str">
        <f ca="1">IF(项目基本情况!B11="企业","",IF(INDIRECT("'数据-取费表'!c"&amp;$G$1)="住宅",5%,IF(F48*F49*F50/12/(1+'数据-取费表'!C42)&gt;20000,12%,7%)))</f>
        <v/>
      </c>
      <c r="I58" s="3141" t="s">
        <v>2360</v>
      </c>
      <c r="J58" s="3078" t="e">
        <f ca="1">IF(J55&lt;0.4,0.4,J55)</f>
        <v>#VALUE!</v>
      </c>
      <c r="K58" s="3102"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5.6000000000000001E-2</v>
      </c>
      <c r="I59" s="3141" t="s">
        <v>2361</v>
      </c>
      <c r="J59" s="3142" t="str">
        <f ca="1">IF(OR(M47="住宅",J51&lt;L48,J56="是"),"——",ROUND(C29*J58,0))</f>
        <v>——</v>
      </c>
      <c r="K59" s="3102"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577.4</v>
      </c>
      <c r="D60" s="2619" t="str">
        <f>D33</f>
        <v>按房产原值计税</v>
      </c>
      <c r="E60" s="784" t="s">
        <v>1748</v>
      </c>
      <c r="F60" s="809">
        <f t="shared" si="0"/>
        <v>1.2E-2</v>
      </c>
      <c r="I60" s="3143" t="s">
        <v>2362</v>
      </c>
      <c r="J60" s="3144" t="str">
        <f ca="1">IF(OR(M47="住宅",J51&lt;L48,J56="是"),"0",ROUND(J59/(1+J52)^J53,0))</f>
        <v>0</v>
      </c>
      <c r="K60" s="3145" t="s">
        <v>2367</v>
      </c>
      <c r="L60" s="3144">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103.5</v>
      </c>
      <c r="D61" s="814" t="s">
        <v>669</v>
      </c>
      <c r="E61" s="784" t="s">
        <v>670</v>
      </c>
      <c r="F61" s="640">
        <f t="shared" si="0"/>
        <v>15</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68972.94</v>
      </c>
      <c r="I62" s="3146" t="s">
        <v>2368</v>
      </c>
      <c r="J62" s="3147" t="s">
        <v>2369</v>
      </c>
      <c r="K62" s="3147" t="s">
        <v>2370</v>
      </c>
      <c r="L62" s="3147" t="s">
        <v>2351</v>
      </c>
      <c r="M62" s="3148"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1031.0999999999999</v>
      </c>
      <c r="D63" s="2619" t="s">
        <v>1804</v>
      </c>
      <c r="E63" s="784" t="s">
        <v>1748</v>
      </c>
      <c r="F63" s="817">
        <f t="shared" ca="1" si="0"/>
        <v>1.4999999999999999E-2</v>
      </c>
      <c r="I63" s="3146" t="s">
        <v>2371</v>
      </c>
      <c r="J63" s="3147">
        <v>70</v>
      </c>
      <c r="K63" s="3147">
        <v>50</v>
      </c>
      <c r="L63" s="3147">
        <v>80</v>
      </c>
      <c r="M63" s="3149">
        <v>0.02</v>
      </c>
      <c r="O63" s="2378" t="s">
        <v>2392</v>
      </c>
      <c r="P63" s="2379" t="s">
        <v>2409</v>
      </c>
      <c r="Q63" s="2380">
        <f ca="1">Q57+Q58</f>
        <v>152835</v>
      </c>
      <c r="R63" s="2383" t="s">
        <v>2393</v>
      </c>
    </row>
    <row r="64" spans="1:18" s="2060" customFormat="1" ht="16.5" thickBot="1">
      <c r="A64" s="1650" t="s">
        <v>1891</v>
      </c>
      <c r="B64" s="784" t="s">
        <v>679</v>
      </c>
      <c r="C64" s="53">
        <f ca="1">ROUND(C55*F64,1)</f>
        <v>103.1</v>
      </c>
      <c r="D64" s="2619" t="s">
        <v>680</v>
      </c>
      <c r="E64" s="784" t="s">
        <v>1748</v>
      </c>
      <c r="F64" s="818">
        <f t="shared" ca="1" si="0"/>
        <v>1.5E-3</v>
      </c>
      <c r="I64" s="3146" t="s">
        <v>2372</v>
      </c>
      <c r="J64" s="3147">
        <v>50</v>
      </c>
      <c r="K64" s="3147">
        <v>35</v>
      </c>
      <c r="L64" s="3147">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0.04</v>
      </c>
      <c r="I65" s="3146" t="s">
        <v>2373</v>
      </c>
      <c r="J65" s="3147">
        <v>40</v>
      </c>
      <c r="K65" s="3147">
        <v>30</v>
      </c>
      <c r="L65" s="3147">
        <v>50</v>
      </c>
      <c r="M65" s="3149">
        <v>0.02</v>
      </c>
      <c r="O65" s="2375" t="s">
        <v>2376</v>
      </c>
      <c r="P65" s="2376" t="s">
        <v>2377</v>
      </c>
      <c r="Q65" s="2377" t="s">
        <v>2378</v>
      </c>
      <c r="R65" s="2376" t="s">
        <v>2379</v>
      </c>
    </row>
    <row r="66" spans="1:18" s="2060" customFormat="1" ht="24.75" thickBot="1">
      <c r="A66" s="797" t="s">
        <v>1777</v>
      </c>
      <c r="B66" s="2986" t="s">
        <v>2822</v>
      </c>
      <c r="C66" s="799">
        <f ca="1">C47-C57</f>
        <v>-1815</v>
      </c>
      <c r="D66" s="2618" t="s">
        <v>700</v>
      </c>
      <c r="E66" s="2617"/>
      <c r="F66" s="820"/>
      <c r="K66" s="2087"/>
      <c r="O66" s="2378" t="s">
        <v>2380</v>
      </c>
      <c r="P66" s="2379" t="s">
        <v>2410</v>
      </c>
      <c r="Q66" s="2380">
        <f ca="1">C40+J29</f>
        <v>152835</v>
      </c>
      <c r="R66" s="2379" t="s">
        <v>2381</v>
      </c>
    </row>
    <row r="67" spans="1:18" s="2060" customFormat="1" ht="20.25" thickBot="1">
      <c r="A67" s="781" t="s">
        <v>1781</v>
      </c>
      <c r="B67" s="2233" t="s">
        <v>2302</v>
      </c>
      <c r="C67" s="783">
        <f ca="1">ROUND(C66*(1-((1+F69)/(1+F67))^F68)/(F67-F69),0)</f>
        <v>-27029</v>
      </c>
      <c r="D67" s="814" t="s">
        <v>704</v>
      </c>
      <c r="E67" s="784" t="s">
        <v>705</v>
      </c>
      <c r="F67" s="794">
        <f ca="1">F40</f>
        <v>5.5E-2</v>
      </c>
      <c r="K67" s="2087"/>
      <c r="O67" s="2378" t="s">
        <v>2382</v>
      </c>
      <c r="P67" s="2379" t="s">
        <v>2413</v>
      </c>
      <c r="Q67" s="2380">
        <f ca="1">L60</f>
        <v>0</v>
      </c>
      <c r="R67" s="2383" t="s">
        <v>2415</v>
      </c>
    </row>
    <row r="68" spans="1:18" ht="21.75" thickBot="1">
      <c r="A68" s="786"/>
      <c r="B68" s="787"/>
      <c r="C68" s="788"/>
      <c r="D68" s="821" t="s">
        <v>1809</v>
      </c>
      <c r="E68" s="784" t="s">
        <v>1785</v>
      </c>
      <c r="F68" s="822">
        <f ca="1">F41</f>
        <v>31.93</v>
      </c>
      <c r="O68" s="2381" t="s">
        <v>2384</v>
      </c>
      <c r="P68" s="2379" t="s">
        <v>2414</v>
      </c>
      <c r="Q68" s="2385">
        <f ca="1">L51</f>
        <v>77082</v>
      </c>
      <c r="R68" s="2386" t="s">
        <v>2417</v>
      </c>
    </row>
    <row r="69" spans="1:18" ht="20.25" thickBot="1">
      <c r="A69" s="790"/>
      <c r="B69" s="791"/>
      <c r="C69" s="792"/>
      <c r="D69" s="816"/>
      <c r="E69" s="784" t="s">
        <v>710</v>
      </c>
      <c r="F69" s="2351"/>
      <c r="O69" s="2381" t="s">
        <v>2385</v>
      </c>
      <c r="P69" s="2387" t="s">
        <v>2399</v>
      </c>
      <c r="Q69" s="2380">
        <f ca="1">ROUND(Q70-Q71*Q72,0)</f>
        <v>4764</v>
      </c>
      <c r="R69" s="2383"/>
    </row>
    <row r="70" spans="1:18" ht="15.75" thickBot="1">
      <c r="A70" s="823" t="s">
        <v>1788</v>
      </c>
      <c r="B70" s="824" t="s">
        <v>1811</v>
      </c>
      <c r="C70" s="825">
        <f ca="1">ROUND(C67*10000/F70,0)</f>
        <v>-3915</v>
      </c>
      <c r="D70" s="826" t="s">
        <v>1812</v>
      </c>
      <c r="E70" s="827" t="s">
        <v>1813</v>
      </c>
      <c r="F70" s="828">
        <f ca="1">F43</f>
        <v>69044</v>
      </c>
      <c r="O70" s="2381" t="s">
        <v>2400</v>
      </c>
      <c r="P70" s="2387" t="s">
        <v>2401</v>
      </c>
      <c r="Q70" s="2380">
        <f ca="1">C39</f>
        <v>10263</v>
      </c>
      <c r="R70" s="2379" t="s">
        <v>2381</v>
      </c>
    </row>
    <row r="71" spans="1:18" ht="15.75" thickBot="1">
      <c r="O71" s="2381" t="s">
        <v>2402</v>
      </c>
      <c r="P71" s="2387" t="s">
        <v>2403</v>
      </c>
      <c r="Q71" s="2380">
        <f ca="1">C13</f>
        <v>68737</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152835</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26" sqref="E26:G26"/>
    </sheetView>
  </sheetViews>
  <sheetFormatPr defaultRowHeight="13.5"/>
  <cols>
    <col min="1" max="1" width="10.5" customWidth="1"/>
    <col min="2" max="2" width="12.875" customWidth="1"/>
    <col min="3" max="3" width="8.75" customWidth="1"/>
  </cols>
  <sheetData>
    <row r="1" spans="1:9" ht="14.25">
      <c r="A1" s="3457" t="s">
        <v>2472</v>
      </c>
      <c r="B1" s="3458"/>
      <c r="C1" s="3459"/>
      <c r="D1" s="3460">
        <f>SUM(I10,I15,I20,I21,I23)</f>
        <v>19030</v>
      </c>
      <c r="E1" s="3460"/>
      <c r="F1" s="3460"/>
      <c r="G1" s="3460"/>
      <c r="H1" s="3460"/>
      <c r="I1" s="3461"/>
    </row>
    <row r="2" spans="1:9">
      <c r="A2" s="3462" t="s">
        <v>2473</v>
      </c>
      <c r="B2" s="3463" t="s">
        <v>2474</v>
      </c>
      <c r="C2" s="3463"/>
      <c r="D2" s="2487" t="s">
        <v>2475</v>
      </c>
      <c r="E2" s="2487" t="s">
        <v>2476</v>
      </c>
      <c r="F2" s="2487" t="s">
        <v>2477</v>
      </c>
      <c r="G2" s="2487" t="s">
        <v>2478</v>
      </c>
      <c r="H2" s="2487" t="s">
        <v>2479</v>
      </c>
      <c r="I2" s="2488" t="s">
        <v>2480</v>
      </c>
    </row>
    <row r="3" spans="1:9">
      <c r="A3" s="3462"/>
      <c r="B3" s="3463" t="s">
        <v>2481</v>
      </c>
      <c r="C3" s="3463"/>
      <c r="D3" s="2489">
        <v>820</v>
      </c>
      <c r="E3" s="2487">
        <v>850</v>
      </c>
      <c r="F3" s="2490">
        <v>0.85</v>
      </c>
      <c r="G3" s="2490">
        <v>0.8</v>
      </c>
      <c r="H3" s="2491">
        <v>365</v>
      </c>
      <c r="I3" s="2492">
        <f>ROUND(D3*E3*F3*G3*H3/10000,0)</f>
        <v>17300</v>
      </c>
    </row>
    <row r="4" spans="1:9">
      <c r="A4" s="3462"/>
      <c r="B4" s="3463" t="s">
        <v>2482</v>
      </c>
      <c r="C4" s="3463"/>
      <c r="D4" s="2489"/>
      <c r="E4" s="2487"/>
      <c r="F4" s="2490"/>
      <c r="G4" s="2490"/>
      <c r="H4" s="2491"/>
      <c r="I4" s="2492">
        <f t="shared" ref="I4:I9" si="0">ROUND(D4*E4*F4*G4*H4/10000,0)</f>
        <v>0</v>
      </c>
    </row>
    <row r="5" spans="1:9">
      <c r="A5" s="3462"/>
      <c r="B5" s="3463" t="s">
        <v>2483</v>
      </c>
      <c r="C5" s="3463"/>
      <c r="D5" s="2489"/>
      <c r="E5" s="2487"/>
      <c r="F5" s="2490"/>
      <c r="G5" s="2490"/>
      <c r="H5" s="2491"/>
      <c r="I5" s="2492">
        <f t="shared" si="0"/>
        <v>0</v>
      </c>
    </row>
    <row r="6" spans="1:9">
      <c r="A6" s="3462"/>
      <c r="B6" s="3463" t="s">
        <v>2484</v>
      </c>
      <c r="C6" s="3463"/>
      <c r="D6" s="2489"/>
      <c r="E6" s="2487"/>
      <c r="F6" s="2490"/>
      <c r="G6" s="2490"/>
      <c r="H6" s="2491"/>
      <c r="I6" s="2492">
        <f t="shared" si="0"/>
        <v>0</v>
      </c>
    </row>
    <row r="7" spans="1:9">
      <c r="A7" s="3462"/>
      <c r="B7" s="3463" t="s">
        <v>2485</v>
      </c>
      <c r="C7" s="3463"/>
      <c r="D7" s="2489"/>
      <c r="E7" s="2487"/>
      <c r="F7" s="2490"/>
      <c r="G7" s="2490"/>
      <c r="H7" s="2491"/>
      <c r="I7" s="2492">
        <f t="shared" si="0"/>
        <v>0</v>
      </c>
    </row>
    <row r="8" spans="1:9">
      <c r="A8" s="3462"/>
      <c r="B8" s="3463" t="s">
        <v>2486</v>
      </c>
      <c r="C8" s="3463"/>
      <c r="D8" s="2489"/>
      <c r="E8" s="2487"/>
      <c r="F8" s="2490"/>
      <c r="G8" s="2490"/>
      <c r="H8" s="2491"/>
      <c r="I8" s="2492">
        <f t="shared" si="0"/>
        <v>0</v>
      </c>
    </row>
    <row r="9" spans="1:9">
      <c r="A9" s="3462"/>
      <c r="B9" s="3463" t="s">
        <v>2487</v>
      </c>
      <c r="C9" s="3463"/>
      <c r="D9" s="2489"/>
      <c r="E9" s="2487"/>
      <c r="F9" s="2490"/>
      <c r="G9" s="2490"/>
      <c r="H9" s="2491"/>
      <c r="I9" s="2492">
        <f t="shared" si="0"/>
        <v>0</v>
      </c>
    </row>
    <row r="10" spans="1:9">
      <c r="A10" s="3462"/>
      <c r="B10" s="3464" t="s">
        <v>2488</v>
      </c>
      <c r="C10" s="3464"/>
      <c r="D10" s="2493"/>
      <c r="E10" s="2493" t="e">
        <f>ROUND(D1*10000/D10/H9,0)</f>
        <v>#DIV/0!</v>
      </c>
      <c r="F10" s="2494"/>
      <c r="G10" s="2494"/>
      <c r="H10" s="2495"/>
      <c r="I10" s="2496">
        <f>SUM(I3:I9)</f>
        <v>17300</v>
      </c>
    </row>
    <row r="11" spans="1:9" ht="14.25">
      <c r="A11" s="3462" t="s">
        <v>2489</v>
      </c>
      <c r="B11" s="3463" t="s">
        <v>2490</v>
      </c>
      <c r="C11" s="3463"/>
      <c r="D11" s="2489" t="s">
        <v>2491</v>
      </c>
      <c r="E11" s="2489" t="s">
        <v>2492</v>
      </c>
      <c r="F11" s="2490" t="s">
        <v>2493</v>
      </c>
      <c r="G11" s="2490" t="s">
        <v>2494</v>
      </c>
      <c r="H11" s="2497" t="s">
        <v>2495</v>
      </c>
      <c r="I11" s="2488" t="s">
        <v>2496</v>
      </c>
    </row>
    <row r="12" spans="1:9">
      <c r="A12" s="3462"/>
      <c r="B12" s="3463" t="s">
        <v>2497</v>
      </c>
      <c r="C12" s="3463"/>
      <c r="D12" s="2489"/>
      <c r="E12" s="2489"/>
      <c r="F12" s="2490"/>
      <c r="G12" s="2491"/>
      <c r="H12" s="2498"/>
      <c r="I12" s="2488">
        <f>ROUND(D12*E12*F12*G12/10000,0)</f>
        <v>0</v>
      </c>
    </row>
    <row r="13" spans="1:9">
      <c r="A13" s="3462"/>
      <c r="B13" s="3463" t="s">
        <v>2498</v>
      </c>
      <c r="C13" s="3463"/>
      <c r="D13" s="2489"/>
      <c r="E13" s="2489"/>
      <c r="F13" s="2490"/>
      <c r="G13" s="2491"/>
      <c r="H13" s="2498"/>
      <c r="I13" s="2488">
        <f>ROUND(D13*E13*F13*G13/10000,0)</f>
        <v>0</v>
      </c>
    </row>
    <row r="14" spans="1:9">
      <c r="A14" s="3462"/>
      <c r="B14" s="3463" t="s">
        <v>2499</v>
      </c>
      <c r="C14" s="3463"/>
      <c r="D14" s="2489"/>
      <c r="E14" s="2489"/>
      <c r="F14" s="2490"/>
      <c r="G14" s="2491"/>
      <c r="H14" s="2498"/>
      <c r="I14" s="2488">
        <f>ROUND(D14*E14*F14*G14/10000,0)</f>
        <v>0</v>
      </c>
    </row>
    <row r="15" spans="1:9">
      <c r="A15" s="3462"/>
      <c r="B15" s="3464" t="s">
        <v>2488</v>
      </c>
      <c r="C15" s="3464"/>
      <c r="D15" s="2493"/>
      <c r="E15" s="2493">
        <f>SUM(E12:E14)</f>
        <v>0</v>
      </c>
      <c r="F15" s="2494"/>
      <c r="G15" s="2491"/>
      <c r="H15" s="2498"/>
      <c r="I15" s="2499">
        <f>SUM(I12:I14)</f>
        <v>0</v>
      </c>
    </row>
    <row r="16" spans="1:9" ht="24">
      <c r="A16" s="3462" t="s">
        <v>2500</v>
      </c>
      <c r="B16" s="3463" t="s">
        <v>2501</v>
      </c>
      <c r="C16" s="3463"/>
      <c r="D16" s="2489" t="s">
        <v>2502</v>
      </c>
      <c r="E16" s="2500" t="s">
        <v>2503</v>
      </c>
      <c r="F16" s="2490" t="s">
        <v>2504</v>
      </c>
      <c r="G16" s="2491" t="s">
        <v>2494</v>
      </c>
      <c r="H16" s="2497" t="s">
        <v>2495</v>
      </c>
      <c r="I16" s="2488" t="s">
        <v>2496</v>
      </c>
    </row>
    <row r="17" spans="1:9" ht="14.25">
      <c r="A17" s="3462"/>
      <c r="B17" s="3463" t="s">
        <v>2505</v>
      </c>
      <c r="C17" s="3463"/>
      <c r="D17" s="2489">
        <v>1</v>
      </c>
      <c r="E17" s="2489"/>
      <c r="F17" s="2490"/>
      <c r="G17" s="2491"/>
      <c r="H17" s="2501"/>
      <c r="I17" s="2502">
        <f>ROUND(D17*E17*F17*G17/10000,0)</f>
        <v>0</v>
      </c>
    </row>
    <row r="18" spans="1:9" ht="14.25">
      <c r="A18" s="3462"/>
      <c r="B18" s="3463" t="s">
        <v>2506</v>
      </c>
      <c r="C18" s="3463"/>
      <c r="D18" s="2489"/>
      <c r="E18" s="2489"/>
      <c r="F18" s="2490"/>
      <c r="G18" s="2491"/>
      <c r="H18" s="2501"/>
      <c r="I18" s="2502">
        <f>ROUND(D18*E18*F18*G18/10000,0)</f>
        <v>0</v>
      </c>
    </row>
    <row r="19" spans="1:9" ht="14.25">
      <c r="A19" s="3462"/>
      <c r="B19" s="3463" t="s">
        <v>2507</v>
      </c>
      <c r="C19" s="3463"/>
      <c r="D19" s="2489"/>
      <c r="E19" s="2489"/>
      <c r="F19" s="2490"/>
      <c r="G19" s="2491"/>
      <c r="H19" s="2501"/>
      <c r="I19" s="2502">
        <f>ROUND(D19*E19*F19*G19/10000,0)</f>
        <v>0</v>
      </c>
    </row>
    <row r="20" spans="1:9">
      <c r="A20" s="3462"/>
      <c r="B20" s="3464" t="s">
        <v>2488</v>
      </c>
      <c r="C20" s="3464"/>
      <c r="D20" s="2493">
        <f>SUM(D17:D19)</f>
        <v>1</v>
      </c>
      <c r="E20" s="2493"/>
      <c r="F20" s="2494"/>
      <c r="G20" s="2491"/>
      <c r="H20" s="2498"/>
      <c r="I20" s="2499">
        <f>SUM(I17:I19)</f>
        <v>0</v>
      </c>
    </row>
    <row r="21" spans="1:9">
      <c r="A21" s="3462" t="s">
        <v>2508</v>
      </c>
      <c r="B21" s="3466"/>
      <c r="C21" s="3466"/>
      <c r="D21" s="3466"/>
      <c r="E21" s="3466"/>
      <c r="F21" s="3466"/>
      <c r="G21" s="3466"/>
      <c r="H21" s="2503">
        <v>0.1</v>
      </c>
      <c r="I21" s="2496">
        <f>ROUND(I10*H21,0)</f>
        <v>1730</v>
      </c>
    </row>
    <row r="22" spans="1:9" ht="14.25">
      <c r="A22" s="3467" t="s">
        <v>2509</v>
      </c>
      <c r="B22" s="3468"/>
      <c r="C22" s="3469"/>
      <c r="D22" s="2504" t="s">
        <v>2510</v>
      </c>
      <c r="E22" s="2504" t="s">
        <v>2511</v>
      </c>
      <c r="F22" s="2505" t="s">
        <v>2512</v>
      </c>
      <c r="G22" s="2505" t="s">
        <v>2513</v>
      </c>
      <c r="H22" s="2497" t="s">
        <v>2514</v>
      </c>
      <c r="I22" s="2488" t="s">
        <v>2515</v>
      </c>
    </row>
    <row r="23" spans="1:9" ht="14.25" thickBot="1">
      <c r="A23" s="3470"/>
      <c r="B23" s="3471"/>
      <c r="C23" s="3472"/>
      <c r="D23" s="2506"/>
      <c r="E23" s="2506"/>
      <c r="F23" s="2506"/>
      <c r="G23" s="2507"/>
      <c r="H23" s="2508"/>
      <c r="I23" s="2509">
        <f>ROUND(E23*D23*F23*(1-G23)/10000,0)</f>
        <v>0</v>
      </c>
    </row>
    <row r="26" spans="1:9">
      <c r="A26" s="2510" t="s">
        <v>2516</v>
      </c>
      <c r="B26" s="2510"/>
      <c r="C26" s="2510"/>
      <c r="D26" s="2510"/>
      <c r="E26" s="3473">
        <f>C27-C30-C31-C32</f>
        <v>13321</v>
      </c>
      <c r="F26" s="3473"/>
      <c r="G26" s="3473"/>
      <c r="H26" s="3019" t="s">
        <v>2843</v>
      </c>
    </row>
    <row r="27" spans="1:9">
      <c r="A27" s="2511">
        <v>1</v>
      </c>
      <c r="B27" s="2512" t="s">
        <v>2517</v>
      </c>
      <c r="C27" s="2512">
        <f>C28+C29</f>
        <v>19030</v>
      </c>
      <c r="D27" s="2512"/>
      <c r="E27" s="3474"/>
      <c r="F27" s="3474"/>
      <c r="G27" s="3474"/>
    </row>
    <row r="28" spans="1:9">
      <c r="A28" s="2513" t="s">
        <v>2518</v>
      </c>
      <c r="B28" s="2512" t="s">
        <v>2519</v>
      </c>
      <c r="C28" s="2512">
        <f>I10</f>
        <v>17300</v>
      </c>
      <c r="D28" s="2512"/>
      <c r="E28" s="3474"/>
      <c r="F28" s="3474"/>
      <c r="G28" s="3474"/>
    </row>
    <row r="29" spans="1:9">
      <c r="A29" s="2513" t="s">
        <v>2520</v>
      </c>
      <c r="B29" s="2512" t="s">
        <v>2461</v>
      </c>
      <c r="C29" s="2512">
        <f>I21</f>
        <v>1730</v>
      </c>
      <c r="D29" s="2512"/>
      <c r="E29" s="2512" t="s">
        <v>2521</v>
      </c>
      <c r="F29" s="2512"/>
      <c r="G29" s="2512"/>
    </row>
    <row r="30" spans="1:9">
      <c r="A30" s="2511">
        <v>2</v>
      </c>
      <c r="B30" s="2512" t="s">
        <v>2522</v>
      </c>
      <c r="C30" s="2512">
        <f>C27*D30</f>
        <v>2854.5</v>
      </c>
      <c r="D30" s="2514">
        <v>0.15</v>
      </c>
      <c r="E30" s="2512" t="s">
        <v>2523</v>
      </c>
      <c r="F30" s="2512"/>
      <c r="G30" s="2512"/>
    </row>
    <row r="31" spans="1:9">
      <c r="A31" s="2511">
        <v>3</v>
      </c>
      <c r="B31" s="2512" t="s">
        <v>2524</v>
      </c>
      <c r="C31" s="2512">
        <f>C27*D31</f>
        <v>1903</v>
      </c>
      <c r="D31" s="2514">
        <v>0.1</v>
      </c>
      <c r="E31" s="2512" t="s">
        <v>2525</v>
      </c>
      <c r="F31" s="2512"/>
      <c r="G31" s="2512"/>
    </row>
    <row r="32" spans="1:9">
      <c r="A32" s="2511">
        <v>4</v>
      </c>
      <c r="B32" s="2512" t="s">
        <v>2526</v>
      </c>
      <c r="C32" s="2512">
        <f>C27*D32</f>
        <v>951.5</v>
      </c>
      <c r="D32" s="2514">
        <v>0.05</v>
      </c>
      <c r="E32" s="3465"/>
      <c r="F32" s="3465"/>
      <c r="G32" s="3465"/>
    </row>
    <row r="33" spans="1:7" hidden="1">
      <c r="A33" s="3475" t="s">
        <v>2527</v>
      </c>
      <c r="B33" s="3476"/>
      <c r="C33" s="3476"/>
      <c r="D33" s="3477"/>
      <c r="E33" s="3473"/>
      <c r="F33" s="3473"/>
      <c r="G33" s="3473"/>
    </row>
    <row r="34" spans="1:7" hidden="1">
      <c r="A34" s="2515">
        <v>1</v>
      </c>
      <c r="B34" s="2512" t="s">
        <v>2528</v>
      </c>
      <c r="C34" s="2512"/>
      <c r="D34" s="2512"/>
      <c r="E34" s="3474"/>
      <c r="F34" s="3474"/>
      <c r="G34" s="3474"/>
    </row>
    <row r="35" spans="1:7" hidden="1">
      <c r="A35" s="2515">
        <v>2</v>
      </c>
      <c r="B35" s="2512" t="s">
        <v>2529</v>
      </c>
      <c r="C35" s="2512"/>
      <c r="D35" s="2512"/>
      <c r="E35" s="3474"/>
      <c r="F35" s="3474"/>
      <c r="G35" s="3474"/>
    </row>
    <row r="36" spans="1:7" hidden="1">
      <c r="A36" s="2515">
        <v>3</v>
      </c>
      <c r="B36" s="2512" t="s">
        <v>2530</v>
      </c>
      <c r="C36" s="2512"/>
      <c r="D36" s="2512"/>
      <c r="E36" s="3474"/>
      <c r="F36" s="3474"/>
      <c r="G36" s="3474"/>
    </row>
    <row r="37" spans="1:7" hidden="1">
      <c r="A37" s="2515">
        <v>4</v>
      </c>
      <c r="B37" s="2512" t="s">
        <v>2531</v>
      </c>
      <c r="C37" s="2512"/>
      <c r="D37" s="2512"/>
      <c r="E37" s="3474"/>
      <c r="F37" s="3474"/>
      <c r="G37" s="3474"/>
    </row>
    <row r="38" spans="1:7" hidden="1">
      <c r="A38" s="3475" t="s">
        <v>2532</v>
      </c>
      <c r="B38" s="3476"/>
      <c r="C38" s="3476"/>
      <c r="D38" s="3477"/>
      <c r="E38" s="3473"/>
      <c r="F38" s="3473"/>
      <c r="G38" s="34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87244</v>
      </c>
      <c r="E10" s="749">
        <f>'数据-取费表'!B31</f>
        <v>80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0</v>
      </c>
      <c r="F12" s="755"/>
      <c r="G12" s="759"/>
    </row>
    <row r="13" spans="1:25" s="2184" customFormat="1" ht="13.5" customHeight="1">
      <c r="A13" s="2456" t="s">
        <v>2448</v>
      </c>
      <c r="B13" s="756" t="s">
        <v>612</v>
      </c>
      <c r="C13" s="757">
        <f>ROUND(D13*E13/10000,0)</f>
        <v>1919</v>
      </c>
      <c r="D13" s="758">
        <f>'数据-汇总表'!E6</f>
        <v>87244</v>
      </c>
      <c r="E13" s="757">
        <f>'数据-取费表'!B28</f>
        <v>220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0.80900000000000005</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71" t="s">
        <v>522</v>
      </c>
      <c r="D4" s="3372"/>
      <c r="E4" s="3405" t="s">
        <v>523</v>
      </c>
      <c r="F4" s="3406"/>
      <c r="G4" s="3371" t="s">
        <v>524</v>
      </c>
      <c r="H4" s="3372"/>
      <c r="I4" s="3371" t="s">
        <v>525</v>
      </c>
      <c r="J4" s="3372"/>
      <c r="K4" s="853" t="s">
        <v>526</v>
      </c>
      <c r="L4" s="2134"/>
      <c r="M4" s="2135"/>
      <c r="N4" s="2135"/>
      <c r="O4" s="2135"/>
      <c r="P4" s="3373" t="s">
        <v>527</v>
      </c>
      <c r="Q4" s="3374"/>
      <c r="R4" s="3379" t="s">
        <v>523</v>
      </c>
      <c r="S4" s="3380"/>
      <c r="T4" s="3379" t="s">
        <v>524</v>
      </c>
      <c r="U4" s="3380"/>
      <c r="V4" s="3366" t="s">
        <v>525</v>
      </c>
      <c r="W4" s="3366"/>
      <c r="X4" s="1568"/>
      <c r="Y4" s="3379" t="s">
        <v>527</v>
      </c>
      <c r="Z4" s="3380"/>
      <c r="AA4" s="3368" t="s">
        <v>523</v>
      </c>
      <c r="AB4" s="3368" t="s">
        <v>524</v>
      </c>
      <c r="AC4" s="3368" t="s">
        <v>525</v>
      </c>
    </row>
    <row r="5" spans="1:29" ht="15">
      <c r="A5" s="515"/>
      <c r="B5" s="516"/>
      <c r="C5" s="3387" t="s">
        <v>2931</v>
      </c>
      <c r="D5" s="3388"/>
      <c r="E5" s="3407" t="s">
        <v>2932</v>
      </c>
      <c r="F5" s="3408"/>
      <c r="G5" s="3387" t="s">
        <v>2933</v>
      </c>
      <c r="H5" s="3388"/>
      <c r="I5" s="3387" t="s">
        <v>2934</v>
      </c>
      <c r="J5" s="3388"/>
      <c r="K5" s="854"/>
      <c r="L5" s="2134"/>
      <c r="M5" s="2135"/>
      <c r="N5" s="2135"/>
      <c r="O5" s="2135"/>
      <c r="P5" s="3375"/>
      <c r="Q5" s="3376"/>
      <c r="R5" s="3381"/>
      <c r="S5" s="3382"/>
      <c r="T5" s="3381"/>
      <c r="U5" s="3382"/>
      <c r="V5" s="3366"/>
      <c r="W5" s="3366"/>
      <c r="X5" s="1568"/>
      <c r="Y5" s="3381"/>
      <c r="Z5" s="3382"/>
      <c r="AA5" s="3369"/>
      <c r="AB5" s="3369"/>
      <c r="AC5" s="3369"/>
    </row>
    <row r="6" spans="1:29" ht="15.75" thickBot="1">
      <c r="A6" s="517"/>
      <c r="B6" s="518"/>
      <c r="C6" s="3385" t="s">
        <v>2935</v>
      </c>
      <c r="D6" s="3386"/>
      <c r="E6" s="3403" t="s">
        <v>2935</v>
      </c>
      <c r="F6" s="3404"/>
      <c r="G6" s="3385" t="s">
        <v>2935</v>
      </c>
      <c r="H6" s="3386"/>
      <c r="I6" s="3385" t="s">
        <v>2935</v>
      </c>
      <c r="J6" s="3386"/>
      <c r="K6" s="854" t="s">
        <v>528</v>
      </c>
      <c r="L6" s="2134"/>
      <c r="M6" s="2135"/>
      <c r="N6" s="2135"/>
      <c r="O6" s="2135"/>
      <c r="P6" s="3377"/>
      <c r="Q6" s="3378"/>
      <c r="R6" s="3381"/>
      <c r="S6" s="3382"/>
      <c r="T6" s="3383"/>
      <c r="U6" s="3384"/>
      <c r="V6" s="3366"/>
      <c r="W6" s="3366"/>
      <c r="X6" s="1568"/>
      <c r="Y6" s="3383"/>
      <c r="Z6" s="3384"/>
      <c r="AA6" s="3370"/>
      <c r="AB6" s="3370"/>
      <c r="AC6" s="3370"/>
    </row>
    <row r="7" spans="1:29" s="1220" customFormat="1" ht="15.75" thickBot="1">
      <c r="A7" s="2890"/>
      <c r="B7" s="2897" t="s">
        <v>529</v>
      </c>
      <c r="C7" s="519">
        <f>'数据-取费表'!B2</f>
        <v>43510</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96" t="s">
        <v>530</v>
      </c>
      <c r="Q7" s="3398"/>
      <c r="R7" s="1569" t="s">
        <v>13</v>
      </c>
      <c r="S7" s="1570">
        <f t="shared" ref="S7:S15" si="0">F7</f>
        <v>0</v>
      </c>
      <c r="T7" s="1569" t="s">
        <v>13</v>
      </c>
      <c r="U7" s="1570">
        <f t="shared" ref="U7:U15" si="1">H7</f>
        <v>0</v>
      </c>
      <c r="V7" s="1569" t="s">
        <v>13</v>
      </c>
      <c r="W7" s="1570">
        <f t="shared" ref="W7:W15" si="2">J7</f>
        <v>0</v>
      </c>
      <c r="X7" s="1571"/>
      <c r="Y7" s="3396" t="s">
        <v>530</v>
      </c>
      <c r="Z7" s="3397"/>
      <c r="AA7" s="1572" t="e">
        <f>D7/F7</f>
        <v>#DIV/0!</v>
      </c>
      <c r="AB7" s="1572" t="e">
        <f>D7/H7</f>
        <v>#DIV/0!</v>
      </c>
      <c r="AC7" s="1572" t="e">
        <f>D7/J7</f>
        <v>#DIV/0!</v>
      </c>
    </row>
    <row r="8" spans="1:29" s="1220" customFormat="1" ht="15.75" thickBot="1">
      <c r="A8" s="2891"/>
      <c r="B8" s="2898"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96" t="s">
        <v>533</v>
      </c>
      <c r="Q8" s="3397"/>
      <c r="R8" s="1569" t="s">
        <v>13</v>
      </c>
      <c r="S8" s="1570">
        <f t="shared" si="0"/>
        <v>0</v>
      </c>
      <c r="T8" s="1569" t="s">
        <v>13</v>
      </c>
      <c r="U8" s="1570">
        <f t="shared" si="1"/>
        <v>0</v>
      </c>
      <c r="V8" s="1569" t="s">
        <v>13</v>
      </c>
      <c r="W8" s="1570">
        <f t="shared" si="2"/>
        <v>0</v>
      </c>
      <c r="X8" s="1571"/>
      <c r="Y8" s="3396" t="s">
        <v>533</v>
      </c>
      <c r="Z8" s="3397"/>
      <c r="AA8" s="1572" t="e">
        <f t="shared" ref="AA8:AA46" si="3">D8/F8</f>
        <v>#DIV/0!</v>
      </c>
      <c r="AB8" s="1572" t="e">
        <f t="shared" ref="AB8:AB46" si="4">D8/H8</f>
        <v>#DIV/0!</v>
      </c>
      <c r="AC8" s="1572" t="e">
        <f t="shared" ref="AC8:AC46" si="5">D8/J8</f>
        <v>#DIV/0!</v>
      </c>
    </row>
    <row r="9" spans="1:29" s="1220" customFormat="1" ht="15">
      <c r="A9" s="2892"/>
      <c r="B9" s="2899" t="s">
        <v>2756</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65" t="s">
        <v>535</v>
      </c>
      <c r="Q9" s="1151" t="str">
        <f t="shared" ref="Q9:Q15" si="6">B9</f>
        <v>用途</v>
      </c>
      <c r="R9" s="1569" t="s">
        <v>8</v>
      </c>
      <c r="S9" s="1570">
        <f t="shared" si="0"/>
        <v>100</v>
      </c>
      <c r="T9" s="1569" t="s">
        <v>8</v>
      </c>
      <c r="U9" s="1570">
        <f t="shared" si="1"/>
        <v>100</v>
      </c>
      <c r="V9" s="1569" t="s">
        <v>8</v>
      </c>
      <c r="W9" s="1570">
        <f t="shared" si="2"/>
        <v>100</v>
      </c>
      <c r="X9" s="1571"/>
      <c r="Y9" s="3311" t="s">
        <v>536</v>
      </c>
      <c r="Z9" s="1150" t="str">
        <f t="shared" ref="Z9:Z15" si="7">Q9</f>
        <v>用途</v>
      </c>
      <c r="AA9" s="1572">
        <f t="shared" si="3"/>
        <v>1</v>
      </c>
      <c r="AB9" s="1572">
        <f t="shared" si="4"/>
        <v>1</v>
      </c>
      <c r="AC9" s="1572">
        <f t="shared" si="5"/>
        <v>1</v>
      </c>
    </row>
    <row r="10" spans="1:29" s="1338" customFormat="1" ht="27">
      <c r="A10" s="2893"/>
      <c r="B10" s="2898" t="s">
        <v>2757</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894"/>
      <c r="B11" s="2898"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65"/>
      <c r="Q11" s="1151" t="str">
        <f t="shared" si="6"/>
        <v>容积率</v>
      </c>
      <c r="R11" s="1569" t="s">
        <v>11</v>
      </c>
      <c r="S11" s="1570" t="e">
        <f t="shared" si="0"/>
        <v>#N/A</v>
      </c>
      <c r="T11" s="1569" t="s">
        <v>11</v>
      </c>
      <c r="U11" s="1570" t="e">
        <f t="shared" si="1"/>
        <v>#N/A</v>
      </c>
      <c r="V11" s="1569" t="s">
        <v>11</v>
      </c>
      <c r="W11" s="1570" t="e">
        <f t="shared" si="2"/>
        <v>#N/A</v>
      </c>
      <c r="X11" s="1571"/>
      <c r="Y11" s="3311"/>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5"/>
      <c r="Q12" s="1151">
        <f t="shared" si="6"/>
        <v>111</v>
      </c>
      <c r="R12" s="1569" t="s">
        <v>11</v>
      </c>
      <c r="S12" s="1570">
        <f t="shared" si="0"/>
        <v>100</v>
      </c>
      <c r="T12" s="1569" t="s">
        <v>11</v>
      </c>
      <c r="U12" s="1570">
        <f t="shared" si="1"/>
        <v>100</v>
      </c>
      <c r="V12" s="1569" t="s">
        <v>11</v>
      </c>
      <c r="W12" s="1570">
        <f t="shared" si="2"/>
        <v>100</v>
      </c>
      <c r="X12" s="1571"/>
      <c r="Y12" s="3311"/>
      <c r="Z12" s="1150">
        <f t="shared" si="7"/>
        <v>111</v>
      </c>
      <c r="AA12" s="1572">
        <f>D12/F12</f>
        <v>1</v>
      </c>
      <c r="AB12" s="1572">
        <f>D12/H12</f>
        <v>1</v>
      </c>
      <c r="AC12" s="1572">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5"/>
      <c r="Q13" s="1151">
        <f t="shared" si="6"/>
        <v>111</v>
      </c>
      <c r="R13" s="1569" t="s">
        <v>11</v>
      </c>
      <c r="S13" s="1570">
        <f t="shared" si="0"/>
        <v>100</v>
      </c>
      <c r="T13" s="1569" t="s">
        <v>11</v>
      </c>
      <c r="U13" s="1570">
        <f t="shared" si="1"/>
        <v>100</v>
      </c>
      <c r="V13" s="1569" t="s">
        <v>11</v>
      </c>
      <c r="W13" s="1570">
        <f t="shared" si="2"/>
        <v>100</v>
      </c>
      <c r="X13" s="1571"/>
      <c r="Y13" s="3311"/>
      <c r="Z13" s="1150">
        <f t="shared" si="7"/>
        <v>111</v>
      </c>
      <c r="AA13" s="1572">
        <f t="shared" si="3"/>
        <v>1</v>
      </c>
      <c r="AB13" s="1572">
        <f t="shared" si="4"/>
        <v>1</v>
      </c>
      <c r="AC13" s="1572">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5"/>
      <c r="Q14" s="1151">
        <f t="shared" si="6"/>
        <v>111</v>
      </c>
      <c r="R14" s="1569" t="s">
        <v>11</v>
      </c>
      <c r="S14" s="1570">
        <f t="shared" si="0"/>
        <v>100</v>
      </c>
      <c r="T14" s="1569" t="s">
        <v>11</v>
      </c>
      <c r="U14" s="1570">
        <f t="shared" si="1"/>
        <v>100</v>
      </c>
      <c r="V14" s="1569" t="s">
        <v>11</v>
      </c>
      <c r="W14" s="1570">
        <f t="shared" si="2"/>
        <v>100</v>
      </c>
      <c r="X14" s="1571"/>
      <c r="Y14" s="3311"/>
      <c r="Z14" s="1150">
        <f t="shared" si="7"/>
        <v>111</v>
      </c>
      <c r="AA14" s="1572">
        <f t="shared" si="3"/>
        <v>1</v>
      </c>
      <c r="AB14" s="1572">
        <f t="shared" si="4"/>
        <v>1</v>
      </c>
      <c r="AC14" s="1572">
        <f t="shared" si="5"/>
        <v>1</v>
      </c>
    </row>
    <row r="15" spans="1:29" ht="99.75">
      <c r="A15" s="2888"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99" t="s">
        <v>540</v>
      </c>
      <c r="Q15" s="1573" t="str">
        <f t="shared" si="6"/>
        <v>居住社区成熟度</v>
      </c>
      <c r="R15" s="1574" t="s">
        <v>11</v>
      </c>
      <c r="S15" s="1575">
        <f t="shared" si="0"/>
        <v>100</v>
      </c>
      <c r="T15" s="1574" t="s">
        <v>11</v>
      </c>
      <c r="U15" s="1575">
        <f t="shared" si="1"/>
        <v>100</v>
      </c>
      <c r="V15" s="1574" t="s">
        <v>11</v>
      </c>
      <c r="W15" s="1575">
        <f t="shared" si="2"/>
        <v>100</v>
      </c>
      <c r="X15" s="1568"/>
      <c r="Y15" s="3399"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00"/>
      <c r="Q17" s="1573" t="str">
        <f>B17</f>
        <v>交通便捷度</v>
      </c>
      <c r="R17" s="1574" t="s">
        <v>11</v>
      </c>
      <c r="S17" s="1575">
        <f>F17</f>
        <v>100</v>
      </c>
      <c r="T17" s="1574" t="s">
        <v>11</v>
      </c>
      <c r="U17" s="1575">
        <f>H17</f>
        <v>100</v>
      </c>
      <c r="V17" s="1574" t="s">
        <v>11</v>
      </c>
      <c r="W17" s="1575">
        <f>J17</f>
        <v>100</v>
      </c>
      <c r="X17" s="1568"/>
      <c r="Y17" s="340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400"/>
      <c r="Q18" s="1573"/>
      <c r="R18" s="1574"/>
      <c r="S18" s="1575"/>
      <c r="T18" s="1574"/>
      <c r="U18" s="1575"/>
      <c r="V18" s="1574"/>
      <c r="W18" s="1575"/>
      <c r="X18" s="1568"/>
      <c r="Y18" s="3400"/>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00"/>
      <c r="Q19" s="1573" t="str">
        <f>B19</f>
        <v>公共配套设施</v>
      </c>
      <c r="R19" s="1574" t="s">
        <v>11</v>
      </c>
      <c r="S19" s="1575">
        <f>F19</f>
        <v>100</v>
      </c>
      <c r="T19" s="1574" t="s">
        <v>11</v>
      </c>
      <c r="U19" s="1575">
        <f>H19</f>
        <v>100</v>
      </c>
      <c r="V19" s="1574" t="s">
        <v>11</v>
      </c>
      <c r="W19" s="1575">
        <f>J19</f>
        <v>100</v>
      </c>
      <c r="X19" s="1568"/>
      <c r="Y19" s="340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400"/>
      <c r="Q20" s="1573"/>
      <c r="R20" s="1574"/>
      <c r="S20" s="1575"/>
      <c r="T20" s="1574"/>
      <c r="U20" s="1575"/>
      <c r="V20" s="1574"/>
      <c r="W20" s="1575"/>
      <c r="X20" s="1568"/>
      <c r="Y20" s="3400"/>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00"/>
      <c r="Q21" s="2559" t="str">
        <f>B21</f>
        <v>基础设施水平</v>
      </c>
      <c r="R21" s="1574" t="s">
        <v>11</v>
      </c>
      <c r="S21" s="1575">
        <f>F21</f>
        <v>100</v>
      </c>
      <c r="T21" s="1574" t="s">
        <v>11</v>
      </c>
      <c r="U21" s="1575">
        <f>H21</f>
        <v>100</v>
      </c>
      <c r="V21" s="1574" t="s">
        <v>11</v>
      </c>
      <c r="W21" s="1575">
        <f>J21</f>
        <v>100</v>
      </c>
      <c r="X21" s="2561"/>
      <c r="Y21" s="3400"/>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400"/>
      <c r="Q22" s="2559"/>
      <c r="R22" s="1574"/>
      <c r="S22" s="1575"/>
      <c r="T22" s="1574"/>
      <c r="U22" s="1575"/>
      <c r="V22" s="1574"/>
      <c r="W22" s="1575"/>
      <c r="X22" s="2561"/>
      <c r="Y22" s="3400"/>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00"/>
      <c r="Q23" s="1573" t="str">
        <f>B23</f>
        <v>自然及人文环境</v>
      </c>
      <c r="R23" s="1574" t="s">
        <v>11</v>
      </c>
      <c r="S23" s="1575">
        <f>F23</f>
        <v>100</v>
      </c>
      <c r="T23" s="1574" t="s">
        <v>11</v>
      </c>
      <c r="U23" s="1575">
        <f>H23</f>
        <v>100</v>
      </c>
      <c r="V23" s="1574" t="s">
        <v>11</v>
      </c>
      <c r="W23" s="1575">
        <f>J23</f>
        <v>100</v>
      </c>
      <c r="X23" s="1568"/>
      <c r="Y23" s="340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400"/>
      <c r="Q24" s="1573"/>
      <c r="R24" s="1574"/>
      <c r="S24" s="1575"/>
      <c r="T24" s="1574"/>
      <c r="U24" s="1575"/>
      <c r="V24" s="1574"/>
      <c r="W24" s="1575"/>
      <c r="X24" s="1568"/>
      <c r="Y24" s="3400"/>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00"/>
      <c r="Q25" s="1573" t="str">
        <f t="shared" ref="Q25:Q46" si="11">B25</f>
        <v>楼层-1</v>
      </c>
      <c r="R25" s="1574" t="s">
        <v>11</v>
      </c>
      <c r="S25" s="1575">
        <f>F25</f>
        <v>100</v>
      </c>
      <c r="T25" s="1574" t="s">
        <v>11</v>
      </c>
      <c r="U25" s="1575">
        <f>H25</f>
        <v>100</v>
      </c>
      <c r="V25" s="1574" t="s">
        <v>11</v>
      </c>
      <c r="W25" s="1575">
        <f>J25</f>
        <v>100</v>
      </c>
      <c r="X25" s="1568"/>
      <c r="Y25" s="3400"/>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0"/>
      <c r="Q26" s="1573" t="str">
        <f t="shared" si="11"/>
        <v>朝向</v>
      </c>
      <c r="R26" s="1574" t="s">
        <v>11</v>
      </c>
      <c r="S26" s="1575">
        <f>F26</f>
        <v>100</v>
      </c>
      <c r="T26" s="1574" t="s">
        <v>11</v>
      </c>
      <c r="U26" s="1575">
        <f>H26</f>
        <v>100</v>
      </c>
      <c r="V26" s="1574" t="s">
        <v>11</v>
      </c>
      <c r="W26" s="1575">
        <f>J26</f>
        <v>100</v>
      </c>
      <c r="X26" s="1568"/>
      <c r="Y26" s="3400"/>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00"/>
      <c r="Q27" s="1151" t="str">
        <f t="shared" si="11"/>
        <v>道路级别</v>
      </c>
      <c r="R27" s="1569" t="s">
        <v>11</v>
      </c>
      <c r="S27" s="1570">
        <f>F27</f>
        <v>100</v>
      </c>
      <c r="T27" s="1569" t="s">
        <v>11</v>
      </c>
      <c r="U27" s="1570">
        <f>H27</f>
        <v>100</v>
      </c>
      <c r="V27" s="1569" t="s">
        <v>11</v>
      </c>
      <c r="W27" s="1570">
        <f>J27</f>
        <v>100</v>
      </c>
      <c r="X27" s="1571"/>
      <c r="Y27" s="3400"/>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0"/>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0"/>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0"/>
      <c r="Q29" s="1573">
        <f t="shared" si="11"/>
        <v>111</v>
      </c>
      <c r="R29" s="1574" t="s">
        <v>11</v>
      </c>
      <c r="S29" s="1575">
        <f t="shared" si="12"/>
        <v>100</v>
      </c>
      <c r="T29" s="1574" t="s">
        <v>11</v>
      </c>
      <c r="U29" s="1575">
        <f t="shared" si="13"/>
        <v>100</v>
      </c>
      <c r="V29" s="1574" t="s">
        <v>11</v>
      </c>
      <c r="W29" s="1575">
        <f t="shared" si="14"/>
        <v>100</v>
      </c>
      <c r="X29" s="1568"/>
      <c r="Y29" s="340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0"/>
      <c r="Q30" s="1573">
        <f t="shared" si="11"/>
        <v>111</v>
      </c>
      <c r="R30" s="1574" t="s">
        <v>11</v>
      </c>
      <c r="S30" s="1575">
        <f t="shared" si="12"/>
        <v>100</v>
      </c>
      <c r="T30" s="1574" t="s">
        <v>11</v>
      </c>
      <c r="U30" s="1575">
        <f t="shared" si="13"/>
        <v>100</v>
      </c>
      <c r="V30" s="1574" t="s">
        <v>11</v>
      </c>
      <c r="W30" s="1575">
        <f t="shared" si="14"/>
        <v>100</v>
      </c>
      <c r="X30" s="1568"/>
      <c r="Y30" s="3400"/>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0"/>
      <c r="Q31" s="1573">
        <f t="shared" si="11"/>
        <v>111</v>
      </c>
      <c r="R31" s="1574" t="s">
        <v>11</v>
      </c>
      <c r="S31" s="1575">
        <f t="shared" si="12"/>
        <v>100</v>
      </c>
      <c r="T31" s="1574" t="s">
        <v>11</v>
      </c>
      <c r="U31" s="1575">
        <f t="shared" si="13"/>
        <v>100</v>
      </c>
      <c r="V31" s="1574" t="s">
        <v>11</v>
      </c>
      <c r="W31" s="1575">
        <f t="shared" si="14"/>
        <v>100</v>
      </c>
      <c r="X31" s="1568"/>
      <c r="Y31" s="3400"/>
      <c r="Z31" s="1576">
        <f t="shared" si="15"/>
        <v>111</v>
      </c>
      <c r="AA31" s="1577">
        <f t="shared" si="3"/>
        <v>1</v>
      </c>
      <c r="AB31" s="1577">
        <f t="shared" si="4"/>
        <v>1</v>
      </c>
      <c r="AC31" s="1577">
        <f t="shared" si="5"/>
        <v>1</v>
      </c>
    </row>
    <row r="32" spans="1:29" ht="15">
      <c r="A32" s="2886"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01" t="s">
        <v>550</v>
      </c>
      <c r="Q32" s="1573" t="str">
        <f t="shared" si="11"/>
        <v>建筑类型</v>
      </c>
      <c r="R32" s="1574" t="s">
        <v>11</v>
      </c>
      <c r="S32" s="1575">
        <f t="shared" si="12"/>
        <v>100</v>
      </c>
      <c r="T32" s="1574" t="s">
        <v>11</v>
      </c>
      <c r="U32" s="1575">
        <f t="shared" si="13"/>
        <v>100</v>
      </c>
      <c r="V32" s="1574" t="s">
        <v>11</v>
      </c>
      <c r="W32" s="1575">
        <f t="shared" si="14"/>
        <v>100</v>
      </c>
      <c r="X32" s="1568"/>
      <c r="Y32" s="3402"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02"/>
      <c r="Q33" s="1606" t="str">
        <f t="shared" si="11"/>
        <v>项目建筑规模</v>
      </c>
      <c r="R33" s="1578" t="s">
        <v>11</v>
      </c>
      <c r="S33" s="1579" t="e">
        <f t="shared" si="12"/>
        <v>#N/A</v>
      </c>
      <c r="T33" s="1578" t="s">
        <v>11</v>
      </c>
      <c r="U33" s="1579" t="e">
        <f t="shared" si="13"/>
        <v>#N/A</v>
      </c>
      <c r="V33" s="1578" t="s">
        <v>11</v>
      </c>
      <c r="W33" s="1579" t="e">
        <f t="shared" si="14"/>
        <v>#N/A</v>
      </c>
      <c r="X33" s="1580"/>
      <c r="Y33" s="340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02"/>
      <c r="Q34" s="1573" t="str">
        <f t="shared" si="11"/>
        <v>建筑结构</v>
      </c>
      <c r="R34" s="1574" t="s">
        <v>11</v>
      </c>
      <c r="S34" s="1575">
        <f t="shared" si="12"/>
        <v>100</v>
      </c>
      <c r="T34" s="1574" t="s">
        <v>11</v>
      </c>
      <c r="U34" s="1575">
        <f t="shared" si="13"/>
        <v>100</v>
      </c>
      <c r="V34" s="1574" t="s">
        <v>11</v>
      </c>
      <c r="W34" s="1575">
        <f t="shared" si="14"/>
        <v>100</v>
      </c>
      <c r="X34" s="1568"/>
      <c r="Y34" s="3402"/>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02"/>
      <c r="Q35" s="1573" t="str">
        <f t="shared" si="11"/>
        <v>建筑品质</v>
      </c>
      <c r="R35" s="1574" t="s">
        <v>11</v>
      </c>
      <c r="S35" s="1575">
        <f t="shared" si="12"/>
        <v>100</v>
      </c>
      <c r="T35" s="1574" t="s">
        <v>11</v>
      </c>
      <c r="U35" s="1575">
        <f t="shared" si="13"/>
        <v>100</v>
      </c>
      <c r="V35" s="1574" t="s">
        <v>11</v>
      </c>
      <c r="W35" s="1575">
        <f t="shared" si="14"/>
        <v>100</v>
      </c>
      <c r="X35" s="1568"/>
      <c r="Y35" s="3402"/>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02"/>
      <c r="Q36" s="1573" t="str">
        <f t="shared" si="11"/>
        <v>公共部分装修</v>
      </c>
      <c r="R36" s="1574" t="s">
        <v>11</v>
      </c>
      <c r="S36" s="1575">
        <f t="shared" si="12"/>
        <v>100</v>
      </c>
      <c r="T36" s="1574" t="s">
        <v>11</v>
      </c>
      <c r="U36" s="1575">
        <f t="shared" si="13"/>
        <v>100</v>
      </c>
      <c r="V36" s="1574" t="s">
        <v>11</v>
      </c>
      <c r="W36" s="1575">
        <f t="shared" si="14"/>
        <v>100</v>
      </c>
      <c r="X36" s="1568"/>
      <c r="Y36" s="3402"/>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02"/>
      <c r="Q37" s="1151" t="str">
        <f t="shared" si="11"/>
        <v>成新度</v>
      </c>
      <c r="R37" s="1569" t="s">
        <v>11</v>
      </c>
      <c r="S37" s="1570" t="e">
        <f t="shared" si="12"/>
        <v>#N/A</v>
      </c>
      <c r="T37" s="1569" t="s">
        <v>11</v>
      </c>
      <c r="U37" s="1570" t="e">
        <f t="shared" si="13"/>
        <v>#N/A</v>
      </c>
      <c r="V37" s="1569" t="s">
        <v>11</v>
      </c>
      <c r="W37" s="1570" t="e">
        <f t="shared" si="14"/>
        <v>#N/A</v>
      </c>
      <c r="X37" s="1571"/>
      <c r="Y37" s="3402"/>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02" t="s">
        <v>550</v>
      </c>
      <c r="Q38" s="1573" t="str">
        <f t="shared" si="11"/>
        <v>物业管理</v>
      </c>
      <c r="R38" s="1574" t="s">
        <v>11</v>
      </c>
      <c r="S38" s="1575">
        <f t="shared" si="12"/>
        <v>100</v>
      </c>
      <c r="T38" s="1574" t="s">
        <v>11</v>
      </c>
      <c r="U38" s="1575">
        <f t="shared" si="13"/>
        <v>100</v>
      </c>
      <c r="V38" s="1574" t="s">
        <v>11</v>
      </c>
      <c r="W38" s="1575">
        <f t="shared" si="14"/>
        <v>100</v>
      </c>
      <c r="X38" s="1568"/>
      <c r="Y38" s="3402"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02"/>
      <c r="Q39" s="1573" t="str">
        <f t="shared" si="11"/>
        <v>市政基础设施</v>
      </c>
      <c r="R39" s="1574" t="s">
        <v>11</v>
      </c>
      <c r="S39" s="1575">
        <f t="shared" si="12"/>
        <v>100</v>
      </c>
      <c r="T39" s="1574" t="s">
        <v>11</v>
      </c>
      <c r="U39" s="1575">
        <f t="shared" si="13"/>
        <v>100</v>
      </c>
      <c r="V39" s="1574" t="s">
        <v>11</v>
      </c>
      <c r="W39" s="1575">
        <f t="shared" si="14"/>
        <v>100</v>
      </c>
      <c r="X39" s="1568"/>
      <c r="Y39" s="3402"/>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02"/>
      <c r="Q40" s="1573" t="str">
        <f t="shared" si="11"/>
        <v>房型</v>
      </c>
      <c r="R40" s="1574" t="s">
        <v>11</v>
      </c>
      <c r="S40" s="1575">
        <f t="shared" si="12"/>
        <v>100</v>
      </c>
      <c r="T40" s="1574" t="s">
        <v>11</v>
      </c>
      <c r="U40" s="1575">
        <f t="shared" si="13"/>
        <v>100</v>
      </c>
      <c r="V40" s="1574" t="s">
        <v>11</v>
      </c>
      <c r="W40" s="1575">
        <f t="shared" si="14"/>
        <v>100</v>
      </c>
      <c r="X40" s="1568"/>
      <c r="Y40" s="3402"/>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02"/>
      <c r="Q41" s="1606" t="str">
        <f t="shared" si="11"/>
        <v>单套/主力户型建筑面积</v>
      </c>
      <c r="R41" s="1578" t="s">
        <v>11</v>
      </c>
      <c r="S41" s="1579">
        <f t="shared" si="12"/>
        <v>100</v>
      </c>
      <c r="T41" s="1578" t="s">
        <v>11</v>
      </c>
      <c r="U41" s="1579">
        <f t="shared" si="13"/>
        <v>100</v>
      </c>
      <c r="V41" s="1578" t="s">
        <v>11</v>
      </c>
      <c r="W41" s="1579">
        <f t="shared" si="14"/>
        <v>100</v>
      </c>
      <c r="X41" s="1580"/>
      <c r="Y41" s="3402"/>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02"/>
      <c r="Q42" s="1573" t="str">
        <f t="shared" si="11"/>
        <v>内部装修</v>
      </c>
      <c r="R42" s="1574" t="s">
        <v>11</v>
      </c>
      <c r="S42" s="1575">
        <f t="shared" si="12"/>
        <v>100</v>
      </c>
      <c r="T42" s="1574" t="s">
        <v>11</v>
      </c>
      <c r="U42" s="1575">
        <f t="shared" si="13"/>
        <v>100</v>
      </c>
      <c r="V42" s="1574" t="s">
        <v>11</v>
      </c>
      <c r="W42" s="1575">
        <f t="shared" si="14"/>
        <v>100</v>
      </c>
      <c r="X42" s="1568"/>
      <c r="Y42" s="3402"/>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2"/>
      <c r="Q43" s="1573" t="str">
        <f t="shared" si="11"/>
        <v>内部装修维护情况</v>
      </c>
      <c r="R43" s="1574" t="s">
        <v>11</v>
      </c>
      <c r="S43" s="1575">
        <f t="shared" si="12"/>
        <v>100</v>
      </c>
      <c r="T43" s="1574" t="s">
        <v>11</v>
      </c>
      <c r="U43" s="1575">
        <f t="shared" si="13"/>
        <v>100</v>
      </c>
      <c r="V43" s="1574" t="s">
        <v>11</v>
      </c>
      <c r="W43" s="1575">
        <f t="shared" si="14"/>
        <v>100</v>
      </c>
      <c r="X43" s="1568"/>
      <c r="Y43" s="340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2"/>
      <c r="Q44" s="1151">
        <f t="shared" si="11"/>
        <v>111</v>
      </c>
      <c r="R44" s="1569" t="s">
        <v>11</v>
      </c>
      <c r="S44" s="1570">
        <f t="shared" si="12"/>
        <v>100</v>
      </c>
      <c r="T44" s="1569" t="s">
        <v>11</v>
      </c>
      <c r="U44" s="1570">
        <f t="shared" si="13"/>
        <v>100</v>
      </c>
      <c r="V44" s="1569" t="s">
        <v>11</v>
      </c>
      <c r="W44" s="1570">
        <f t="shared" si="14"/>
        <v>100</v>
      </c>
      <c r="X44" s="1571"/>
      <c r="Y44" s="340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2"/>
      <c r="Q45" s="1573">
        <f t="shared" si="11"/>
        <v>111</v>
      </c>
      <c r="R45" s="1574" t="s">
        <v>11</v>
      </c>
      <c r="S45" s="1575">
        <f t="shared" si="12"/>
        <v>100</v>
      </c>
      <c r="T45" s="1574" t="s">
        <v>11</v>
      </c>
      <c r="U45" s="1575">
        <f t="shared" si="13"/>
        <v>100</v>
      </c>
      <c r="V45" s="1574" t="s">
        <v>11</v>
      </c>
      <c r="W45" s="1575">
        <f t="shared" si="14"/>
        <v>100</v>
      </c>
      <c r="X45" s="1568"/>
      <c r="Y45" s="3402"/>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80"/>
      <c r="Q46" s="1573">
        <f t="shared" si="11"/>
        <v>111</v>
      </c>
      <c r="R46" s="1574" t="s">
        <v>10</v>
      </c>
      <c r="S46" s="1575">
        <f t="shared" si="12"/>
        <v>100</v>
      </c>
      <c r="T46" s="1574" t="s">
        <v>10</v>
      </c>
      <c r="U46" s="1575">
        <f t="shared" si="13"/>
        <v>100</v>
      </c>
      <c r="V46" s="1574" t="s">
        <v>10</v>
      </c>
      <c r="W46" s="1575">
        <f t="shared" si="14"/>
        <v>100</v>
      </c>
      <c r="X46" s="1568"/>
      <c r="Y46" s="3480"/>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65" t="str">
        <f>A47</f>
        <v>成交单价（元/平方米）</v>
      </c>
      <c r="Q47" s="3365"/>
      <c r="R47" s="3479">
        <f>E47</f>
        <v>0</v>
      </c>
      <c r="S47" s="3479"/>
      <c r="T47" s="3479">
        <f>G47</f>
        <v>0</v>
      </c>
      <c r="U47" s="3479"/>
      <c r="V47" s="3479">
        <f>I47</f>
        <v>0</v>
      </c>
      <c r="W47" s="3479"/>
      <c r="X47" s="1560"/>
      <c r="Y47" s="1582"/>
      <c r="Z47" s="1560"/>
      <c r="AA47" s="1560"/>
      <c r="AB47" s="1560"/>
      <c r="AC47" s="1560"/>
    </row>
    <row r="48" spans="1:29" ht="15.75" thickBot="1">
      <c r="A48" s="615" t="s">
        <v>2760</v>
      </c>
      <c r="B48" s="888"/>
      <c r="C48" s="2613" t="e">
        <f>R49</f>
        <v>#DIV/0!</v>
      </c>
      <c r="D48" s="2614"/>
      <c r="E48" s="2615" t="e">
        <f>R48</f>
        <v>#DIV/0!</v>
      </c>
      <c r="F48" s="2615"/>
      <c r="G48" s="2613" t="e">
        <f>T48</f>
        <v>#DIV/0!</v>
      </c>
      <c r="H48" s="2614"/>
      <c r="I48" s="2615" t="e">
        <f>V48</f>
        <v>#DIV/0!</v>
      </c>
      <c r="J48" s="2614"/>
      <c r="K48" s="1608"/>
      <c r="L48" s="2145"/>
      <c r="M48" s="2146"/>
      <c r="N48" s="2146"/>
      <c r="O48" s="2146"/>
      <c r="P48" s="3365" t="str">
        <f>A48</f>
        <v>比较价格（元/平方米）</v>
      </c>
      <c r="Q48" s="3365"/>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09"/>
      <c r="L49" s="2145"/>
      <c r="M49" s="2146"/>
      <c r="N49" s="2146"/>
      <c r="O49" s="2146"/>
      <c r="P49" s="3362" t="str">
        <f>A49</f>
        <v>估价对象XX用房的比较价格（楼面单价，元/平方米）</v>
      </c>
      <c r="Q49" s="3363"/>
      <c r="R49" s="3478" t="e">
        <f>IF(F1="售价",ROUND(AVERAGE(R48:V48),0),ROUND(AVERAGE(R48:V48),1))</f>
        <v>#DIV/0!</v>
      </c>
      <c r="S49" s="3478"/>
      <c r="T49" s="3478"/>
      <c r="U49" s="3478"/>
      <c r="V49" s="3478"/>
      <c r="W49" s="3478"/>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2019-2</v>
      </c>
      <c r="D58" s="2783">
        <f>EDATE(C58,-1)</f>
        <v>43466</v>
      </c>
      <c r="E58" s="2783">
        <f t="shared" ref="E58:O58" si="16">EDATE(D58,-1)</f>
        <v>43435</v>
      </c>
      <c r="F58" s="2783">
        <f t="shared" si="16"/>
        <v>43405</v>
      </c>
      <c r="G58" s="2783">
        <f t="shared" si="16"/>
        <v>43374</v>
      </c>
      <c r="H58" s="2783">
        <f t="shared" si="16"/>
        <v>43344</v>
      </c>
      <c r="I58" s="2783">
        <f t="shared" si="16"/>
        <v>43313</v>
      </c>
      <c r="J58" s="2783">
        <f t="shared" si="16"/>
        <v>43282</v>
      </c>
      <c r="K58" s="2783">
        <f t="shared" si="16"/>
        <v>43252</v>
      </c>
      <c r="L58" s="2783">
        <f t="shared" si="16"/>
        <v>43221</v>
      </c>
      <c r="M58" s="2783">
        <f t="shared" si="16"/>
        <v>43191</v>
      </c>
      <c r="N58" s="2783">
        <f t="shared" si="16"/>
        <v>43160</v>
      </c>
      <c r="O58" s="2783">
        <f t="shared" si="16"/>
        <v>43132</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71" t="s">
        <v>522</v>
      </c>
      <c r="D4" s="3372"/>
      <c r="E4" s="3405" t="s">
        <v>523</v>
      </c>
      <c r="F4" s="3406"/>
      <c r="G4" s="3371" t="s">
        <v>524</v>
      </c>
      <c r="H4" s="3372"/>
      <c r="I4" s="3371" t="s">
        <v>525</v>
      </c>
      <c r="J4" s="3372"/>
      <c r="K4" s="514" t="s">
        <v>526</v>
      </c>
      <c r="L4" s="2134"/>
      <c r="M4" s="2135"/>
      <c r="N4" s="2135"/>
      <c r="O4" s="2135"/>
      <c r="P4" s="3373" t="s">
        <v>527</v>
      </c>
      <c r="Q4" s="3374"/>
      <c r="R4" s="3379" t="s">
        <v>523</v>
      </c>
      <c r="S4" s="3380"/>
      <c r="T4" s="3379" t="s">
        <v>524</v>
      </c>
      <c r="U4" s="3380"/>
      <c r="V4" s="3366" t="s">
        <v>525</v>
      </c>
      <c r="W4" s="3366"/>
      <c r="X4" s="1568"/>
      <c r="Y4" s="3379" t="s">
        <v>527</v>
      </c>
      <c r="Z4" s="3380"/>
      <c r="AA4" s="3368" t="s">
        <v>523</v>
      </c>
      <c r="AB4" s="3366" t="s">
        <v>524</v>
      </c>
      <c r="AC4" s="3368" t="s">
        <v>525</v>
      </c>
    </row>
    <row r="5" spans="1:29" ht="15">
      <c r="A5" s="515"/>
      <c r="B5" s="516"/>
      <c r="C5" s="3387" t="s">
        <v>2931</v>
      </c>
      <c r="D5" s="3388"/>
      <c r="E5" s="3407" t="s">
        <v>2932</v>
      </c>
      <c r="F5" s="3408"/>
      <c r="G5" s="3387" t="s">
        <v>2933</v>
      </c>
      <c r="H5" s="3388"/>
      <c r="I5" s="3387" t="s">
        <v>2934</v>
      </c>
      <c r="J5" s="3388"/>
      <c r="K5" s="514"/>
      <c r="L5" s="2134"/>
      <c r="M5" s="2135"/>
      <c r="N5" s="2135"/>
      <c r="O5" s="2135"/>
      <c r="P5" s="3375"/>
      <c r="Q5" s="3376"/>
      <c r="R5" s="3381"/>
      <c r="S5" s="3382"/>
      <c r="T5" s="3381"/>
      <c r="U5" s="3382"/>
      <c r="V5" s="3366"/>
      <c r="W5" s="3366"/>
      <c r="X5" s="1568"/>
      <c r="Y5" s="3381"/>
      <c r="Z5" s="3382"/>
      <c r="AA5" s="3369"/>
      <c r="AB5" s="3366"/>
      <c r="AC5" s="3369"/>
    </row>
    <row r="6" spans="1:29" ht="15.75" thickBot="1">
      <c r="A6" s="517"/>
      <c r="B6" s="518"/>
      <c r="C6" s="3385" t="s">
        <v>2935</v>
      </c>
      <c r="D6" s="3386"/>
      <c r="E6" s="3403" t="s">
        <v>2935</v>
      </c>
      <c r="F6" s="3404"/>
      <c r="G6" s="3385" t="s">
        <v>2935</v>
      </c>
      <c r="H6" s="3386"/>
      <c r="I6" s="3385" t="s">
        <v>2935</v>
      </c>
      <c r="J6" s="3386"/>
      <c r="K6" s="514" t="s">
        <v>528</v>
      </c>
      <c r="L6" s="2134"/>
      <c r="M6" s="2135"/>
      <c r="N6" s="2135"/>
      <c r="O6" s="2135"/>
      <c r="P6" s="3377"/>
      <c r="Q6" s="3378"/>
      <c r="R6" s="3381"/>
      <c r="S6" s="3382"/>
      <c r="T6" s="3383"/>
      <c r="U6" s="3384"/>
      <c r="V6" s="3366"/>
      <c r="W6" s="3366"/>
      <c r="X6" s="1568"/>
      <c r="Y6" s="3383"/>
      <c r="Z6" s="3384"/>
      <c r="AA6" s="3370"/>
      <c r="AB6" s="3366"/>
      <c r="AC6" s="3370"/>
    </row>
    <row r="7" spans="1:29" s="1220" customFormat="1" ht="15.75" thickBot="1">
      <c r="A7" s="2890"/>
      <c r="B7" s="2897" t="s">
        <v>529</v>
      </c>
      <c r="C7" s="519">
        <f>'数据-取费表'!B2</f>
        <v>43510</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96" t="s">
        <v>530</v>
      </c>
      <c r="Q7" s="3398"/>
      <c r="R7" s="1569" t="s">
        <v>8</v>
      </c>
      <c r="S7" s="1570">
        <f t="shared" ref="S7:S15" si="0">F7</f>
        <v>0</v>
      </c>
      <c r="T7" s="1569" t="s">
        <v>8</v>
      </c>
      <c r="U7" s="1570">
        <f t="shared" ref="U7:U15" si="1">H7</f>
        <v>0</v>
      </c>
      <c r="V7" s="1569" t="s">
        <v>8</v>
      </c>
      <c r="W7" s="1570">
        <f t="shared" ref="W7:W15" si="2">J7</f>
        <v>0</v>
      </c>
      <c r="X7" s="1571"/>
      <c r="Y7" s="3396" t="s">
        <v>530</v>
      </c>
      <c r="Z7" s="3397"/>
      <c r="AA7" s="1572" t="e">
        <f>D7/F7</f>
        <v>#DIV/0!</v>
      </c>
      <c r="AB7" s="1572" t="e">
        <f>D7/H7</f>
        <v>#DIV/0!</v>
      </c>
      <c r="AC7" s="1572" t="e">
        <f>D7/J7</f>
        <v>#DIV/0!</v>
      </c>
    </row>
    <row r="8" spans="1:29" s="1220"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96" t="s">
        <v>533</v>
      </c>
      <c r="Q8" s="3397"/>
      <c r="R8" s="1569" t="s">
        <v>8</v>
      </c>
      <c r="S8" s="1570">
        <f t="shared" si="0"/>
        <v>0</v>
      </c>
      <c r="T8" s="1569" t="s">
        <v>8</v>
      </c>
      <c r="U8" s="1570">
        <f t="shared" si="1"/>
        <v>0</v>
      </c>
      <c r="V8" s="1569" t="s">
        <v>8</v>
      </c>
      <c r="W8" s="1570">
        <f t="shared" si="2"/>
        <v>0</v>
      </c>
      <c r="X8" s="1571"/>
      <c r="Y8" s="3396" t="s">
        <v>533</v>
      </c>
      <c r="Z8" s="3397"/>
      <c r="AA8" s="1572" t="e">
        <f t="shared" ref="AA8:AA46" si="3">D8/F8</f>
        <v>#DIV/0!</v>
      </c>
      <c r="AB8" s="1572" t="e">
        <f t="shared" ref="AB8:AB46" si="4">D8/H8</f>
        <v>#DIV/0!</v>
      </c>
      <c r="AC8" s="1572" t="e">
        <f t="shared" ref="AC8:AC46" si="5">D8/J8</f>
        <v>#DIV/0!</v>
      </c>
    </row>
    <row r="9" spans="1:29" s="1220" customFormat="1" ht="15">
      <c r="A9" s="2892"/>
      <c r="B9" s="2899" t="s">
        <v>2756</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5" t="s">
        <v>535</v>
      </c>
      <c r="Q9" s="1151" t="str">
        <f t="shared" ref="Q9:Q15" si="6">B9</f>
        <v>用途</v>
      </c>
      <c r="R9" s="1569" t="s">
        <v>8</v>
      </c>
      <c r="S9" s="1570">
        <f t="shared" si="0"/>
        <v>100</v>
      </c>
      <c r="T9" s="1569" t="s">
        <v>8</v>
      </c>
      <c r="U9" s="1570">
        <f t="shared" si="1"/>
        <v>100</v>
      </c>
      <c r="V9" s="1569" t="s">
        <v>8</v>
      </c>
      <c r="W9" s="1570">
        <f t="shared" si="2"/>
        <v>100</v>
      </c>
      <c r="X9" s="1571"/>
      <c r="Y9" s="3311" t="s">
        <v>536</v>
      </c>
      <c r="Z9" s="1150" t="str">
        <f t="shared" ref="Z9:Z15" si="7">Q9</f>
        <v>用途</v>
      </c>
      <c r="AA9" s="1572">
        <f t="shared" si="3"/>
        <v>1</v>
      </c>
      <c r="AB9" s="1572">
        <f t="shared" si="4"/>
        <v>1</v>
      </c>
      <c r="AC9" s="1572">
        <f t="shared" si="5"/>
        <v>1</v>
      </c>
    </row>
    <row r="10" spans="1:29" s="1338" customFormat="1" ht="27">
      <c r="A10" s="2893"/>
      <c r="B10" s="2898" t="s">
        <v>2757</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894"/>
      <c r="B11" s="2898"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5"/>
      <c r="Q11" s="1151" t="str">
        <f t="shared" si="6"/>
        <v>容积率</v>
      </c>
      <c r="R11" s="1569" t="s">
        <v>8</v>
      </c>
      <c r="S11" s="1570" t="e">
        <f t="shared" si="0"/>
        <v>#N/A</v>
      </c>
      <c r="T11" s="1569" t="s">
        <v>8</v>
      </c>
      <c r="U11" s="1570" t="e">
        <f t="shared" si="1"/>
        <v>#N/A</v>
      </c>
      <c r="V11" s="1569" t="s">
        <v>8</v>
      </c>
      <c r="W11" s="1570" t="e">
        <f t="shared" si="2"/>
        <v>#N/A</v>
      </c>
      <c r="X11" s="1571"/>
      <c r="Y11" s="3311"/>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5"/>
      <c r="Q14" s="1151">
        <f t="shared" si="6"/>
        <v>111</v>
      </c>
      <c r="R14" s="1569" t="s">
        <v>8</v>
      </c>
      <c r="S14" s="1570">
        <f t="shared" si="0"/>
        <v>100</v>
      </c>
      <c r="T14" s="1569" t="s">
        <v>8</v>
      </c>
      <c r="U14" s="1570">
        <f t="shared" si="1"/>
        <v>100</v>
      </c>
      <c r="V14" s="1569" t="s">
        <v>8</v>
      </c>
      <c r="W14" s="1570">
        <f t="shared" si="2"/>
        <v>100</v>
      </c>
      <c r="X14" s="1571"/>
      <c r="Y14" s="3311"/>
      <c r="Z14" s="1150">
        <f t="shared" si="7"/>
        <v>111</v>
      </c>
      <c r="AA14" s="1572">
        <f t="shared" si="3"/>
        <v>1</v>
      </c>
      <c r="AB14" s="1572">
        <f t="shared" si="4"/>
        <v>1</v>
      </c>
      <c r="AC14" s="1572">
        <f t="shared" si="5"/>
        <v>1</v>
      </c>
    </row>
    <row r="15" spans="1:29" ht="71.25">
      <c r="A15" s="2888"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99" t="s">
        <v>540</v>
      </c>
      <c r="Q15" s="1573" t="str">
        <f t="shared" si="6"/>
        <v>商业繁华度</v>
      </c>
      <c r="R15" s="1574" t="s">
        <v>8</v>
      </c>
      <c r="S15" s="1575">
        <f t="shared" si="0"/>
        <v>100</v>
      </c>
      <c r="T15" s="1574" t="s">
        <v>8</v>
      </c>
      <c r="U15" s="1575">
        <f t="shared" si="1"/>
        <v>100</v>
      </c>
      <c r="V15" s="1574" t="s">
        <v>8</v>
      </c>
      <c r="W15" s="1575">
        <f t="shared" si="2"/>
        <v>100</v>
      </c>
      <c r="X15" s="1568"/>
      <c r="Y15" s="3399"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00"/>
      <c r="Q17" s="1573" t="str">
        <f>B17</f>
        <v>交通便捷度</v>
      </c>
      <c r="R17" s="1574" t="s">
        <v>8</v>
      </c>
      <c r="S17" s="1575">
        <f>F17</f>
        <v>100</v>
      </c>
      <c r="T17" s="1574" t="s">
        <v>8</v>
      </c>
      <c r="U17" s="1575">
        <f>H17</f>
        <v>100</v>
      </c>
      <c r="V17" s="1574" t="s">
        <v>8</v>
      </c>
      <c r="W17" s="1575">
        <f>J17</f>
        <v>100</v>
      </c>
      <c r="X17" s="1568"/>
      <c r="Y17" s="340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00"/>
      <c r="Q18" s="1573"/>
      <c r="R18" s="1574"/>
      <c r="S18" s="1575"/>
      <c r="T18" s="1574"/>
      <c r="U18" s="1575"/>
      <c r="V18" s="1574"/>
      <c r="W18" s="1575"/>
      <c r="X18" s="1568"/>
      <c r="Y18" s="3400"/>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00"/>
      <c r="Q19" s="1573" t="str">
        <f>B19</f>
        <v>公共配套设施</v>
      </c>
      <c r="R19" s="1574" t="s">
        <v>8</v>
      </c>
      <c r="S19" s="1575">
        <f>F19</f>
        <v>100</v>
      </c>
      <c r="T19" s="1574" t="s">
        <v>8</v>
      </c>
      <c r="U19" s="1575">
        <f>H19</f>
        <v>100</v>
      </c>
      <c r="V19" s="1574" t="s">
        <v>8</v>
      </c>
      <c r="W19" s="1575">
        <f>J19</f>
        <v>100</v>
      </c>
      <c r="X19" s="1568"/>
      <c r="Y19" s="340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400"/>
      <c r="Q20" s="1573"/>
      <c r="R20" s="1574"/>
      <c r="S20" s="1575"/>
      <c r="T20" s="1574"/>
      <c r="U20" s="1575"/>
      <c r="V20" s="1574"/>
      <c r="W20" s="1575"/>
      <c r="X20" s="1568"/>
      <c r="Y20" s="3400"/>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00"/>
      <c r="Q21" s="2559" t="str">
        <f>B21</f>
        <v>基础设施水平</v>
      </c>
      <c r="R21" s="1574" t="s">
        <v>8</v>
      </c>
      <c r="S21" s="1575">
        <f>F21</f>
        <v>100</v>
      </c>
      <c r="T21" s="1574" t="s">
        <v>8</v>
      </c>
      <c r="U21" s="1575">
        <f>H21</f>
        <v>100</v>
      </c>
      <c r="V21" s="1574" t="s">
        <v>8</v>
      </c>
      <c r="W21" s="1575">
        <f>J21</f>
        <v>100</v>
      </c>
      <c r="X21" s="2561"/>
      <c r="Y21" s="3400"/>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400"/>
      <c r="Q22" s="2559"/>
      <c r="R22" s="1574"/>
      <c r="S22" s="1575"/>
      <c r="T22" s="1574"/>
      <c r="U22" s="1575"/>
      <c r="V22" s="1574"/>
      <c r="W22" s="1575"/>
      <c r="X22" s="2561"/>
      <c r="Y22" s="3400"/>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00"/>
      <c r="Q23" s="1573" t="str">
        <f>B23</f>
        <v>自然及人文环境</v>
      </c>
      <c r="R23" s="1574" t="s">
        <v>8</v>
      </c>
      <c r="S23" s="1575">
        <f>F23</f>
        <v>100</v>
      </c>
      <c r="T23" s="1574" t="s">
        <v>8</v>
      </c>
      <c r="U23" s="1575">
        <f>H23</f>
        <v>100</v>
      </c>
      <c r="V23" s="1574" t="s">
        <v>8</v>
      </c>
      <c r="W23" s="1575">
        <f>J23</f>
        <v>100</v>
      </c>
      <c r="X23" s="1568"/>
      <c r="Y23" s="340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400"/>
      <c r="Q24" s="1573"/>
      <c r="R24" s="1574"/>
      <c r="S24" s="1575"/>
      <c r="T24" s="1574"/>
      <c r="U24" s="1575"/>
      <c r="V24" s="1574"/>
      <c r="W24" s="1575"/>
      <c r="X24" s="1568"/>
      <c r="Y24" s="3400"/>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00"/>
      <c r="Q25" s="1573" t="str">
        <f t="shared" ref="Q25:Q46" si="11">B25</f>
        <v>临街状况</v>
      </c>
      <c r="R25" s="1574" t="s">
        <v>8</v>
      </c>
      <c r="S25" s="1575">
        <f>F25</f>
        <v>100</v>
      </c>
      <c r="T25" s="1574" t="s">
        <v>8</v>
      </c>
      <c r="U25" s="1575">
        <f>H25</f>
        <v>100</v>
      </c>
      <c r="V25" s="1574" t="s">
        <v>8</v>
      </c>
      <c r="W25" s="1575">
        <f>J25</f>
        <v>100</v>
      </c>
      <c r="X25" s="1568"/>
      <c r="Y25" s="3400"/>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00"/>
      <c r="Q26" s="1573" t="str">
        <f t="shared" si="11"/>
        <v>平面位置/可视性</v>
      </c>
      <c r="R26" s="1574" t="s">
        <v>8</v>
      </c>
      <c r="S26" s="1575">
        <f>F26</f>
        <v>100</v>
      </c>
      <c r="T26" s="1574" t="s">
        <v>8</v>
      </c>
      <c r="U26" s="1575">
        <f>H26</f>
        <v>100</v>
      </c>
      <c r="V26" s="1574" t="s">
        <v>8</v>
      </c>
      <c r="W26" s="1575">
        <f>J26</f>
        <v>100</v>
      </c>
      <c r="X26" s="1568"/>
      <c r="Y26" s="3400"/>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00"/>
      <c r="Q27" s="1151" t="str">
        <f t="shared" si="11"/>
        <v>人流量</v>
      </c>
      <c r="R27" s="1569" t="s">
        <v>8</v>
      </c>
      <c r="S27" s="1570">
        <f>F27</f>
        <v>100</v>
      </c>
      <c r="T27" s="1569" t="s">
        <v>8</v>
      </c>
      <c r="U27" s="1570">
        <f>H27</f>
        <v>100</v>
      </c>
      <c r="V27" s="1569" t="s">
        <v>8</v>
      </c>
      <c r="W27" s="1570">
        <f>J27</f>
        <v>100</v>
      </c>
      <c r="X27" s="1571"/>
      <c r="Y27" s="3400"/>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0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00"/>
      <c r="Q29" s="1573">
        <f t="shared" si="11"/>
        <v>111</v>
      </c>
      <c r="R29" s="1574" t="s">
        <v>8</v>
      </c>
      <c r="S29" s="1575">
        <f t="shared" si="12"/>
        <v>100</v>
      </c>
      <c r="T29" s="1574" t="s">
        <v>8</v>
      </c>
      <c r="U29" s="1575">
        <f t="shared" si="13"/>
        <v>100</v>
      </c>
      <c r="V29" s="1574" t="s">
        <v>8</v>
      </c>
      <c r="W29" s="1575">
        <f t="shared" si="14"/>
        <v>100</v>
      </c>
      <c r="X29" s="1568"/>
      <c r="Y29" s="340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00"/>
      <c r="Q30" s="1573">
        <f t="shared" si="11"/>
        <v>111</v>
      </c>
      <c r="R30" s="1574" t="s">
        <v>8</v>
      </c>
      <c r="S30" s="1575">
        <f t="shared" si="12"/>
        <v>100</v>
      </c>
      <c r="T30" s="1574" t="s">
        <v>8</v>
      </c>
      <c r="U30" s="1575">
        <f t="shared" si="13"/>
        <v>100</v>
      </c>
      <c r="V30" s="1574" t="s">
        <v>8</v>
      </c>
      <c r="W30" s="1575">
        <f t="shared" si="14"/>
        <v>100</v>
      </c>
      <c r="X30" s="1568"/>
      <c r="Y30" s="340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00"/>
      <c r="Q31" s="1573">
        <f t="shared" si="11"/>
        <v>111</v>
      </c>
      <c r="R31" s="1574" t="s">
        <v>8</v>
      </c>
      <c r="S31" s="1575">
        <f t="shared" si="12"/>
        <v>100</v>
      </c>
      <c r="T31" s="1574" t="s">
        <v>8</v>
      </c>
      <c r="U31" s="1575">
        <f t="shared" si="13"/>
        <v>100</v>
      </c>
      <c r="V31" s="1574" t="s">
        <v>8</v>
      </c>
      <c r="W31" s="1575">
        <f t="shared" si="14"/>
        <v>100</v>
      </c>
      <c r="X31" s="1568"/>
      <c r="Y31" s="3400"/>
      <c r="Z31" s="1576">
        <f t="shared" si="15"/>
        <v>111</v>
      </c>
      <c r="AA31" s="1577">
        <f t="shared" si="3"/>
        <v>1</v>
      </c>
      <c r="AB31" s="1577">
        <f t="shared" si="4"/>
        <v>1</v>
      </c>
      <c r="AC31" s="1577">
        <f t="shared" si="5"/>
        <v>1</v>
      </c>
    </row>
    <row r="32" spans="1:29" ht="15">
      <c r="A32" s="2886"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01" t="s">
        <v>550</v>
      </c>
      <c r="Q32" s="1573" t="str">
        <f t="shared" si="11"/>
        <v>商业类型</v>
      </c>
      <c r="R32" s="1574" t="s">
        <v>8</v>
      </c>
      <c r="S32" s="1575">
        <f t="shared" si="12"/>
        <v>100</v>
      </c>
      <c r="T32" s="1574" t="s">
        <v>8</v>
      </c>
      <c r="U32" s="1575">
        <f t="shared" si="13"/>
        <v>100</v>
      </c>
      <c r="V32" s="1574" t="s">
        <v>8</v>
      </c>
      <c r="W32" s="1575">
        <f t="shared" si="14"/>
        <v>100</v>
      </c>
      <c r="X32" s="1568"/>
      <c r="Y32" s="3402"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02"/>
      <c r="Q33" s="1606" t="str">
        <f t="shared" si="11"/>
        <v>项目建筑规模</v>
      </c>
      <c r="R33" s="1578" t="s">
        <v>8</v>
      </c>
      <c r="S33" s="1579" t="e">
        <f t="shared" si="12"/>
        <v>#N/A</v>
      </c>
      <c r="T33" s="1578" t="s">
        <v>8</v>
      </c>
      <c r="U33" s="1579" t="e">
        <f t="shared" si="13"/>
        <v>#N/A</v>
      </c>
      <c r="V33" s="1578" t="s">
        <v>8</v>
      </c>
      <c r="W33" s="1579" t="e">
        <f t="shared" si="14"/>
        <v>#N/A</v>
      </c>
      <c r="X33" s="1580"/>
      <c r="Y33" s="340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02"/>
      <c r="Q34" s="1573" t="str">
        <f t="shared" si="11"/>
        <v>建筑结构</v>
      </c>
      <c r="R34" s="1574" t="s">
        <v>8</v>
      </c>
      <c r="S34" s="1575">
        <f t="shared" si="12"/>
        <v>100</v>
      </c>
      <c r="T34" s="1574" t="s">
        <v>8</v>
      </c>
      <c r="U34" s="1575">
        <f t="shared" si="13"/>
        <v>100</v>
      </c>
      <c r="V34" s="1574" t="s">
        <v>8</v>
      </c>
      <c r="W34" s="1575">
        <f t="shared" si="14"/>
        <v>100</v>
      </c>
      <c r="X34" s="1568"/>
      <c r="Y34" s="3402"/>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02"/>
      <c r="Q35" s="1573" t="str">
        <f t="shared" si="11"/>
        <v>公共部分装修</v>
      </c>
      <c r="R35" s="1574" t="s">
        <v>8</v>
      </c>
      <c r="S35" s="1575">
        <f t="shared" si="12"/>
        <v>100</v>
      </c>
      <c r="T35" s="1574" t="s">
        <v>8</v>
      </c>
      <c r="U35" s="1575">
        <f t="shared" si="13"/>
        <v>100</v>
      </c>
      <c r="V35" s="1574" t="s">
        <v>8</v>
      </c>
      <c r="W35" s="1575">
        <f t="shared" si="14"/>
        <v>100</v>
      </c>
      <c r="X35" s="1568"/>
      <c r="Y35" s="3402"/>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02"/>
      <c r="Q36" s="1573" t="str">
        <f t="shared" si="11"/>
        <v>成新度</v>
      </c>
      <c r="R36" s="1574" t="s">
        <v>8</v>
      </c>
      <c r="S36" s="1575" t="e">
        <f t="shared" si="12"/>
        <v>#N/A</v>
      </c>
      <c r="T36" s="1574" t="s">
        <v>8</v>
      </c>
      <c r="U36" s="1575" t="e">
        <f t="shared" si="13"/>
        <v>#N/A</v>
      </c>
      <c r="V36" s="1574" t="s">
        <v>8</v>
      </c>
      <c r="W36" s="1575" t="e">
        <f t="shared" si="14"/>
        <v>#N/A</v>
      </c>
      <c r="X36" s="1568"/>
      <c r="Y36" s="3402"/>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02"/>
      <c r="Q37" s="1151" t="str">
        <f t="shared" si="11"/>
        <v>市政基础设施</v>
      </c>
      <c r="R37" s="1569" t="s">
        <v>8</v>
      </c>
      <c r="S37" s="1570">
        <f t="shared" si="12"/>
        <v>100</v>
      </c>
      <c r="T37" s="1569" t="s">
        <v>8</v>
      </c>
      <c r="U37" s="1570">
        <f t="shared" si="13"/>
        <v>100</v>
      </c>
      <c r="V37" s="1569" t="s">
        <v>8</v>
      </c>
      <c r="W37" s="1570">
        <f t="shared" si="14"/>
        <v>100</v>
      </c>
      <c r="X37" s="1571"/>
      <c r="Y37" s="3402"/>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02" t="s">
        <v>766</v>
      </c>
      <c r="Q38" s="1573" t="str">
        <f t="shared" si="11"/>
        <v>业态</v>
      </c>
      <c r="R38" s="1574" t="s">
        <v>8</v>
      </c>
      <c r="S38" s="1575">
        <f t="shared" si="12"/>
        <v>100</v>
      </c>
      <c r="T38" s="1574" t="s">
        <v>8</v>
      </c>
      <c r="U38" s="1575">
        <f t="shared" si="13"/>
        <v>100</v>
      </c>
      <c r="V38" s="1574" t="s">
        <v>8</v>
      </c>
      <c r="W38" s="1575">
        <f t="shared" si="14"/>
        <v>100</v>
      </c>
      <c r="X38" s="1568"/>
      <c r="Y38" s="3402"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2"/>
      <c r="Q39" s="1573" t="str">
        <f t="shared" si="11"/>
        <v>层高</v>
      </c>
      <c r="R39" s="1574" t="s">
        <v>8</v>
      </c>
      <c r="S39" s="1575">
        <f t="shared" si="12"/>
        <v>100</v>
      </c>
      <c r="T39" s="1574" t="s">
        <v>8</v>
      </c>
      <c r="U39" s="1575">
        <f t="shared" si="13"/>
        <v>100</v>
      </c>
      <c r="V39" s="1574" t="s">
        <v>8</v>
      </c>
      <c r="W39" s="1575">
        <f t="shared" si="14"/>
        <v>100</v>
      </c>
      <c r="X39" s="1568"/>
      <c r="Y39" s="3402"/>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02"/>
      <c r="Q40" s="1573" t="str">
        <f t="shared" si="11"/>
        <v>单套建筑面积</v>
      </c>
      <c r="R40" s="1574" t="s">
        <v>8</v>
      </c>
      <c r="S40" s="1575">
        <f t="shared" si="12"/>
        <v>100</v>
      </c>
      <c r="T40" s="1574" t="s">
        <v>8</v>
      </c>
      <c r="U40" s="1575">
        <f t="shared" si="13"/>
        <v>100</v>
      </c>
      <c r="V40" s="1574" t="s">
        <v>8</v>
      </c>
      <c r="W40" s="1575">
        <f t="shared" si="14"/>
        <v>100</v>
      </c>
      <c r="X40" s="1568"/>
      <c r="Y40" s="3402"/>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02"/>
      <c r="Q41" s="1606" t="str">
        <f t="shared" si="11"/>
        <v>进深比</v>
      </c>
      <c r="R41" s="1578" t="s">
        <v>8</v>
      </c>
      <c r="S41" s="1579">
        <f t="shared" si="12"/>
        <v>100</v>
      </c>
      <c r="T41" s="1578" t="s">
        <v>8</v>
      </c>
      <c r="U41" s="1579">
        <f t="shared" si="13"/>
        <v>100</v>
      </c>
      <c r="V41" s="1578" t="s">
        <v>8</v>
      </c>
      <c r="W41" s="1579">
        <f t="shared" si="14"/>
        <v>100</v>
      </c>
      <c r="X41" s="1580"/>
      <c r="Y41" s="3402"/>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02"/>
      <c r="Q42" s="1573" t="str">
        <f t="shared" si="11"/>
        <v>内部装修</v>
      </c>
      <c r="R42" s="1574" t="s">
        <v>8</v>
      </c>
      <c r="S42" s="1575">
        <f t="shared" si="12"/>
        <v>100</v>
      </c>
      <c r="T42" s="1574" t="s">
        <v>8</v>
      </c>
      <c r="U42" s="1575">
        <f t="shared" si="13"/>
        <v>100</v>
      </c>
      <c r="V42" s="1574" t="s">
        <v>8</v>
      </c>
      <c r="W42" s="1575">
        <f t="shared" si="14"/>
        <v>100</v>
      </c>
      <c r="X42" s="1568"/>
      <c r="Y42" s="3402"/>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02"/>
      <c r="Q43" s="1573" t="str">
        <f t="shared" si="11"/>
        <v>内部装修维护情况</v>
      </c>
      <c r="R43" s="1574" t="s">
        <v>8</v>
      </c>
      <c r="S43" s="1575">
        <f t="shared" si="12"/>
        <v>100</v>
      </c>
      <c r="T43" s="1574" t="s">
        <v>8</v>
      </c>
      <c r="U43" s="1575">
        <f t="shared" si="13"/>
        <v>100</v>
      </c>
      <c r="V43" s="1574" t="s">
        <v>8</v>
      </c>
      <c r="W43" s="1575">
        <f t="shared" si="14"/>
        <v>100</v>
      </c>
      <c r="X43" s="1568"/>
      <c r="Y43" s="340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02"/>
      <c r="Q44" s="1151">
        <f t="shared" si="11"/>
        <v>111</v>
      </c>
      <c r="R44" s="1569" t="s">
        <v>8</v>
      </c>
      <c r="S44" s="1570">
        <f t="shared" si="12"/>
        <v>100</v>
      </c>
      <c r="T44" s="1569" t="s">
        <v>8</v>
      </c>
      <c r="U44" s="1570">
        <f t="shared" si="13"/>
        <v>100</v>
      </c>
      <c r="V44" s="1569" t="s">
        <v>8</v>
      </c>
      <c r="W44" s="1570">
        <f t="shared" si="14"/>
        <v>100</v>
      </c>
      <c r="X44" s="1571"/>
      <c r="Y44" s="340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02"/>
      <c r="Q45" s="1573">
        <f t="shared" si="11"/>
        <v>111</v>
      </c>
      <c r="R45" s="1574" t="s">
        <v>8</v>
      </c>
      <c r="S45" s="1575">
        <f t="shared" si="12"/>
        <v>100</v>
      </c>
      <c r="T45" s="1574" t="s">
        <v>8</v>
      </c>
      <c r="U45" s="1575">
        <f t="shared" si="13"/>
        <v>100</v>
      </c>
      <c r="V45" s="1574" t="s">
        <v>8</v>
      </c>
      <c r="W45" s="1575">
        <f t="shared" si="14"/>
        <v>100</v>
      </c>
      <c r="X45" s="1568"/>
      <c r="Y45" s="340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80"/>
      <c r="Q46" s="1573">
        <f t="shared" si="11"/>
        <v>111</v>
      </c>
      <c r="R46" s="1574" t="s">
        <v>8</v>
      </c>
      <c r="S46" s="1575">
        <f t="shared" si="12"/>
        <v>100</v>
      </c>
      <c r="T46" s="1574" t="s">
        <v>8</v>
      </c>
      <c r="U46" s="1575">
        <f t="shared" si="13"/>
        <v>100</v>
      </c>
      <c r="V46" s="1574" t="s">
        <v>8</v>
      </c>
      <c r="W46" s="1575">
        <f t="shared" si="14"/>
        <v>100</v>
      </c>
      <c r="X46" s="1568"/>
      <c r="Y46" s="3480"/>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65" t="str">
        <f>A47</f>
        <v>成交单价（元/平方米）</v>
      </c>
      <c r="Q47" s="3365"/>
      <c r="R47" s="3479">
        <f>E47</f>
        <v>0</v>
      </c>
      <c r="S47" s="3479"/>
      <c r="T47" s="3479">
        <f>G47</f>
        <v>0</v>
      </c>
      <c r="U47" s="3479"/>
      <c r="V47" s="3479">
        <f>I47</f>
        <v>0</v>
      </c>
      <c r="W47" s="3479"/>
      <c r="X47" s="1560"/>
      <c r="Y47" s="1582"/>
      <c r="Z47" s="1560"/>
      <c r="AA47" s="1560"/>
      <c r="AB47" s="1560"/>
      <c r="AC47" s="1560"/>
    </row>
    <row r="48" spans="1:29" ht="15.75" thickBot="1">
      <c r="A48" s="615" t="s">
        <v>2760</v>
      </c>
      <c r="B48" s="888"/>
      <c r="C48" s="2613" t="e">
        <f>R49</f>
        <v>#DIV/0!</v>
      </c>
      <c r="D48" s="2614"/>
      <c r="E48" s="2615" t="e">
        <f>R48</f>
        <v>#DIV/0!</v>
      </c>
      <c r="F48" s="2615"/>
      <c r="G48" s="2613" t="e">
        <f>T48</f>
        <v>#DIV/0!</v>
      </c>
      <c r="H48" s="2614"/>
      <c r="I48" s="2615" t="e">
        <f>V48</f>
        <v>#DIV/0!</v>
      </c>
      <c r="J48" s="2614"/>
      <c r="K48" s="1613"/>
      <c r="L48" s="2145"/>
      <c r="M48" s="2146"/>
      <c r="N48" s="2135"/>
      <c r="O48" s="2146"/>
      <c r="P48" s="3365" t="str">
        <f>A48</f>
        <v>比较价格（元/平方米）</v>
      </c>
      <c r="Q48" s="3365"/>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14"/>
      <c r="L49" s="2145"/>
      <c r="M49" s="2146"/>
      <c r="N49" s="2135"/>
      <c r="O49" s="2146"/>
      <c r="P49" s="3362" t="str">
        <f>A49</f>
        <v>估价对象XX用房的比较价格（楼面单价，元/平方米）</v>
      </c>
      <c r="Q49" s="3363"/>
      <c r="R49" s="3478" t="e">
        <f>IF(F1="售价",ROUND(AVERAGE(R48:V48),0),ROUND(AVERAGE(R48:V48),1))</f>
        <v>#DIV/0!</v>
      </c>
      <c r="S49" s="3478"/>
      <c r="T49" s="3478"/>
      <c r="U49" s="3478"/>
      <c r="V49" s="3478"/>
      <c r="W49" s="3478"/>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2019-2</v>
      </c>
      <c r="D58" s="2783">
        <f>EDATE(C58,-1)</f>
        <v>43466</v>
      </c>
      <c r="E58" s="2783">
        <f t="shared" ref="E58:O58" si="16">EDATE(D58,-1)</f>
        <v>43435</v>
      </c>
      <c r="F58" s="2783">
        <f t="shared" si="16"/>
        <v>43405</v>
      </c>
      <c r="G58" s="2783">
        <f t="shared" si="16"/>
        <v>43374</v>
      </c>
      <c r="H58" s="2783">
        <f t="shared" si="16"/>
        <v>43344</v>
      </c>
      <c r="I58" s="2783">
        <f t="shared" si="16"/>
        <v>43313</v>
      </c>
      <c r="J58" s="2783">
        <f t="shared" si="16"/>
        <v>43282</v>
      </c>
      <c r="K58" s="2783">
        <f t="shared" si="16"/>
        <v>43252</v>
      </c>
      <c r="L58" s="2783">
        <f t="shared" si="16"/>
        <v>43221</v>
      </c>
      <c r="M58" s="2783">
        <f t="shared" si="16"/>
        <v>43191</v>
      </c>
      <c r="N58" s="2783">
        <f t="shared" si="16"/>
        <v>43160</v>
      </c>
      <c r="O58" s="2783">
        <f t="shared" si="16"/>
        <v>43132</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71" t="s">
        <v>522</v>
      </c>
      <c r="D4" s="3372"/>
      <c r="E4" s="3405" t="s">
        <v>523</v>
      </c>
      <c r="F4" s="3406"/>
      <c r="G4" s="3371" t="s">
        <v>524</v>
      </c>
      <c r="H4" s="3372"/>
      <c r="I4" s="3371" t="s">
        <v>525</v>
      </c>
      <c r="J4" s="3372"/>
      <c r="K4" s="514" t="s">
        <v>526</v>
      </c>
      <c r="L4" s="2134"/>
      <c r="M4" s="2135"/>
      <c r="N4" s="2135"/>
      <c r="O4" s="2135"/>
      <c r="P4" s="3482" t="s">
        <v>527</v>
      </c>
      <c r="Q4" s="3374"/>
      <c r="R4" s="3379" t="s">
        <v>523</v>
      </c>
      <c r="S4" s="3380"/>
      <c r="T4" s="3379" t="s">
        <v>524</v>
      </c>
      <c r="U4" s="3380"/>
      <c r="V4" s="3366" t="s">
        <v>525</v>
      </c>
      <c r="W4" s="3366"/>
      <c r="X4" s="1568"/>
      <c r="Y4" s="3379" t="s">
        <v>527</v>
      </c>
      <c r="Z4" s="3380"/>
      <c r="AA4" s="3368" t="s">
        <v>523</v>
      </c>
      <c r="AB4" s="3368" t="s">
        <v>524</v>
      </c>
      <c r="AC4" s="3368" t="s">
        <v>525</v>
      </c>
    </row>
    <row r="5" spans="1:29" ht="15">
      <c r="A5" s="515"/>
      <c r="B5" s="516"/>
      <c r="C5" s="3387" t="s">
        <v>2931</v>
      </c>
      <c r="D5" s="3388"/>
      <c r="E5" s="3407" t="s">
        <v>2932</v>
      </c>
      <c r="F5" s="3408"/>
      <c r="G5" s="3387" t="s">
        <v>2933</v>
      </c>
      <c r="H5" s="3388"/>
      <c r="I5" s="3387" t="s">
        <v>2934</v>
      </c>
      <c r="J5" s="3388"/>
      <c r="K5" s="514"/>
      <c r="L5" s="2134"/>
      <c r="M5" s="2135"/>
      <c r="N5" s="2135"/>
      <c r="O5" s="2135"/>
      <c r="P5" s="3483"/>
      <c r="Q5" s="3376"/>
      <c r="R5" s="3381"/>
      <c r="S5" s="3382"/>
      <c r="T5" s="3381"/>
      <c r="U5" s="3382"/>
      <c r="V5" s="3366"/>
      <c r="W5" s="3366"/>
      <c r="X5" s="1568"/>
      <c r="Y5" s="3381"/>
      <c r="Z5" s="3382"/>
      <c r="AA5" s="3369"/>
      <c r="AB5" s="3369"/>
      <c r="AC5" s="3369"/>
    </row>
    <row r="6" spans="1:29" ht="15.75" thickBot="1">
      <c r="A6" s="517"/>
      <c r="B6" s="518"/>
      <c r="C6" s="3385" t="s">
        <v>2935</v>
      </c>
      <c r="D6" s="3386"/>
      <c r="E6" s="3403" t="s">
        <v>2935</v>
      </c>
      <c r="F6" s="3404"/>
      <c r="G6" s="3385" t="s">
        <v>2935</v>
      </c>
      <c r="H6" s="3386"/>
      <c r="I6" s="3385" t="s">
        <v>2935</v>
      </c>
      <c r="J6" s="3386"/>
      <c r="K6" s="514" t="s">
        <v>528</v>
      </c>
      <c r="L6" s="2134"/>
      <c r="M6" s="2135"/>
      <c r="N6" s="2135"/>
      <c r="O6" s="2135"/>
      <c r="P6" s="3484"/>
      <c r="Q6" s="3378"/>
      <c r="R6" s="3381"/>
      <c r="S6" s="3382"/>
      <c r="T6" s="3383"/>
      <c r="U6" s="3384"/>
      <c r="V6" s="3366"/>
      <c r="W6" s="3366"/>
      <c r="X6" s="1568"/>
      <c r="Y6" s="3383"/>
      <c r="Z6" s="3384"/>
      <c r="AA6" s="3370"/>
      <c r="AB6" s="3370"/>
      <c r="AC6" s="3370"/>
    </row>
    <row r="7" spans="1:29" s="1220" customFormat="1" ht="15.75" thickBot="1">
      <c r="A7" s="2890"/>
      <c r="B7" s="2897" t="s">
        <v>529</v>
      </c>
      <c r="C7" s="519">
        <f>'数据-取费表'!B2</f>
        <v>43510</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98" t="s">
        <v>530</v>
      </c>
      <c r="Q7" s="3398"/>
      <c r="R7" s="1569" t="s">
        <v>8</v>
      </c>
      <c r="S7" s="1570">
        <f t="shared" ref="S7:S15" si="0">F7</f>
        <v>0</v>
      </c>
      <c r="T7" s="1569" t="s">
        <v>8</v>
      </c>
      <c r="U7" s="1570">
        <f t="shared" ref="U7:U15" si="1">H7</f>
        <v>0</v>
      </c>
      <c r="V7" s="1569" t="s">
        <v>8</v>
      </c>
      <c r="W7" s="1570">
        <f t="shared" ref="W7:W15" si="2">J7</f>
        <v>0</v>
      </c>
      <c r="X7" s="1571"/>
      <c r="Y7" s="3396" t="s">
        <v>530</v>
      </c>
      <c r="Z7" s="3397"/>
      <c r="AA7" s="1572" t="e">
        <f>D7/F7</f>
        <v>#DIV/0!</v>
      </c>
      <c r="AB7" s="1572" t="e">
        <f>D7/H7</f>
        <v>#DIV/0!</v>
      </c>
      <c r="AC7" s="1572"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98" t="s">
        <v>533</v>
      </c>
      <c r="Q8" s="3397"/>
      <c r="R8" s="1569" t="s">
        <v>8</v>
      </c>
      <c r="S8" s="1570">
        <f t="shared" si="0"/>
        <v>0</v>
      </c>
      <c r="T8" s="1569" t="s">
        <v>8</v>
      </c>
      <c r="U8" s="1570">
        <f t="shared" si="1"/>
        <v>0</v>
      </c>
      <c r="V8" s="1569" t="s">
        <v>8</v>
      </c>
      <c r="W8" s="1570">
        <f t="shared" si="2"/>
        <v>0</v>
      </c>
      <c r="X8" s="1571"/>
      <c r="Y8" s="3396" t="s">
        <v>533</v>
      </c>
      <c r="Z8" s="3397"/>
      <c r="AA8" s="1572" t="e">
        <f t="shared" ref="AA8:AA47" si="3">D8/F8</f>
        <v>#DIV/0!</v>
      </c>
      <c r="AB8" s="1572" t="e">
        <f t="shared" ref="AB8:AB47" si="4">D8/H8</f>
        <v>#DIV/0!</v>
      </c>
      <c r="AC8" s="1572" t="e">
        <f t="shared" ref="AC8:AC47" si="5">D8/J8</f>
        <v>#DIV/0!</v>
      </c>
    </row>
    <row r="9" spans="1:29" s="1220" customFormat="1" ht="15">
      <c r="A9" s="2892"/>
      <c r="B9" s="2899" t="s">
        <v>2756</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5" t="s">
        <v>535</v>
      </c>
      <c r="Q9" s="1151" t="str">
        <f t="shared" ref="Q9:Q15" si="6">B9</f>
        <v>用途</v>
      </c>
      <c r="R9" s="1569" t="s">
        <v>8</v>
      </c>
      <c r="S9" s="1570">
        <f t="shared" si="0"/>
        <v>100</v>
      </c>
      <c r="T9" s="1569" t="s">
        <v>8</v>
      </c>
      <c r="U9" s="1570">
        <f t="shared" si="1"/>
        <v>100</v>
      </c>
      <c r="V9" s="1569" t="s">
        <v>8</v>
      </c>
      <c r="W9" s="1570">
        <f t="shared" si="2"/>
        <v>100</v>
      </c>
      <c r="X9" s="1571"/>
      <c r="Y9" s="3311" t="s">
        <v>536</v>
      </c>
      <c r="Z9" s="1150" t="str">
        <f t="shared" ref="Z9:Z15" si="7">Q9</f>
        <v>用途</v>
      </c>
      <c r="AA9" s="1572">
        <f t="shared" si="3"/>
        <v>1</v>
      </c>
      <c r="AB9" s="1572">
        <f t="shared" si="4"/>
        <v>1</v>
      </c>
      <c r="AC9" s="1572">
        <f t="shared" si="5"/>
        <v>1</v>
      </c>
    </row>
    <row r="10" spans="1:29" s="1338" customFormat="1" ht="27">
      <c r="A10" s="2893"/>
      <c r="B10" s="2898" t="s">
        <v>2757</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894"/>
      <c r="B11" s="2898"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5"/>
      <c r="Q11" s="1151" t="str">
        <f t="shared" si="6"/>
        <v>容积率</v>
      </c>
      <c r="R11" s="1569" t="s">
        <v>8</v>
      </c>
      <c r="S11" s="1570" t="e">
        <f t="shared" si="0"/>
        <v>#N/A</v>
      </c>
      <c r="T11" s="1569" t="s">
        <v>8</v>
      </c>
      <c r="U11" s="1570" t="e">
        <f t="shared" si="1"/>
        <v>#N/A</v>
      </c>
      <c r="V11" s="1569" t="s">
        <v>8</v>
      </c>
      <c r="W11" s="1570" t="e">
        <f t="shared" si="2"/>
        <v>#N/A</v>
      </c>
      <c r="X11" s="1571"/>
      <c r="Y11" s="3311"/>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5"/>
      <c r="Q14" s="1151">
        <f t="shared" si="6"/>
        <v>111</v>
      </c>
      <c r="R14" s="1569" t="s">
        <v>8</v>
      </c>
      <c r="S14" s="1570">
        <f t="shared" si="0"/>
        <v>100</v>
      </c>
      <c r="T14" s="1569" t="s">
        <v>8</v>
      </c>
      <c r="U14" s="1570">
        <f t="shared" si="1"/>
        <v>100</v>
      </c>
      <c r="V14" s="1569" t="s">
        <v>8</v>
      </c>
      <c r="W14" s="1570">
        <f t="shared" si="2"/>
        <v>100</v>
      </c>
      <c r="X14" s="1571"/>
      <c r="Y14" s="3311"/>
      <c r="Z14" s="1150">
        <f t="shared" si="7"/>
        <v>111</v>
      </c>
      <c r="AA14" s="1572">
        <f t="shared" si="3"/>
        <v>1</v>
      </c>
      <c r="AB14" s="1572">
        <f t="shared" si="4"/>
        <v>1</v>
      </c>
      <c r="AC14" s="1572">
        <f t="shared" si="5"/>
        <v>1</v>
      </c>
    </row>
    <row r="15" spans="1:29" ht="71.25">
      <c r="A15" s="2888"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99" t="s">
        <v>540</v>
      </c>
      <c r="Q15" s="1573" t="str">
        <f t="shared" si="6"/>
        <v>办公集聚程度</v>
      </c>
      <c r="R15" s="1574" t="s">
        <v>8</v>
      </c>
      <c r="S15" s="1575">
        <f t="shared" si="0"/>
        <v>100</v>
      </c>
      <c r="T15" s="1574" t="s">
        <v>8</v>
      </c>
      <c r="U15" s="1575">
        <f t="shared" si="1"/>
        <v>100</v>
      </c>
      <c r="V15" s="1574" t="s">
        <v>8</v>
      </c>
      <c r="W15" s="1575">
        <f t="shared" si="2"/>
        <v>100</v>
      </c>
      <c r="X15" s="1568"/>
      <c r="Y15" s="3399"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00"/>
      <c r="Q16" s="1573"/>
      <c r="R16" s="1574"/>
      <c r="S16" s="1575"/>
      <c r="T16" s="1574"/>
      <c r="U16" s="1575"/>
      <c r="V16" s="1574"/>
      <c r="W16" s="1575"/>
      <c r="X16" s="1568"/>
      <c r="Y16" s="3400"/>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00"/>
      <c r="Q17" s="1573" t="str">
        <f>B17</f>
        <v>交通便捷度</v>
      </c>
      <c r="R17" s="1574" t="s">
        <v>8</v>
      </c>
      <c r="S17" s="1575">
        <f>F17</f>
        <v>100</v>
      </c>
      <c r="T17" s="1574" t="s">
        <v>8</v>
      </c>
      <c r="U17" s="1575">
        <f>H17</f>
        <v>100</v>
      </c>
      <c r="V17" s="1574" t="s">
        <v>8</v>
      </c>
      <c r="W17" s="1575">
        <f>J17</f>
        <v>100</v>
      </c>
      <c r="X17" s="1568"/>
      <c r="Y17" s="340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00"/>
      <c r="Q18" s="1573"/>
      <c r="R18" s="1574"/>
      <c r="S18" s="1575"/>
      <c r="T18" s="1574"/>
      <c r="U18" s="1575"/>
      <c r="V18" s="1574"/>
      <c r="W18" s="1575"/>
      <c r="X18" s="1568"/>
      <c r="Y18" s="3400"/>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00"/>
      <c r="Q19" s="1573" t="str">
        <f>B19</f>
        <v>公共配套设施</v>
      </c>
      <c r="R19" s="1574" t="s">
        <v>8</v>
      </c>
      <c r="S19" s="1575">
        <f>F19</f>
        <v>100</v>
      </c>
      <c r="T19" s="1574" t="s">
        <v>8</v>
      </c>
      <c r="U19" s="1575">
        <f>H19</f>
        <v>100</v>
      </c>
      <c r="V19" s="1574" t="s">
        <v>8</v>
      </c>
      <c r="W19" s="1575">
        <f>J19</f>
        <v>100</v>
      </c>
      <c r="X19" s="1568"/>
      <c r="Y19" s="340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00"/>
      <c r="Q20" s="1573"/>
      <c r="R20" s="1574"/>
      <c r="S20" s="1575"/>
      <c r="T20" s="1574"/>
      <c r="U20" s="1575"/>
      <c r="V20" s="1574"/>
      <c r="W20" s="1575"/>
      <c r="X20" s="1568"/>
      <c r="Y20" s="3400"/>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00"/>
      <c r="Q21" s="2559" t="str">
        <f>B21</f>
        <v>基础设施水平</v>
      </c>
      <c r="R21" s="1574" t="s">
        <v>8</v>
      </c>
      <c r="S21" s="1575">
        <f>F21</f>
        <v>100</v>
      </c>
      <c r="T21" s="1574" t="s">
        <v>8</v>
      </c>
      <c r="U21" s="1575">
        <f>H21</f>
        <v>100</v>
      </c>
      <c r="V21" s="1574" t="s">
        <v>8</v>
      </c>
      <c r="W21" s="1575">
        <f>J21</f>
        <v>100</v>
      </c>
      <c r="X21" s="2561"/>
      <c r="Y21" s="3400"/>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400"/>
      <c r="Q22" s="2559"/>
      <c r="R22" s="1574"/>
      <c r="S22" s="1575"/>
      <c r="T22" s="1574"/>
      <c r="U22" s="1575"/>
      <c r="V22" s="1574"/>
      <c r="W22" s="1575"/>
      <c r="X22" s="2561"/>
      <c r="Y22" s="3400"/>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00"/>
      <c r="Q23" s="1573" t="str">
        <f>B23</f>
        <v>环境质量</v>
      </c>
      <c r="R23" s="1574" t="s">
        <v>8</v>
      </c>
      <c r="S23" s="1575">
        <f>F23</f>
        <v>100</v>
      </c>
      <c r="T23" s="1574" t="s">
        <v>8</v>
      </c>
      <c r="U23" s="1575">
        <f>H23</f>
        <v>100</v>
      </c>
      <c r="V23" s="1574" t="s">
        <v>8</v>
      </c>
      <c r="W23" s="1575">
        <f>J23</f>
        <v>100</v>
      </c>
      <c r="X23" s="1568"/>
      <c r="Y23" s="340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00"/>
      <c r="Q24" s="1573"/>
      <c r="R24" s="1574"/>
      <c r="S24" s="1575"/>
      <c r="T24" s="1574"/>
      <c r="U24" s="1575"/>
      <c r="V24" s="1574"/>
      <c r="W24" s="1575"/>
      <c r="X24" s="1568"/>
      <c r="Y24" s="3400"/>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00"/>
      <c r="Q25" s="1573" t="str">
        <f>B25</f>
        <v>毗邻道路的类型与等级</v>
      </c>
      <c r="R25" s="1574" t="s">
        <v>8</v>
      </c>
      <c r="S25" s="1575">
        <f>F25</f>
        <v>100</v>
      </c>
      <c r="T25" s="1574" t="s">
        <v>8</v>
      </c>
      <c r="U25" s="1575">
        <f>H25</f>
        <v>100</v>
      </c>
      <c r="V25" s="1574" t="s">
        <v>8</v>
      </c>
      <c r="W25" s="1575">
        <f>J25</f>
        <v>100</v>
      </c>
      <c r="X25" s="1568"/>
      <c r="Y25" s="340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00"/>
      <c r="Q26" s="1573"/>
      <c r="R26" s="1574"/>
      <c r="S26" s="1575"/>
      <c r="T26" s="1574"/>
      <c r="U26" s="1575"/>
      <c r="V26" s="1574"/>
      <c r="W26" s="1575"/>
      <c r="X26" s="1568"/>
      <c r="Y26" s="3400"/>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00"/>
      <c r="Q27" s="1573" t="str">
        <f t="shared" ref="Q27:Q47" si="11">B27</f>
        <v>楼层</v>
      </c>
      <c r="R27" s="1574" t="s">
        <v>8</v>
      </c>
      <c r="S27" s="1575">
        <f>F27</f>
        <v>100</v>
      </c>
      <c r="T27" s="1574" t="s">
        <v>8</v>
      </c>
      <c r="U27" s="1575">
        <f>H27</f>
        <v>100</v>
      </c>
      <c r="V27" s="1574" t="s">
        <v>8</v>
      </c>
      <c r="W27" s="1575">
        <f>J27</f>
        <v>100</v>
      </c>
      <c r="X27" s="1568"/>
      <c r="Y27" s="3400"/>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00"/>
      <c r="Q28" s="1151" t="str">
        <f t="shared" si="11"/>
        <v>朝向</v>
      </c>
      <c r="R28" s="1569" t="s">
        <v>8</v>
      </c>
      <c r="S28" s="1570">
        <f>F28</f>
        <v>100</v>
      </c>
      <c r="T28" s="1569" t="s">
        <v>8</v>
      </c>
      <c r="U28" s="1570">
        <f>H28</f>
        <v>100</v>
      </c>
      <c r="V28" s="1569" t="s">
        <v>8</v>
      </c>
      <c r="W28" s="1570">
        <f>J28</f>
        <v>100</v>
      </c>
      <c r="X28" s="1571"/>
      <c r="Y28" s="340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00"/>
      <c r="Q29" s="1573">
        <f t="shared" si="11"/>
        <v>111</v>
      </c>
      <c r="R29" s="1574" t="s">
        <v>8</v>
      </c>
      <c r="S29" s="1575">
        <f t="shared" ref="S29:S47" si="12">F29</f>
        <v>100</v>
      </c>
      <c r="T29" s="1574" t="s">
        <v>8</v>
      </c>
      <c r="U29" s="1575">
        <f t="shared" ref="U29:U47" si="13">H29</f>
        <v>100</v>
      </c>
      <c r="V29" s="1574" t="s">
        <v>8</v>
      </c>
      <c r="W29" s="1575">
        <f t="shared" ref="W29:W47" si="14">J29</f>
        <v>100</v>
      </c>
      <c r="X29" s="1568"/>
      <c r="Y29" s="340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00"/>
      <c r="Q30" s="1573">
        <f t="shared" si="11"/>
        <v>111</v>
      </c>
      <c r="R30" s="1574" t="s">
        <v>8</v>
      </c>
      <c r="S30" s="1575">
        <f t="shared" si="12"/>
        <v>100</v>
      </c>
      <c r="T30" s="1574" t="s">
        <v>8</v>
      </c>
      <c r="U30" s="1575">
        <f t="shared" si="13"/>
        <v>100</v>
      </c>
      <c r="V30" s="1574" t="s">
        <v>8</v>
      </c>
      <c r="W30" s="1575">
        <f t="shared" si="14"/>
        <v>100</v>
      </c>
      <c r="X30" s="1568"/>
      <c r="Y30" s="340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00"/>
      <c r="Q31" s="1573">
        <f t="shared" si="11"/>
        <v>111</v>
      </c>
      <c r="R31" s="1574" t="s">
        <v>8</v>
      </c>
      <c r="S31" s="1575">
        <f t="shared" si="12"/>
        <v>100</v>
      </c>
      <c r="T31" s="1574" t="s">
        <v>8</v>
      </c>
      <c r="U31" s="1575">
        <f t="shared" si="13"/>
        <v>100</v>
      </c>
      <c r="V31" s="1574" t="s">
        <v>8</v>
      </c>
      <c r="W31" s="1575">
        <f t="shared" si="14"/>
        <v>100</v>
      </c>
      <c r="X31" s="1568"/>
      <c r="Y31" s="340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00"/>
      <c r="Q32" s="1573">
        <f t="shared" si="11"/>
        <v>111</v>
      </c>
      <c r="R32" s="1574" t="s">
        <v>8</v>
      </c>
      <c r="S32" s="1575">
        <f t="shared" si="12"/>
        <v>100</v>
      </c>
      <c r="T32" s="1574" t="s">
        <v>8</v>
      </c>
      <c r="U32" s="1575">
        <f t="shared" si="13"/>
        <v>100</v>
      </c>
      <c r="V32" s="1574" t="s">
        <v>8</v>
      </c>
      <c r="W32" s="1575">
        <f t="shared" si="14"/>
        <v>100</v>
      </c>
      <c r="X32" s="1568"/>
      <c r="Y32" s="3400"/>
      <c r="Z32" s="1576">
        <f t="shared" si="15"/>
        <v>111</v>
      </c>
      <c r="AA32" s="1577">
        <f t="shared" si="3"/>
        <v>1</v>
      </c>
      <c r="AB32" s="1577">
        <f t="shared" si="4"/>
        <v>1</v>
      </c>
      <c r="AC32" s="1577">
        <f t="shared" si="5"/>
        <v>1</v>
      </c>
    </row>
    <row r="33" spans="1:29" ht="15">
      <c r="A33" s="2886"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01" t="s">
        <v>550</v>
      </c>
      <c r="Q33" s="1573" t="str">
        <f t="shared" si="11"/>
        <v>建筑类型</v>
      </c>
      <c r="R33" s="1574" t="s">
        <v>8</v>
      </c>
      <c r="S33" s="1575">
        <f t="shared" si="12"/>
        <v>100</v>
      </c>
      <c r="T33" s="1574" t="s">
        <v>8</v>
      </c>
      <c r="U33" s="1575">
        <f t="shared" si="13"/>
        <v>100</v>
      </c>
      <c r="V33" s="1574" t="s">
        <v>8</v>
      </c>
      <c r="W33" s="1575">
        <f t="shared" si="14"/>
        <v>100</v>
      </c>
      <c r="X33" s="1568"/>
      <c r="Y33" s="3402"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02"/>
      <c r="Q34" s="1606" t="str">
        <f t="shared" si="11"/>
        <v>项目建筑规模</v>
      </c>
      <c r="R34" s="1578" t="s">
        <v>8</v>
      </c>
      <c r="S34" s="1579" t="e">
        <f t="shared" si="12"/>
        <v>#N/A</v>
      </c>
      <c r="T34" s="1578" t="s">
        <v>8</v>
      </c>
      <c r="U34" s="1579" t="e">
        <f t="shared" si="13"/>
        <v>#N/A</v>
      </c>
      <c r="V34" s="1578" t="s">
        <v>8</v>
      </c>
      <c r="W34" s="1579" t="e">
        <f t="shared" si="14"/>
        <v>#N/A</v>
      </c>
      <c r="X34" s="1580"/>
      <c r="Y34" s="3402"/>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02"/>
      <c r="Q35" s="1573" t="str">
        <f t="shared" si="11"/>
        <v>建筑结构</v>
      </c>
      <c r="R35" s="1574" t="s">
        <v>8</v>
      </c>
      <c r="S35" s="1575">
        <f t="shared" si="12"/>
        <v>100</v>
      </c>
      <c r="T35" s="1574" t="s">
        <v>8</v>
      </c>
      <c r="U35" s="1575">
        <f t="shared" si="13"/>
        <v>100</v>
      </c>
      <c r="V35" s="1574" t="s">
        <v>8</v>
      </c>
      <c r="W35" s="1575">
        <f t="shared" si="14"/>
        <v>100</v>
      </c>
      <c r="X35" s="1568"/>
      <c r="Y35" s="3402"/>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02"/>
      <c r="Q36" s="1573" t="str">
        <f t="shared" si="11"/>
        <v>公共部分装修</v>
      </c>
      <c r="R36" s="1574" t="s">
        <v>8</v>
      </c>
      <c r="S36" s="1575">
        <f t="shared" si="12"/>
        <v>100</v>
      </c>
      <c r="T36" s="1574" t="s">
        <v>8</v>
      </c>
      <c r="U36" s="1575">
        <f t="shared" si="13"/>
        <v>100</v>
      </c>
      <c r="V36" s="1574" t="s">
        <v>8</v>
      </c>
      <c r="W36" s="1575">
        <f t="shared" si="14"/>
        <v>100</v>
      </c>
      <c r="X36" s="1568"/>
      <c r="Y36" s="3402"/>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02"/>
      <c r="Q37" s="1573" t="str">
        <f t="shared" si="11"/>
        <v>成新度</v>
      </c>
      <c r="R37" s="1574" t="s">
        <v>8</v>
      </c>
      <c r="S37" s="1575" t="e">
        <f t="shared" si="12"/>
        <v>#N/A</v>
      </c>
      <c r="T37" s="1574" t="s">
        <v>8</v>
      </c>
      <c r="U37" s="1575" t="e">
        <f t="shared" si="13"/>
        <v>#N/A</v>
      </c>
      <c r="V37" s="1574" t="s">
        <v>8</v>
      </c>
      <c r="W37" s="1575" t="e">
        <f t="shared" si="14"/>
        <v>#N/A</v>
      </c>
      <c r="X37" s="1568"/>
      <c r="Y37" s="3402"/>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02"/>
      <c r="Q38" s="1151" t="str">
        <f t="shared" si="11"/>
        <v>写字楼等级</v>
      </c>
      <c r="R38" s="1569" t="s">
        <v>8</v>
      </c>
      <c r="S38" s="1570">
        <f t="shared" si="12"/>
        <v>100</v>
      </c>
      <c r="T38" s="1569" t="s">
        <v>8</v>
      </c>
      <c r="U38" s="1570">
        <f t="shared" si="13"/>
        <v>100</v>
      </c>
      <c r="V38" s="1569" t="s">
        <v>8</v>
      </c>
      <c r="W38" s="1570">
        <f t="shared" si="14"/>
        <v>100</v>
      </c>
      <c r="X38" s="1571"/>
      <c r="Y38" s="3402"/>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02" t="s">
        <v>550</v>
      </c>
      <c r="Q39" s="1573" t="str">
        <f t="shared" si="11"/>
        <v>物业管理</v>
      </c>
      <c r="R39" s="1574" t="s">
        <v>8</v>
      </c>
      <c r="S39" s="1575">
        <f t="shared" si="12"/>
        <v>100</v>
      </c>
      <c r="T39" s="1574" t="s">
        <v>8</v>
      </c>
      <c r="U39" s="1575">
        <f t="shared" si="13"/>
        <v>100</v>
      </c>
      <c r="V39" s="1574" t="s">
        <v>8</v>
      </c>
      <c r="W39" s="1575">
        <f t="shared" si="14"/>
        <v>100</v>
      </c>
      <c r="X39" s="1568"/>
      <c r="Y39" s="3402"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02"/>
      <c r="Q40" s="1573" t="str">
        <f t="shared" si="11"/>
        <v>市政基础设施</v>
      </c>
      <c r="R40" s="1574" t="s">
        <v>8</v>
      </c>
      <c r="S40" s="1575">
        <f t="shared" si="12"/>
        <v>100</v>
      </c>
      <c r="T40" s="1574" t="s">
        <v>8</v>
      </c>
      <c r="U40" s="1575">
        <f t="shared" si="13"/>
        <v>100</v>
      </c>
      <c r="V40" s="1574" t="s">
        <v>8</v>
      </c>
      <c r="W40" s="1575">
        <f t="shared" si="14"/>
        <v>100</v>
      </c>
      <c r="X40" s="1568"/>
      <c r="Y40" s="3402"/>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02"/>
      <c r="Q41" s="1573" t="str">
        <f t="shared" si="11"/>
        <v>层高</v>
      </c>
      <c r="R41" s="1574" t="s">
        <v>8</v>
      </c>
      <c r="S41" s="1575">
        <f t="shared" si="12"/>
        <v>100</v>
      </c>
      <c r="T41" s="1574" t="s">
        <v>8</v>
      </c>
      <c r="U41" s="1575">
        <f t="shared" si="13"/>
        <v>100</v>
      </c>
      <c r="V41" s="1574" t="s">
        <v>8</v>
      </c>
      <c r="W41" s="1575">
        <f t="shared" si="14"/>
        <v>100</v>
      </c>
      <c r="X41" s="1568"/>
      <c r="Y41" s="3402"/>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02"/>
      <c r="Q42" s="1606" t="str">
        <f t="shared" si="11"/>
        <v>单套建筑面积</v>
      </c>
      <c r="R42" s="1578" t="s">
        <v>8</v>
      </c>
      <c r="S42" s="1579">
        <f t="shared" si="12"/>
        <v>100</v>
      </c>
      <c r="T42" s="1578" t="s">
        <v>8</v>
      </c>
      <c r="U42" s="1579">
        <f t="shared" si="13"/>
        <v>100</v>
      </c>
      <c r="V42" s="1578" t="s">
        <v>8</v>
      </c>
      <c r="W42" s="1579">
        <f t="shared" si="14"/>
        <v>100</v>
      </c>
      <c r="X42" s="1580"/>
      <c r="Y42" s="3402"/>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02"/>
      <c r="Q43" s="1573" t="str">
        <f t="shared" si="11"/>
        <v>内部装修</v>
      </c>
      <c r="R43" s="1574" t="s">
        <v>8</v>
      </c>
      <c r="S43" s="1575">
        <f t="shared" si="12"/>
        <v>100</v>
      </c>
      <c r="T43" s="1574" t="s">
        <v>8</v>
      </c>
      <c r="U43" s="1575">
        <f t="shared" si="13"/>
        <v>100</v>
      </c>
      <c r="V43" s="1574" t="s">
        <v>8</v>
      </c>
      <c r="W43" s="1575">
        <f t="shared" si="14"/>
        <v>100</v>
      </c>
      <c r="X43" s="1568"/>
      <c r="Y43" s="3402"/>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02"/>
      <c r="Q44" s="1573" t="str">
        <f t="shared" si="11"/>
        <v>内部装修维护情况</v>
      </c>
      <c r="R44" s="1574" t="s">
        <v>8</v>
      </c>
      <c r="S44" s="1575">
        <f t="shared" si="12"/>
        <v>100</v>
      </c>
      <c r="T44" s="1574" t="s">
        <v>8</v>
      </c>
      <c r="U44" s="1575">
        <f t="shared" si="13"/>
        <v>100</v>
      </c>
      <c r="V44" s="1574" t="s">
        <v>8</v>
      </c>
      <c r="W44" s="1575">
        <f t="shared" si="14"/>
        <v>100</v>
      </c>
      <c r="X44" s="1568"/>
      <c r="Y44" s="340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02"/>
      <c r="Q45" s="1151">
        <f t="shared" si="11"/>
        <v>111</v>
      </c>
      <c r="R45" s="1569" t="s">
        <v>8</v>
      </c>
      <c r="S45" s="1570">
        <f t="shared" si="12"/>
        <v>100</v>
      </c>
      <c r="T45" s="1569" t="s">
        <v>8</v>
      </c>
      <c r="U45" s="1570">
        <f t="shared" si="13"/>
        <v>100</v>
      </c>
      <c r="V45" s="1569" t="s">
        <v>8</v>
      </c>
      <c r="W45" s="1570">
        <f t="shared" si="14"/>
        <v>100</v>
      </c>
      <c r="X45" s="1571"/>
      <c r="Y45" s="340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02"/>
      <c r="Q46" s="1573">
        <f t="shared" si="11"/>
        <v>111</v>
      </c>
      <c r="R46" s="1574" t="s">
        <v>8</v>
      </c>
      <c r="S46" s="1575">
        <f t="shared" si="12"/>
        <v>100</v>
      </c>
      <c r="T46" s="1574" t="s">
        <v>8</v>
      </c>
      <c r="U46" s="1575">
        <f t="shared" si="13"/>
        <v>100</v>
      </c>
      <c r="V46" s="1574" t="s">
        <v>8</v>
      </c>
      <c r="W46" s="1575">
        <f t="shared" si="14"/>
        <v>100</v>
      </c>
      <c r="X46" s="1568"/>
      <c r="Y46" s="340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80"/>
      <c r="Q47" s="1573">
        <f t="shared" si="11"/>
        <v>111</v>
      </c>
      <c r="R47" s="1574" t="s">
        <v>8</v>
      </c>
      <c r="S47" s="1575">
        <f t="shared" si="12"/>
        <v>100</v>
      </c>
      <c r="T47" s="1574" t="s">
        <v>8</v>
      </c>
      <c r="U47" s="1575">
        <f t="shared" si="13"/>
        <v>100</v>
      </c>
      <c r="V47" s="1574" t="s">
        <v>8</v>
      </c>
      <c r="W47" s="1575">
        <f t="shared" si="14"/>
        <v>100</v>
      </c>
      <c r="X47" s="1568"/>
      <c r="Y47" s="3480"/>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63" t="str">
        <f>A48</f>
        <v>成交单价（元/平方米）</v>
      </c>
      <c r="Q48" s="3365"/>
      <c r="R48" s="3479">
        <f>E48</f>
        <v>0</v>
      </c>
      <c r="S48" s="3479"/>
      <c r="T48" s="3479">
        <f>G48</f>
        <v>0</v>
      </c>
      <c r="U48" s="3479"/>
      <c r="V48" s="3479">
        <f>I48</f>
        <v>0</v>
      </c>
      <c r="W48" s="3479"/>
      <c r="X48" s="1560"/>
      <c r="Y48" s="1582"/>
      <c r="Z48" s="1560"/>
      <c r="AA48" s="1560"/>
      <c r="AB48" s="1560"/>
      <c r="AC48" s="1560"/>
    </row>
    <row r="49" spans="1:29" ht="15.75" thickBot="1">
      <c r="A49" s="615" t="s">
        <v>2760</v>
      </c>
      <c r="B49" s="888"/>
      <c r="C49" s="2613" t="e">
        <f>R50</f>
        <v>#DIV/0!</v>
      </c>
      <c r="D49" s="2614"/>
      <c r="E49" s="2615" t="e">
        <f>R49</f>
        <v>#DIV/0!</v>
      </c>
      <c r="F49" s="2615"/>
      <c r="G49" s="2613" t="e">
        <f>T49</f>
        <v>#DIV/0!</v>
      </c>
      <c r="H49" s="2614"/>
      <c r="I49" s="2615" t="e">
        <f>V49</f>
        <v>#DIV/0!</v>
      </c>
      <c r="J49" s="2614"/>
      <c r="K49" s="1613"/>
      <c r="L49" s="2145"/>
      <c r="M49" s="2135"/>
      <c r="N49" s="2135"/>
      <c r="O49" s="2135"/>
      <c r="P49" s="3363" t="str">
        <f>A49</f>
        <v>比较价格（元/平方米）</v>
      </c>
      <c r="Q49" s="3365"/>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60"/>
      <c r="Y49" s="1560"/>
      <c r="Z49" s="1560"/>
      <c r="AA49" s="1560"/>
      <c r="AB49" s="1560"/>
      <c r="AC49" s="1560"/>
    </row>
    <row r="50" spans="1:29" ht="15.75" thickBot="1">
      <c r="A50" s="621" t="s">
        <v>2937</v>
      </c>
      <c r="B50" s="622"/>
      <c r="C50" s="2616" t="e">
        <f>R50</f>
        <v>#DIV/0!</v>
      </c>
      <c r="D50" s="2616"/>
      <c r="E50" s="2616"/>
      <c r="F50" s="2616"/>
      <c r="G50" s="2616"/>
      <c r="H50" s="2616"/>
      <c r="I50" s="2616"/>
      <c r="J50" s="2616"/>
      <c r="K50" s="1614"/>
      <c r="L50" s="2145"/>
      <c r="M50" s="2135"/>
      <c r="N50" s="2135"/>
      <c r="O50" s="2135"/>
      <c r="P50" s="3481" t="str">
        <f>A50</f>
        <v>估价对象XX用房的比较价格（楼面单价，元/平方米）</v>
      </c>
      <c r="Q50" s="3363"/>
      <c r="R50" s="3478" t="e">
        <f>IF(F1="售价",ROUND(AVERAGE(R49:V49),0),ROUND(AVERAGE(R49:V49),1))</f>
        <v>#DIV/0!</v>
      </c>
      <c r="S50" s="3478"/>
      <c r="T50" s="3478"/>
      <c r="U50" s="3478"/>
      <c r="V50" s="3478"/>
      <c r="W50" s="3478"/>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2019-2</v>
      </c>
      <c r="D59" s="2783">
        <f>EDATE(C59,-1)</f>
        <v>43466</v>
      </c>
      <c r="E59" s="2783">
        <f t="shared" ref="E59:O59" si="16">EDATE(D59,-1)</f>
        <v>43435</v>
      </c>
      <c r="F59" s="2783">
        <f t="shared" si="16"/>
        <v>43405</v>
      </c>
      <c r="G59" s="2783">
        <f t="shared" si="16"/>
        <v>43374</v>
      </c>
      <c r="H59" s="2783">
        <f t="shared" si="16"/>
        <v>43344</v>
      </c>
      <c r="I59" s="2783">
        <f t="shared" si="16"/>
        <v>43313</v>
      </c>
      <c r="J59" s="2783">
        <f t="shared" si="16"/>
        <v>43282</v>
      </c>
      <c r="K59" s="2783">
        <f t="shared" si="16"/>
        <v>43252</v>
      </c>
      <c r="L59" s="2783">
        <f t="shared" si="16"/>
        <v>43221</v>
      </c>
      <c r="M59" s="2783">
        <f t="shared" si="16"/>
        <v>43191</v>
      </c>
      <c r="N59" s="2783">
        <f t="shared" si="16"/>
        <v>43160</v>
      </c>
      <c r="O59" s="2783">
        <f t="shared" si="16"/>
        <v>43132</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71" t="s">
        <v>522</v>
      </c>
      <c r="D4" s="3372"/>
      <c r="E4" s="3405" t="s">
        <v>523</v>
      </c>
      <c r="F4" s="3406"/>
      <c r="G4" s="3371" t="s">
        <v>524</v>
      </c>
      <c r="H4" s="3372"/>
      <c r="I4" s="3371" t="s">
        <v>525</v>
      </c>
      <c r="J4" s="3372"/>
      <c r="K4" s="514" t="s">
        <v>526</v>
      </c>
      <c r="L4" s="2134"/>
      <c r="M4" s="2135"/>
      <c r="N4" s="2135"/>
      <c r="O4" s="2135"/>
      <c r="P4" s="3373" t="s">
        <v>527</v>
      </c>
      <c r="Q4" s="3374"/>
      <c r="R4" s="3379" t="s">
        <v>523</v>
      </c>
      <c r="S4" s="3380"/>
      <c r="T4" s="3379" t="s">
        <v>524</v>
      </c>
      <c r="U4" s="3380"/>
      <c r="V4" s="3366" t="s">
        <v>525</v>
      </c>
      <c r="W4" s="3366"/>
      <c r="X4" s="1568"/>
      <c r="Y4" s="3379" t="s">
        <v>527</v>
      </c>
      <c r="Z4" s="3380"/>
      <c r="AA4" s="3368" t="s">
        <v>523</v>
      </c>
      <c r="AB4" s="3369" t="s">
        <v>524</v>
      </c>
      <c r="AC4" s="3368" t="s">
        <v>525</v>
      </c>
    </row>
    <row r="5" spans="1:29" ht="15">
      <c r="A5" s="515"/>
      <c r="B5" s="516"/>
      <c r="C5" s="3387" t="s">
        <v>2931</v>
      </c>
      <c r="D5" s="3388"/>
      <c r="E5" s="3407" t="s">
        <v>2932</v>
      </c>
      <c r="F5" s="3408"/>
      <c r="G5" s="3387" t="s">
        <v>2933</v>
      </c>
      <c r="H5" s="3388"/>
      <c r="I5" s="3387" t="s">
        <v>2934</v>
      </c>
      <c r="J5" s="3388"/>
      <c r="K5" s="514"/>
      <c r="L5" s="2134"/>
      <c r="M5" s="2135"/>
      <c r="N5" s="2135"/>
      <c r="O5" s="2135"/>
      <c r="P5" s="3375"/>
      <c r="Q5" s="3376"/>
      <c r="R5" s="3381"/>
      <c r="S5" s="3382"/>
      <c r="T5" s="3381"/>
      <c r="U5" s="3382"/>
      <c r="V5" s="3366"/>
      <c r="W5" s="3366"/>
      <c r="X5" s="1568"/>
      <c r="Y5" s="3381"/>
      <c r="Z5" s="3382"/>
      <c r="AA5" s="3369"/>
      <c r="AB5" s="3369"/>
      <c r="AC5" s="3369"/>
    </row>
    <row r="6" spans="1:29" ht="15.75" thickBot="1">
      <c r="A6" s="517"/>
      <c r="B6" s="518"/>
      <c r="C6" s="3385" t="s">
        <v>2935</v>
      </c>
      <c r="D6" s="3386"/>
      <c r="E6" s="3403" t="s">
        <v>2935</v>
      </c>
      <c r="F6" s="3404"/>
      <c r="G6" s="3385" t="s">
        <v>2935</v>
      </c>
      <c r="H6" s="3386"/>
      <c r="I6" s="3385" t="s">
        <v>2935</v>
      </c>
      <c r="J6" s="3386"/>
      <c r="K6" s="514" t="s">
        <v>528</v>
      </c>
      <c r="L6" s="2134"/>
      <c r="M6" s="2135"/>
      <c r="N6" s="2135"/>
      <c r="O6" s="2135"/>
      <c r="P6" s="3377"/>
      <c r="Q6" s="3378"/>
      <c r="R6" s="3381"/>
      <c r="S6" s="3382"/>
      <c r="T6" s="3383"/>
      <c r="U6" s="3384"/>
      <c r="V6" s="3366"/>
      <c r="W6" s="3366"/>
      <c r="X6" s="1568"/>
      <c r="Y6" s="3383"/>
      <c r="Z6" s="3384"/>
      <c r="AA6" s="3370"/>
      <c r="AB6" s="3370"/>
      <c r="AC6" s="3370"/>
    </row>
    <row r="7" spans="1:29" s="1220" customFormat="1" ht="15.75" thickBot="1">
      <c r="A7" s="2890"/>
      <c r="B7" s="2897" t="s">
        <v>529</v>
      </c>
      <c r="C7" s="519">
        <f>'数据-取费表'!B2</f>
        <v>43510</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96" t="s">
        <v>530</v>
      </c>
      <c r="Q7" s="3398"/>
      <c r="R7" s="1569" t="s">
        <v>8</v>
      </c>
      <c r="S7" s="1570">
        <f t="shared" ref="S7:S15" si="0">F7</f>
        <v>0</v>
      </c>
      <c r="T7" s="1569" t="s">
        <v>8</v>
      </c>
      <c r="U7" s="1570">
        <f t="shared" ref="U7:U15" si="1">H7</f>
        <v>0</v>
      </c>
      <c r="V7" s="1569" t="s">
        <v>8</v>
      </c>
      <c r="W7" s="1570">
        <f t="shared" ref="W7:W15" si="2">J7</f>
        <v>0</v>
      </c>
      <c r="X7" s="1571"/>
      <c r="Y7" s="3396" t="s">
        <v>530</v>
      </c>
      <c r="Z7" s="3397"/>
      <c r="AA7" s="1572" t="e">
        <f>D7/F7</f>
        <v>#DIV/0!</v>
      </c>
      <c r="AB7" s="1572" t="e">
        <f>D7/H7</f>
        <v>#DIV/0!</v>
      </c>
      <c r="AC7" s="1572"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96" t="s">
        <v>533</v>
      </c>
      <c r="Q8" s="3397"/>
      <c r="R8" s="1569" t="s">
        <v>8</v>
      </c>
      <c r="S8" s="1570">
        <f t="shared" si="0"/>
        <v>0</v>
      </c>
      <c r="T8" s="1569" t="s">
        <v>8</v>
      </c>
      <c r="U8" s="1570">
        <f t="shared" si="1"/>
        <v>0</v>
      </c>
      <c r="V8" s="1569" t="s">
        <v>8</v>
      </c>
      <c r="W8" s="1570">
        <f t="shared" si="2"/>
        <v>0</v>
      </c>
      <c r="X8" s="1571"/>
      <c r="Y8" s="3396" t="s">
        <v>533</v>
      </c>
      <c r="Z8" s="3397"/>
      <c r="AA8" s="1572" t="e">
        <f t="shared" ref="AA8:AA40" si="3">D8/F8</f>
        <v>#DIV/0!</v>
      </c>
      <c r="AB8" s="1572" t="e">
        <f t="shared" ref="AB8:AB40" si="4">D8/H8</f>
        <v>#DIV/0!</v>
      </c>
      <c r="AC8" s="1572" t="e">
        <f t="shared" ref="AC8:AC40" si="5">D8/J8</f>
        <v>#DIV/0!</v>
      </c>
    </row>
    <row r="9" spans="1:29" s="1220" customFormat="1" ht="15">
      <c r="A9" s="2892"/>
      <c r="B9" s="2899" t="s">
        <v>2756</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5" t="s">
        <v>535</v>
      </c>
      <c r="Q9" s="1151" t="str">
        <f t="shared" ref="Q9:Q15" si="6">B9</f>
        <v>用途</v>
      </c>
      <c r="R9" s="1569" t="s">
        <v>8</v>
      </c>
      <c r="S9" s="1570">
        <f t="shared" si="0"/>
        <v>100</v>
      </c>
      <c r="T9" s="1569" t="s">
        <v>8</v>
      </c>
      <c r="U9" s="1570">
        <f t="shared" si="1"/>
        <v>100</v>
      </c>
      <c r="V9" s="1569" t="s">
        <v>8</v>
      </c>
      <c r="W9" s="1570">
        <f t="shared" si="2"/>
        <v>100</v>
      </c>
      <c r="X9" s="1571"/>
      <c r="Y9" s="3311" t="s">
        <v>536</v>
      </c>
      <c r="Z9" s="1150" t="str">
        <f t="shared" ref="Z9:Z15" si="7">Q9</f>
        <v>用途</v>
      </c>
      <c r="AA9" s="1572">
        <f t="shared" si="3"/>
        <v>1</v>
      </c>
      <c r="AB9" s="1572">
        <f t="shared" si="4"/>
        <v>1</v>
      </c>
      <c r="AC9" s="1572">
        <f t="shared" si="5"/>
        <v>1</v>
      </c>
    </row>
    <row r="10" spans="1:29" s="1338" customFormat="1" ht="27">
      <c r="A10" s="2893"/>
      <c r="B10" s="2898" t="s">
        <v>2757</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894"/>
      <c r="B11" s="2898"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5"/>
      <c r="Q11" s="1151" t="str">
        <f t="shared" si="6"/>
        <v>容积率</v>
      </c>
      <c r="R11" s="1569" t="s">
        <v>8</v>
      </c>
      <c r="S11" s="1570" t="e">
        <f t="shared" si="0"/>
        <v>#N/A</v>
      </c>
      <c r="T11" s="1569" t="s">
        <v>8</v>
      </c>
      <c r="U11" s="1570" t="e">
        <f t="shared" si="1"/>
        <v>#N/A</v>
      </c>
      <c r="V11" s="1569" t="s">
        <v>8</v>
      </c>
      <c r="W11" s="1570" t="e">
        <f t="shared" si="2"/>
        <v>#N/A</v>
      </c>
      <c r="X11" s="1571"/>
      <c r="Y11" s="3311"/>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5"/>
      <c r="Q14" s="1151">
        <f t="shared" si="6"/>
        <v>111</v>
      </c>
      <c r="R14" s="1569" t="s">
        <v>8</v>
      </c>
      <c r="S14" s="1570">
        <f t="shared" si="0"/>
        <v>100</v>
      </c>
      <c r="T14" s="1569" t="s">
        <v>8</v>
      </c>
      <c r="U14" s="1570">
        <f t="shared" si="1"/>
        <v>100</v>
      </c>
      <c r="V14" s="1569" t="s">
        <v>8</v>
      </c>
      <c r="W14" s="1570">
        <f t="shared" si="2"/>
        <v>100</v>
      </c>
      <c r="X14" s="1571"/>
      <c r="Y14" s="3311"/>
      <c r="Z14" s="1150">
        <f t="shared" si="7"/>
        <v>111</v>
      </c>
      <c r="AA14" s="1572">
        <f t="shared" si="3"/>
        <v>1</v>
      </c>
      <c r="AB14" s="1572">
        <f t="shared" si="4"/>
        <v>1</v>
      </c>
      <c r="AC14" s="1572">
        <f t="shared" si="5"/>
        <v>1</v>
      </c>
    </row>
    <row r="15" spans="1:29" ht="57">
      <c r="A15" s="2888"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99" t="s">
        <v>540</v>
      </c>
      <c r="Q15" s="1573" t="str">
        <f t="shared" si="6"/>
        <v>产业集聚程度</v>
      </c>
      <c r="R15" s="1574" t="s">
        <v>8</v>
      </c>
      <c r="S15" s="1575">
        <f t="shared" si="0"/>
        <v>100</v>
      </c>
      <c r="T15" s="1574" t="s">
        <v>8</v>
      </c>
      <c r="U15" s="1575">
        <f t="shared" si="1"/>
        <v>100</v>
      </c>
      <c r="V15" s="1574" t="s">
        <v>8</v>
      </c>
      <c r="W15" s="1575">
        <f t="shared" si="2"/>
        <v>100</v>
      </c>
      <c r="X15" s="1568"/>
      <c r="Y15" s="3399"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00"/>
      <c r="Q17" s="1573" t="str">
        <f>B17</f>
        <v>交通便捷度</v>
      </c>
      <c r="R17" s="1574" t="s">
        <v>8</v>
      </c>
      <c r="S17" s="1575">
        <f>F17</f>
        <v>100</v>
      </c>
      <c r="T17" s="1574" t="s">
        <v>8</v>
      </c>
      <c r="U17" s="1575">
        <f>H17</f>
        <v>100</v>
      </c>
      <c r="V17" s="1574" t="s">
        <v>8</v>
      </c>
      <c r="W17" s="1575">
        <f>J17</f>
        <v>100</v>
      </c>
      <c r="X17" s="1568"/>
      <c r="Y17" s="340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00"/>
      <c r="Q18" s="1573"/>
      <c r="R18" s="1574"/>
      <c r="S18" s="1575"/>
      <c r="T18" s="1574"/>
      <c r="U18" s="1575"/>
      <c r="V18" s="1574"/>
      <c r="W18" s="1575"/>
      <c r="X18" s="1568"/>
      <c r="Y18" s="3400"/>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00"/>
      <c r="Q19" s="1573" t="str">
        <f>B19</f>
        <v>公共配套设施</v>
      </c>
      <c r="R19" s="1574" t="s">
        <v>8</v>
      </c>
      <c r="S19" s="1575">
        <f>F19</f>
        <v>100</v>
      </c>
      <c r="T19" s="1574" t="s">
        <v>8</v>
      </c>
      <c r="U19" s="1575">
        <f>H19</f>
        <v>100</v>
      </c>
      <c r="V19" s="1574" t="s">
        <v>8</v>
      </c>
      <c r="W19" s="1575">
        <f>J19</f>
        <v>100</v>
      </c>
      <c r="X19" s="1568"/>
      <c r="Y19" s="340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00"/>
      <c r="Q20" s="1573"/>
      <c r="R20" s="1574"/>
      <c r="S20" s="1575"/>
      <c r="T20" s="1574"/>
      <c r="U20" s="1575"/>
      <c r="V20" s="1574"/>
      <c r="W20" s="1575"/>
      <c r="X20" s="1568"/>
      <c r="Y20" s="3400"/>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00"/>
      <c r="Q21" s="2559" t="str">
        <f>B21</f>
        <v>基础设施水平</v>
      </c>
      <c r="R21" s="1574" t="s">
        <v>8</v>
      </c>
      <c r="S21" s="1575">
        <f>F21</f>
        <v>100</v>
      </c>
      <c r="T21" s="1574" t="s">
        <v>8</v>
      </c>
      <c r="U21" s="1575">
        <f>H21</f>
        <v>100</v>
      </c>
      <c r="V21" s="1574" t="s">
        <v>8</v>
      </c>
      <c r="W21" s="1575">
        <f>J21</f>
        <v>100</v>
      </c>
      <c r="X21" s="2561"/>
      <c r="Y21" s="3400"/>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400"/>
      <c r="Q22" s="2559"/>
      <c r="R22" s="1574"/>
      <c r="S22" s="1575"/>
      <c r="T22" s="1574"/>
      <c r="U22" s="1575"/>
      <c r="V22" s="1574"/>
      <c r="W22" s="1575"/>
      <c r="X22" s="2561"/>
      <c r="Y22" s="3400"/>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00"/>
      <c r="Q23" s="1573" t="str">
        <f>B23</f>
        <v>环境质量</v>
      </c>
      <c r="R23" s="1574" t="s">
        <v>8</v>
      </c>
      <c r="S23" s="1575">
        <f>F23</f>
        <v>100</v>
      </c>
      <c r="T23" s="1574" t="s">
        <v>8</v>
      </c>
      <c r="U23" s="1575">
        <f>H23</f>
        <v>100</v>
      </c>
      <c r="V23" s="1574" t="s">
        <v>8</v>
      </c>
      <c r="W23" s="1575">
        <f>J23</f>
        <v>100</v>
      </c>
      <c r="X23" s="1568"/>
      <c r="Y23" s="340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00"/>
      <c r="Q24" s="1573"/>
      <c r="R24" s="1574"/>
      <c r="S24" s="1575"/>
      <c r="T24" s="1574"/>
      <c r="U24" s="1575"/>
      <c r="V24" s="1574"/>
      <c r="W24" s="1575"/>
      <c r="X24" s="1568"/>
      <c r="Y24" s="340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00"/>
      <c r="Q25" s="1573">
        <f>B25</f>
        <v>111</v>
      </c>
      <c r="R25" s="1574" t="s">
        <v>8</v>
      </c>
      <c r="S25" s="1575">
        <f>F25</f>
        <v>100</v>
      </c>
      <c r="T25" s="1574" t="s">
        <v>8</v>
      </c>
      <c r="U25" s="1575">
        <f>H25</f>
        <v>100</v>
      </c>
      <c r="V25" s="1574" t="s">
        <v>8</v>
      </c>
      <c r="W25" s="1575">
        <f>J25</f>
        <v>100</v>
      </c>
      <c r="X25" s="1568"/>
      <c r="Y25" s="340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00"/>
      <c r="Q26" s="1573">
        <f t="shared" ref="Q26:Q40" si="11">B26</f>
        <v>111</v>
      </c>
      <c r="R26" s="1574" t="s">
        <v>8</v>
      </c>
      <c r="S26" s="1575">
        <f>F26</f>
        <v>100</v>
      </c>
      <c r="T26" s="1574" t="s">
        <v>8</v>
      </c>
      <c r="U26" s="1575">
        <f>H26</f>
        <v>100</v>
      </c>
      <c r="V26" s="1574" t="s">
        <v>8</v>
      </c>
      <c r="W26" s="1575">
        <f>J26</f>
        <v>100</v>
      </c>
      <c r="X26" s="1568"/>
      <c r="Y26" s="340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00"/>
      <c r="Q27" s="1151">
        <f t="shared" si="11"/>
        <v>111</v>
      </c>
      <c r="R27" s="1569" t="s">
        <v>8</v>
      </c>
      <c r="S27" s="1570">
        <f>F27</f>
        <v>100</v>
      </c>
      <c r="T27" s="1569" t="s">
        <v>8</v>
      </c>
      <c r="U27" s="1570">
        <f>H27</f>
        <v>100</v>
      </c>
      <c r="V27" s="1569" t="s">
        <v>8</v>
      </c>
      <c r="W27" s="1570">
        <f>J27</f>
        <v>100</v>
      </c>
      <c r="X27" s="1571"/>
      <c r="Y27" s="340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00"/>
      <c r="Q28" s="1573">
        <f t="shared" si="11"/>
        <v>111</v>
      </c>
      <c r="R28" s="1574" t="s">
        <v>8</v>
      </c>
      <c r="S28" s="1575">
        <f t="shared" ref="S28:S40" si="12">F28</f>
        <v>100</v>
      </c>
      <c r="T28" s="1574" t="s">
        <v>8</v>
      </c>
      <c r="U28" s="1575">
        <f t="shared" ref="U28:U40" si="13">H28</f>
        <v>100</v>
      </c>
      <c r="V28" s="1574" t="s">
        <v>8</v>
      </c>
      <c r="W28" s="1575">
        <f t="shared" ref="W28:W40" si="14">J28</f>
        <v>100</v>
      </c>
      <c r="X28" s="1568"/>
      <c r="Y28" s="3400"/>
      <c r="Z28" s="1576">
        <f t="shared" ref="Z28:Z40" si="15">Q28</f>
        <v>111</v>
      </c>
      <c r="AA28" s="1577">
        <f t="shared" si="3"/>
        <v>1</v>
      </c>
      <c r="AB28" s="1577">
        <f t="shared" si="4"/>
        <v>1</v>
      </c>
      <c r="AC28" s="1577">
        <f t="shared" si="5"/>
        <v>1</v>
      </c>
    </row>
    <row r="29" spans="1:29" ht="15">
      <c r="A29" s="2886"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01" t="s">
        <v>550</v>
      </c>
      <c r="Q29" s="1573" t="str">
        <f t="shared" si="11"/>
        <v>建筑类型</v>
      </c>
      <c r="R29" s="1574" t="s">
        <v>8</v>
      </c>
      <c r="S29" s="1575">
        <f t="shared" si="12"/>
        <v>100</v>
      </c>
      <c r="T29" s="1574" t="s">
        <v>8</v>
      </c>
      <c r="U29" s="1575">
        <f t="shared" si="13"/>
        <v>100</v>
      </c>
      <c r="V29" s="1574" t="s">
        <v>8</v>
      </c>
      <c r="W29" s="1575">
        <f t="shared" si="14"/>
        <v>100</v>
      </c>
      <c r="X29" s="1568"/>
      <c r="Y29" s="3402"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02"/>
      <c r="Q30" s="1606" t="str">
        <f t="shared" si="11"/>
        <v>项目建筑规模</v>
      </c>
      <c r="R30" s="1578" t="s">
        <v>8</v>
      </c>
      <c r="S30" s="1579" t="e">
        <f t="shared" si="12"/>
        <v>#N/A</v>
      </c>
      <c r="T30" s="1578" t="s">
        <v>8</v>
      </c>
      <c r="U30" s="1579" t="e">
        <f t="shared" si="13"/>
        <v>#N/A</v>
      </c>
      <c r="V30" s="1578" t="s">
        <v>8</v>
      </c>
      <c r="W30" s="1579" t="e">
        <f t="shared" si="14"/>
        <v>#N/A</v>
      </c>
      <c r="X30" s="1580"/>
      <c r="Y30" s="3402"/>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02"/>
      <c r="Q31" s="1573" t="str">
        <f t="shared" si="11"/>
        <v>建筑结构</v>
      </c>
      <c r="R31" s="1574" t="s">
        <v>8</v>
      </c>
      <c r="S31" s="1575">
        <f t="shared" si="12"/>
        <v>100</v>
      </c>
      <c r="T31" s="1574" t="s">
        <v>8</v>
      </c>
      <c r="U31" s="1575">
        <f t="shared" si="13"/>
        <v>100</v>
      </c>
      <c r="V31" s="1574" t="s">
        <v>8</v>
      </c>
      <c r="W31" s="1575">
        <f t="shared" si="14"/>
        <v>100</v>
      </c>
      <c r="X31" s="1568"/>
      <c r="Y31" s="3402"/>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02"/>
      <c r="Q32" s="1573" t="str">
        <f t="shared" si="11"/>
        <v>公共部分装修</v>
      </c>
      <c r="R32" s="1574" t="s">
        <v>8</v>
      </c>
      <c r="S32" s="1575">
        <f t="shared" si="12"/>
        <v>100</v>
      </c>
      <c r="T32" s="1574" t="s">
        <v>8</v>
      </c>
      <c r="U32" s="1575">
        <f t="shared" si="13"/>
        <v>100</v>
      </c>
      <c r="V32" s="1574" t="s">
        <v>8</v>
      </c>
      <c r="W32" s="1575">
        <f t="shared" si="14"/>
        <v>100</v>
      </c>
      <c r="X32" s="1568"/>
      <c r="Y32" s="3402"/>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02"/>
      <c r="Q33" s="1573" t="str">
        <f t="shared" si="11"/>
        <v>成新度</v>
      </c>
      <c r="R33" s="1574" t="s">
        <v>8</v>
      </c>
      <c r="S33" s="1575" t="e">
        <f t="shared" si="12"/>
        <v>#N/A</v>
      </c>
      <c r="T33" s="1574" t="s">
        <v>8</v>
      </c>
      <c r="U33" s="1575" t="e">
        <f t="shared" si="13"/>
        <v>#N/A</v>
      </c>
      <c r="V33" s="1574" t="s">
        <v>8</v>
      </c>
      <c r="W33" s="1575" t="e">
        <f t="shared" si="14"/>
        <v>#N/A</v>
      </c>
      <c r="X33" s="1568"/>
      <c r="Y33" s="3402"/>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02"/>
      <c r="Q34" s="1151" t="str">
        <f t="shared" si="11"/>
        <v>物业管理</v>
      </c>
      <c r="R34" s="1569" t="s">
        <v>8</v>
      </c>
      <c r="S34" s="1570">
        <f t="shared" si="12"/>
        <v>100</v>
      </c>
      <c r="T34" s="1569" t="s">
        <v>8</v>
      </c>
      <c r="U34" s="1570">
        <f t="shared" si="13"/>
        <v>100</v>
      </c>
      <c r="V34" s="1569" t="s">
        <v>8</v>
      </c>
      <c r="W34" s="1570">
        <f t="shared" si="14"/>
        <v>100</v>
      </c>
      <c r="X34" s="1571"/>
      <c r="Y34" s="3402"/>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02" t="s">
        <v>550</v>
      </c>
      <c r="Q35" s="1573" t="str">
        <f t="shared" si="11"/>
        <v>市政基础设施</v>
      </c>
      <c r="R35" s="1574" t="s">
        <v>8</v>
      </c>
      <c r="S35" s="1575">
        <f t="shared" si="12"/>
        <v>100</v>
      </c>
      <c r="T35" s="1574" t="s">
        <v>8</v>
      </c>
      <c r="U35" s="1575">
        <f t="shared" si="13"/>
        <v>100</v>
      </c>
      <c r="V35" s="1574" t="s">
        <v>8</v>
      </c>
      <c r="W35" s="1575">
        <f t="shared" si="14"/>
        <v>100</v>
      </c>
      <c r="X35" s="1568"/>
      <c r="Y35" s="3402"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02"/>
      <c r="Q36" s="1573" t="str">
        <f t="shared" si="11"/>
        <v>内部装修</v>
      </c>
      <c r="R36" s="1574" t="s">
        <v>8</v>
      </c>
      <c r="S36" s="1575">
        <f t="shared" si="12"/>
        <v>100</v>
      </c>
      <c r="T36" s="1574" t="s">
        <v>8</v>
      </c>
      <c r="U36" s="1575">
        <f t="shared" si="13"/>
        <v>100</v>
      </c>
      <c r="V36" s="1574" t="s">
        <v>8</v>
      </c>
      <c r="W36" s="1575">
        <f t="shared" si="14"/>
        <v>100</v>
      </c>
      <c r="X36" s="1568"/>
      <c r="Y36" s="3402"/>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02"/>
      <c r="Q37" s="1573" t="str">
        <f t="shared" si="11"/>
        <v>内部装修状况</v>
      </c>
      <c r="R37" s="1574" t="s">
        <v>8</v>
      </c>
      <c r="S37" s="1575">
        <f t="shared" si="12"/>
        <v>100</v>
      </c>
      <c r="T37" s="1574" t="s">
        <v>8</v>
      </c>
      <c r="U37" s="1575">
        <f t="shared" si="13"/>
        <v>100</v>
      </c>
      <c r="V37" s="1574" t="s">
        <v>8</v>
      </c>
      <c r="W37" s="1575">
        <f t="shared" si="14"/>
        <v>100</v>
      </c>
      <c r="X37" s="1568"/>
      <c r="Y37" s="340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02"/>
      <c r="Q38" s="1606">
        <f t="shared" si="11"/>
        <v>111</v>
      </c>
      <c r="R38" s="1578" t="s">
        <v>8</v>
      </c>
      <c r="S38" s="1579">
        <f t="shared" si="12"/>
        <v>100</v>
      </c>
      <c r="T38" s="1578" t="s">
        <v>8</v>
      </c>
      <c r="U38" s="1579">
        <f t="shared" si="13"/>
        <v>100</v>
      </c>
      <c r="V38" s="1578" t="s">
        <v>8</v>
      </c>
      <c r="W38" s="1579">
        <f t="shared" si="14"/>
        <v>100</v>
      </c>
      <c r="X38" s="1580"/>
      <c r="Y38" s="340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02"/>
      <c r="Q39" s="1573">
        <f t="shared" si="11"/>
        <v>111</v>
      </c>
      <c r="R39" s="1574" t="s">
        <v>8</v>
      </c>
      <c r="S39" s="1575">
        <f t="shared" si="12"/>
        <v>100</v>
      </c>
      <c r="T39" s="1574" t="s">
        <v>8</v>
      </c>
      <c r="U39" s="1575">
        <f t="shared" si="13"/>
        <v>100</v>
      </c>
      <c r="V39" s="1574" t="s">
        <v>8</v>
      </c>
      <c r="W39" s="1575">
        <f t="shared" si="14"/>
        <v>100</v>
      </c>
      <c r="X39" s="1568"/>
      <c r="Y39" s="340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80"/>
      <c r="Q40" s="1573">
        <f t="shared" si="11"/>
        <v>111</v>
      </c>
      <c r="R40" s="1574" t="s">
        <v>8</v>
      </c>
      <c r="S40" s="1575">
        <f t="shared" si="12"/>
        <v>100</v>
      </c>
      <c r="T40" s="1574" t="s">
        <v>8</v>
      </c>
      <c r="U40" s="1575">
        <f t="shared" si="13"/>
        <v>100</v>
      </c>
      <c r="V40" s="1574" t="s">
        <v>8</v>
      </c>
      <c r="W40" s="1575">
        <f t="shared" si="14"/>
        <v>100</v>
      </c>
      <c r="X40" s="1568"/>
      <c r="Y40" s="3480"/>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65" t="str">
        <f>A41</f>
        <v>成交单价（元/平方米）</v>
      </c>
      <c r="Q41" s="3365"/>
      <c r="R41" s="3479">
        <f>E41</f>
        <v>0</v>
      </c>
      <c r="S41" s="3479"/>
      <c r="T41" s="3479">
        <f>G41</f>
        <v>0</v>
      </c>
      <c r="U41" s="3479"/>
      <c r="V41" s="3479">
        <f>I41</f>
        <v>0</v>
      </c>
      <c r="W41" s="3479"/>
      <c r="X41" s="1560"/>
      <c r="Y41" s="1582"/>
      <c r="Z41" s="1560"/>
      <c r="AA41" s="1560"/>
      <c r="AB41" s="1560"/>
      <c r="AC41" s="1560"/>
    </row>
    <row r="42" spans="1:29" ht="15.75" thickBot="1">
      <c r="A42" s="615" t="s">
        <v>2760</v>
      </c>
      <c r="B42" s="888"/>
      <c r="C42" s="2613" t="e">
        <f>R43</f>
        <v>#DIV/0!</v>
      </c>
      <c r="D42" s="2614"/>
      <c r="E42" s="2615" t="e">
        <f>R42</f>
        <v>#DIV/0!</v>
      </c>
      <c r="F42" s="2615"/>
      <c r="G42" s="2613" t="e">
        <f>T42</f>
        <v>#DIV/0!</v>
      </c>
      <c r="H42" s="2614"/>
      <c r="I42" s="2615" t="e">
        <f>V42</f>
        <v>#DIV/0!</v>
      </c>
      <c r="J42" s="2614"/>
      <c r="K42" s="1613"/>
      <c r="L42" s="2145"/>
      <c r="M42" s="2146"/>
      <c r="N42" s="2135"/>
      <c r="O42" s="2146"/>
      <c r="P42" s="3365" t="str">
        <f>A42</f>
        <v>比较价格（元/平方米）</v>
      </c>
      <c r="Q42" s="3365"/>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60"/>
      <c r="Y42" s="1560"/>
      <c r="Z42" s="1560"/>
      <c r="AA42" s="1560"/>
      <c r="AB42" s="1560"/>
      <c r="AC42" s="1560"/>
    </row>
    <row r="43" spans="1:29" ht="15.75" thickBot="1">
      <c r="A43" s="621" t="s">
        <v>2937</v>
      </c>
      <c r="B43" s="622"/>
      <c r="C43" s="2616" t="e">
        <f>R43</f>
        <v>#DIV/0!</v>
      </c>
      <c r="D43" s="2616"/>
      <c r="E43" s="2616"/>
      <c r="F43" s="2616"/>
      <c r="G43" s="2616"/>
      <c r="H43" s="2616"/>
      <c r="I43" s="2616"/>
      <c r="J43" s="2616"/>
      <c r="K43" s="1614"/>
      <c r="L43" s="2145"/>
      <c r="M43" s="2146"/>
      <c r="N43" s="2146"/>
      <c r="O43" s="2146"/>
      <c r="P43" s="3362" t="str">
        <f>A43</f>
        <v>估价对象XX用房的比较价格（楼面单价，元/平方米）</v>
      </c>
      <c r="Q43" s="3363"/>
      <c r="R43" s="3478" t="e">
        <f>IF(F1="售价",ROUND(AVERAGE(R42:V42),0),ROUND(AVERAGE(R42:V42),1))</f>
        <v>#DIV/0!</v>
      </c>
      <c r="S43" s="3478"/>
      <c r="T43" s="3478"/>
      <c r="U43" s="3478"/>
      <c r="V43" s="3478"/>
      <c r="W43" s="3478"/>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2019-2</v>
      </c>
      <c r="D52" s="2783">
        <f>EDATE(C52,-1)</f>
        <v>43466</v>
      </c>
      <c r="E52" s="2783">
        <f t="shared" ref="E52:O52" si="16">EDATE(D52,-1)</f>
        <v>43435</v>
      </c>
      <c r="F52" s="2783">
        <f t="shared" si="16"/>
        <v>43405</v>
      </c>
      <c r="G52" s="2783">
        <f t="shared" si="16"/>
        <v>43374</v>
      </c>
      <c r="H52" s="2783">
        <f t="shared" si="16"/>
        <v>43344</v>
      </c>
      <c r="I52" s="2783">
        <f t="shared" si="16"/>
        <v>43313</v>
      </c>
      <c r="J52" s="2783">
        <f t="shared" si="16"/>
        <v>43282</v>
      </c>
      <c r="K52" s="2783">
        <f t="shared" si="16"/>
        <v>43252</v>
      </c>
      <c r="L52" s="2783">
        <f t="shared" si="16"/>
        <v>43221</v>
      </c>
      <c r="M52" s="2783">
        <f t="shared" si="16"/>
        <v>43191</v>
      </c>
      <c r="N52" s="2783">
        <f t="shared" si="16"/>
        <v>43160</v>
      </c>
      <c r="O52" s="2783">
        <f t="shared" si="16"/>
        <v>43132</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1" t="s">
        <v>798</v>
      </c>
      <c r="D4" s="3372"/>
      <c r="E4" s="3371" t="s">
        <v>799</v>
      </c>
      <c r="F4" s="3372"/>
      <c r="G4" s="3371" t="s">
        <v>800</v>
      </c>
      <c r="H4" s="3372"/>
      <c r="I4" s="3371" t="s">
        <v>801</v>
      </c>
      <c r="J4" s="3372"/>
      <c r="K4" s="514" t="s">
        <v>802</v>
      </c>
      <c r="L4" s="2134"/>
      <c r="M4" s="2135"/>
      <c r="N4" s="2135"/>
      <c r="O4" s="2135"/>
      <c r="P4" s="3373" t="s">
        <v>803</v>
      </c>
      <c r="Q4" s="3374"/>
      <c r="R4" s="3379" t="s">
        <v>799</v>
      </c>
      <c r="S4" s="3380"/>
      <c r="T4" s="3379" t="s">
        <v>800</v>
      </c>
      <c r="U4" s="3380"/>
      <c r="V4" s="3366" t="s">
        <v>801</v>
      </c>
      <c r="W4" s="3366"/>
      <c r="X4" s="1568"/>
      <c r="Y4" s="3379" t="s">
        <v>803</v>
      </c>
      <c r="Z4" s="3380"/>
      <c r="AA4" s="3368" t="s">
        <v>799</v>
      </c>
      <c r="AB4" s="3369" t="s">
        <v>800</v>
      </c>
      <c r="AC4" s="3368" t="s">
        <v>801</v>
      </c>
    </row>
    <row r="5" spans="1:29" ht="15">
      <c r="A5" s="515"/>
      <c r="B5" s="516"/>
      <c r="C5" s="3387" t="s">
        <v>2931</v>
      </c>
      <c r="D5" s="3388"/>
      <c r="E5" s="3387" t="s">
        <v>2932</v>
      </c>
      <c r="F5" s="3388"/>
      <c r="G5" s="3387" t="s">
        <v>2933</v>
      </c>
      <c r="H5" s="3388"/>
      <c r="I5" s="3387" t="s">
        <v>2934</v>
      </c>
      <c r="J5" s="3388"/>
      <c r="K5" s="514"/>
      <c r="L5" s="2134"/>
      <c r="M5" s="2135"/>
      <c r="N5" s="2135"/>
      <c r="O5" s="2135"/>
      <c r="P5" s="3375"/>
      <c r="Q5" s="3376"/>
      <c r="R5" s="3381"/>
      <c r="S5" s="3382"/>
      <c r="T5" s="3381"/>
      <c r="U5" s="3382"/>
      <c r="V5" s="3366"/>
      <c r="W5" s="3366"/>
      <c r="X5" s="1568"/>
      <c r="Y5" s="3381"/>
      <c r="Z5" s="3382"/>
      <c r="AA5" s="3369"/>
      <c r="AB5" s="3369"/>
      <c r="AC5" s="3369"/>
    </row>
    <row r="6" spans="1:29" ht="15.75" thickBot="1">
      <c r="A6" s="517"/>
      <c r="B6" s="518"/>
      <c r="C6" s="3385" t="s">
        <v>2935</v>
      </c>
      <c r="D6" s="3386"/>
      <c r="E6" s="3389" t="s">
        <v>2935</v>
      </c>
      <c r="F6" s="3390"/>
      <c r="G6" s="3385" t="s">
        <v>2935</v>
      </c>
      <c r="H6" s="3386"/>
      <c r="I6" s="3385" t="s">
        <v>2935</v>
      </c>
      <c r="J6" s="3386"/>
      <c r="K6" s="514" t="s">
        <v>528</v>
      </c>
      <c r="L6" s="2134"/>
      <c r="M6" s="2135"/>
      <c r="N6" s="2135"/>
      <c r="O6" s="2135"/>
      <c r="P6" s="3377"/>
      <c r="Q6" s="3378"/>
      <c r="R6" s="3381"/>
      <c r="S6" s="3382"/>
      <c r="T6" s="3383"/>
      <c r="U6" s="3384"/>
      <c r="V6" s="3366"/>
      <c r="W6" s="3366"/>
      <c r="X6" s="1568"/>
      <c r="Y6" s="3383"/>
      <c r="Z6" s="3384"/>
      <c r="AA6" s="3370"/>
      <c r="AB6" s="3370"/>
      <c r="AC6" s="3370"/>
    </row>
    <row r="7" spans="1:29" s="1220" customFormat="1" ht="15.75" thickBot="1">
      <c r="A7" s="2890"/>
      <c r="B7" s="2897" t="s">
        <v>529</v>
      </c>
      <c r="C7" s="519">
        <f>'数据-取费表'!B2</f>
        <v>43510</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96" t="s">
        <v>530</v>
      </c>
      <c r="Q7" s="3398"/>
      <c r="R7" s="1569" t="s">
        <v>8</v>
      </c>
      <c r="S7" s="1570">
        <f t="shared" ref="S7:S14" si="0">F7</f>
        <v>0</v>
      </c>
      <c r="T7" s="1569" t="s">
        <v>8</v>
      </c>
      <c r="U7" s="1570">
        <f t="shared" ref="U7:U14" si="1">H7</f>
        <v>0</v>
      </c>
      <c r="V7" s="1569" t="s">
        <v>8</v>
      </c>
      <c r="W7" s="1570">
        <f t="shared" ref="W7:W14" si="2">J7</f>
        <v>0</v>
      </c>
      <c r="X7" s="1571"/>
      <c r="Y7" s="3396" t="s">
        <v>530</v>
      </c>
      <c r="Z7" s="3397"/>
      <c r="AA7" s="1572" t="e">
        <f>D7/F7</f>
        <v>#DIV/0!</v>
      </c>
      <c r="AB7" s="1572" t="e">
        <f>D7/H7</f>
        <v>#DIV/0!</v>
      </c>
      <c r="AC7" s="1572" t="e">
        <f>D7/J7</f>
        <v>#DIV/0!</v>
      </c>
    </row>
    <row r="8" spans="1:29" s="1220"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96" t="s">
        <v>533</v>
      </c>
      <c r="Q8" s="3397"/>
      <c r="R8" s="1569" t="s">
        <v>8</v>
      </c>
      <c r="S8" s="1570">
        <f t="shared" si="0"/>
        <v>0</v>
      </c>
      <c r="T8" s="1569" t="s">
        <v>8</v>
      </c>
      <c r="U8" s="1570">
        <f t="shared" si="1"/>
        <v>0</v>
      </c>
      <c r="V8" s="1569" t="s">
        <v>8</v>
      </c>
      <c r="W8" s="1570">
        <f t="shared" si="2"/>
        <v>0</v>
      </c>
      <c r="X8" s="1571"/>
      <c r="Y8" s="3396" t="s">
        <v>533</v>
      </c>
      <c r="Z8" s="3397"/>
      <c r="AA8" s="1572" t="e">
        <f t="shared" ref="AA8:AA36" si="3">D8/F8</f>
        <v>#DIV/0!</v>
      </c>
      <c r="AB8" s="1572" t="e">
        <f t="shared" ref="AB8:AB36" si="4">D8/H8</f>
        <v>#DIV/0!</v>
      </c>
      <c r="AC8" s="1572" t="e">
        <f t="shared" ref="AC8:AC36" si="5">D8/J8</f>
        <v>#DIV/0!</v>
      </c>
    </row>
    <row r="9" spans="1:29" s="1220" customFormat="1" ht="15">
      <c r="A9" s="2892"/>
      <c r="B9" s="2899" t="s">
        <v>2756</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5" t="s">
        <v>535</v>
      </c>
      <c r="Q9" s="1151" t="str">
        <f t="shared" ref="Q9:Q14" si="6">B9</f>
        <v>用途</v>
      </c>
      <c r="R9" s="1569" t="s">
        <v>8</v>
      </c>
      <c r="S9" s="1570">
        <f t="shared" si="0"/>
        <v>100</v>
      </c>
      <c r="T9" s="1569" t="s">
        <v>8</v>
      </c>
      <c r="U9" s="1570">
        <f t="shared" si="1"/>
        <v>100</v>
      </c>
      <c r="V9" s="1569" t="s">
        <v>8</v>
      </c>
      <c r="W9" s="1570">
        <f t="shared" si="2"/>
        <v>100</v>
      </c>
      <c r="X9" s="1571"/>
      <c r="Y9" s="3311" t="s">
        <v>536</v>
      </c>
      <c r="Z9" s="1150" t="str">
        <f t="shared" ref="Z9:Z14" si="7">Q9</f>
        <v>用途</v>
      </c>
      <c r="AA9" s="1572">
        <f t="shared" si="3"/>
        <v>1</v>
      </c>
      <c r="AB9" s="1572">
        <f t="shared" si="4"/>
        <v>1</v>
      </c>
      <c r="AC9" s="1572">
        <f t="shared" si="5"/>
        <v>1</v>
      </c>
    </row>
    <row r="10" spans="1:29" s="1338" customFormat="1" ht="27">
      <c r="A10" s="2893"/>
      <c r="B10" s="2898" t="s">
        <v>2757</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5"/>
      <c r="Q11" s="1151">
        <f t="shared" si="6"/>
        <v>111</v>
      </c>
      <c r="R11" s="1569" t="s">
        <v>8</v>
      </c>
      <c r="S11" s="1570">
        <f t="shared" si="0"/>
        <v>100</v>
      </c>
      <c r="T11" s="1569" t="s">
        <v>8</v>
      </c>
      <c r="U11" s="1570">
        <f t="shared" si="1"/>
        <v>100</v>
      </c>
      <c r="V11" s="1569" t="s">
        <v>8</v>
      </c>
      <c r="W11" s="1570">
        <f t="shared" si="2"/>
        <v>100</v>
      </c>
      <c r="X11" s="1571"/>
      <c r="Y11" s="3311"/>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85.5">
      <c r="A14" s="2888"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99" t="s">
        <v>540</v>
      </c>
      <c r="Q14" s="1573" t="str">
        <f t="shared" si="6"/>
        <v>交通便捷度</v>
      </c>
      <c r="R14" s="1574" t="s">
        <v>8</v>
      </c>
      <c r="S14" s="1575">
        <f t="shared" si="0"/>
        <v>100</v>
      </c>
      <c r="T14" s="1574" t="s">
        <v>8</v>
      </c>
      <c r="U14" s="1575">
        <f t="shared" si="1"/>
        <v>100</v>
      </c>
      <c r="V14" s="1574" t="s">
        <v>8</v>
      </c>
      <c r="W14" s="1575">
        <f t="shared" si="2"/>
        <v>100</v>
      </c>
      <c r="X14" s="1568"/>
      <c r="Y14" s="3399"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00"/>
      <c r="Q15" s="1573"/>
      <c r="R15" s="1574"/>
      <c r="S15" s="1575"/>
      <c r="T15" s="1574"/>
      <c r="U15" s="1575"/>
      <c r="V15" s="1574"/>
      <c r="W15" s="1575"/>
      <c r="X15" s="1568"/>
      <c r="Y15" s="3400"/>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00"/>
      <c r="Q16" s="1573" t="str">
        <f>B16</f>
        <v>公共配套设施</v>
      </c>
      <c r="R16" s="1574" t="s">
        <v>8</v>
      </c>
      <c r="S16" s="1575">
        <f>F16</f>
        <v>100</v>
      </c>
      <c r="T16" s="1574" t="s">
        <v>8</v>
      </c>
      <c r="U16" s="1575">
        <f>H16</f>
        <v>100</v>
      </c>
      <c r="V16" s="1574" t="s">
        <v>8</v>
      </c>
      <c r="W16" s="1575">
        <f>J16</f>
        <v>100</v>
      </c>
      <c r="X16" s="1568"/>
      <c r="Y16" s="340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00"/>
      <c r="Q17" s="1573"/>
      <c r="R17" s="1574"/>
      <c r="S17" s="1575"/>
      <c r="T17" s="1574"/>
      <c r="U17" s="1575"/>
      <c r="V17" s="1574"/>
      <c r="W17" s="1575"/>
      <c r="X17" s="1568"/>
      <c r="Y17" s="3400"/>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00"/>
      <c r="Q18" s="2559" t="str">
        <f>B18</f>
        <v>基础设施水平</v>
      </c>
      <c r="R18" s="1574" t="s">
        <v>8</v>
      </c>
      <c r="S18" s="1575">
        <f>F18</f>
        <v>100</v>
      </c>
      <c r="T18" s="1574" t="s">
        <v>8</v>
      </c>
      <c r="U18" s="1575">
        <f>H18</f>
        <v>100</v>
      </c>
      <c r="V18" s="1574" t="s">
        <v>8</v>
      </c>
      <c r="W18" s="1575">
        <f>J18</f>
        <v>100</v>
      </c>
      <c r="X18" s="2561"/>
      <c r="Y18" s="3400"/>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400"/>
      <c r="Q19" s="2559"/>
      <c r="R19" s="1574"/>
      <c r="S19" s="1575"/>
      <c r="T19" s="1574"/>
      <c r="U19" s="1575"/>
      <c r="V19" s="1574"/>
      <c r="W19" s="1575"/>
      <c r="X19" s="2561"/>
      <c r="Y19" s="3400"/>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00"/>
      <c r="Q20" s="1573" t="str">
        <f>B20</f>
        <v>自然及人文环境</v>
      </c>
      <c r="R20" s="1574" t="s">
        <v>8</v>
      </c>
      <c r="S20" s="1575">
        <f>F20</f>
        <v>100</v>
      </c>
      <c r="T20" s="1574" t="s">
        <v>8</v>
      </c>
      <c r="U20" s="1575">
        <f>H20</f>
        <v>100</v>
      </c>
      <c r="V20" s="1574" t="s">
        <v>8</v>
      </c>
      <c r="W20" s="1575">
        <f>J20</f>
        <v>100</v>
      </c>
      <c r="X20" s="1568"/>
      <c r="Y20" s="340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00"/>
      <c r="Q21" s="1573"/>
      <c r="R21" s="1574"/>
      <c r="S21" s="1575"/>
      <c r="T21" s="1574"/>
      <c r="U21" s="1575"/>
      <c r="V21" s="1574"/>
      <c r="W21" s="1575"/>
      <c r="X21" s="1568"/>
      <c r="Y21" s="3400"/>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00"/>
      <c r="Q22" s="1573" t="str">
        <f>B22</f>
        <v>楼层</v>
      </c>
      <c r="R22" s="1574" t="s">
        <v>8</v>
      </c>
      <c r="S22" s="1575">
        <f>F22</f>
        <v>100</v>
      </c>
      <c r="T22" s="1574" t="s">
        <v>8</v>
      </c>
      <c r="U22" s="1575">
        <f>H22</f>
        <v>100</v>
      </c>
      <c r="V22" s="1574" t="s">
        <v>8</v>
      </c>
      <c r="W22" s="1575">
        <f>J22</f>
        <v>100</v>
      </c>
      <c r="X22" s="1568"/>
      <c r="Y22" s="340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00"/>
      <c r="Q23" s="1573">
        <f>B23</f>
        <v>111</v>
      </c>
      <c r="R23" s="1574" t="s">
        <v>8</v>
      </c>
      <c r="S23" s="1575">
        <f>F23</f>
        <v>100</v>
      </c>
      <c r="T23" s="1574" t="s">
        <v>8</v>
      </c>
      <c r="U23" s="1575">
        <f>H23</f>
        <v>100</v>
      </c>
      <c r="V23" s="1574" t="s">
        <v>8</v>
      </c>
      <c r="W23" s="1575">
        <f>J23</f>
        <v>100</v>
      </c>
      <c r="X23" s="1568"/>
      <c r="Y23" s="340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00"/>
      <c r="Q24" s="1573">
        <f t="shared" ref="Q24:Q36" si="11">B24</f>
        <v>111</v>
      </c>
      <c r="R24" s="1574" t="s">
        <v>8</v>
      </c>
      <c r="S24" s="1575">
        <f>F24</f>
        <v>100</v>
      </c>
      <c r="T24" s="1574" t="s">
        <v>8</v>
      </c>
      <c r="U24" s="1575">
        <f>H24</f>
        <v>100</v>
      </c>
      <c r="V24" s="1574" t="s">
        <v>8</v>
      </c>
      <c r="W24" s="1575">
        <f>J24</f>
        <v>100</v>
      </c>
      <c r="X24" s="1568"/>
      <c r="Y24" s="340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00"/>
      <c r="Q25" s="1151">
        <f t="shared" si="11"/>
        <v>111</v>
      </c>
      <c r="R25" s="1569" t="s">
        <v>8</v>
      </c>
      <c r="S25" s="1570">
        <f>F25</f>
        <v>100</v>
      </c>
      <c r="T25" s="1569" t="s">
        <v>8</v>
      </c>
      <c r="U25" s="1570">
        <f>H25</f>
        <v>100</v>
      </c>
      <c r="V25" s="1569" t="s">
        <v>8</v>
      </c>
      <c r="W25" s="1570">
        <f>J25</f>
        <v>100</v>
      </c>
      <c r="X25" s="1571"/>
      <c r="Y25" s="3400"/>
      <c r="Z25" s="1150">
        <f>Q25</f>
        <v>111</v>
      </c>
      <c r="AA25" s="1577">
        <f>D25/F25</f>
        <v>1</v>
      </c>
      <c r="AB25" s="1577">
        <f>D25/H25</f>
        <v>1</v>
      </c>
      <c r="AC25" s="1577">
        <f>D25/J25</f>
        <v>1</v>
      </c>
    </row>
    <row r="26" spans="1:29" ht="15">
      <c r="A26" s="2886"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01"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2"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02"/>
      <c r="Q27" s="1606" t="str">
        <f t="shared" si="11"/>
        <v>项目停车位配比</v>
      </c>
      <c r="R27" s="1578" t="s">
        <v>8</v>
      </c>
      <c r="S27" s="1579">
        <f t="shared" si="12"/>
        <v>100</v>
      </c>
      <c r="T27" s="1578" t="s">
        <v>8</v>
      </c>
      <c r="U27" s="1579">
        <f t="shared" si="13"/>
        <v>100</v>
      </c>
      <c r="V27" s="1578" t="s">
        <v>8</v>
      </c>
      <c r="W27" s="1579">
        <f t="shared" si="14"/>
        <v>100</v>
      </c>
      <c r="X27" s="1580"/>
      <c r="Y27" s="3402"/>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02"/>
      <c r="Q28" s="1573" t="str">
        <f t="shared" si="11"/>
        <v>公共部分装修</v>
      </c>
      <c r="R28" s="1574" t="s">
        <v>8</v>
      </c>
      <c r="S28" s="1575">
        <f t="shared" si="12"/>
        <v>100</v>
      </c>
      <c r="T28" s="1574" t="s">
        <v>8</v>
      </c>
      <c r="U28" s="1575">
        <f t="shared" si="13"/>
        <v>100</v>
      </c>
      <c r="V28" s="1574" t="s">
        <v>8</v>
      </c>
      <c r="W28" s="1575">
        <f t="shared" si="14"/>
        <v>100</v>
      </c>
      <c r="X28" s="1568"/>
      <c r="Y28" s="3402"/>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02"/>
      <c r="Q29" s="1573" t="str">
        <f t="shared" si="11"/>
        <v>成新率</v>
      </c>
      <c r="R29" s="1574" t="s">
        <v>8</v>
      </c>
      <c r="S29" s="1575" t="e">
        <f t="shared" si="12"/>
        <v>#N/A</v>
      </c>
      <c r="T29" s="1574" t="s">
        <v>8</v>
      </c>
      <c r="U29" s="1575" t="e">
        <f t="shared" si="13"/>
        <v>#N/A</v>
      </c>
      <c r="V29" s="1574" t="s">
        <v>8</v>
      </c>
      <c r="W29" s="1575" t="e">
        <f t="shared" si="14"/>
        <v>#N/A</v>
      </c>
      <c r="X29" s="1568"/>
      <c r="Y29" s="3402"/>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02"/>
      <c r="Q30" s="1573" t="str">
        <f t="shared" si="11"/>
        <v>物业等级</v>
      </c>
      <c r="R30" s="1574" t="s">
        <v>8</v>
      </c>
      <c r="S30" s="1575">
        <f t="shared" si="12"/>
        <v>100</v>
      </c>
      <c r="T30" s="1574" t="s">
        <v>8</v>
      </c>
      <c r="U30" s="1575">
        <f t="shared" si="13"/>
        <v>100</v>
      </c>
      <c r="V30" s="1574" t="s">
        <v>8</v>
      </c>
      <c r="W30" s="1575">
        <f t="shared" si="14"/>
        <v>100</v>
      </c>
      <c r="X30" s="1568"/>
      <c r="Y30" s="3402"/>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02"/>
      <c r="Q31" s="1151" t="str">
        <f t="shared" si="11"/>
        <v>停车位面积</v>
      </c>
      <c r="R31" s="1569" t="s">
        <v>8</v>
      </c>
      <c r="S31" s="1570" t="e">
        <f t="shared" si="12"/>
        <v>#N/A</v>
      </c>
      <c r="T31" s="1569" t="s">
        <v>8</v>
      </c>
      <c r="U31" s="1570" t="e">
        <f t="shared" si="13"/>
        <v>#N/A</v>
      </c>
      <c r="V31" s="1569" t="s">
        <v>8</v>
      </c>
      <c r="W31" s="1570" t="e">
        <f t="shared" si="14"/>
        <v>#N/A</v>
      </c>
      <c r="X31" s="1571"/>
      <c r="Y31" s="3402"/>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02" t="s">
        <v>550</v>
      </c>
      <c r="Q32" s="1573" t="str">
        <f t="shared" si="11"/>
        <v>车位类型</v>
      </c>
      <c r="R32" s="1574" t="s">
        <v>8</v>
      </c>
      <c r="S32" s="1575">
        <f t="shared" si="12"/>
        <v>100</v>
      </c>
      <c r="T32" s="1574" t="s">
        <v>8</v>
      </c>
      <c r="U32" s="1575">
        <f t="shared" si="13"/>
        <v>100</v>
      </c>
      <c r="V32" s="1574" t="s">
        <v>8</v>
      </c>
      <c r="W32" s="1575">
        <f t="shared" si="14"/>
        <v>100</v>
      </c>
      <c r="X32" s="1568"/>
      <c r="Y32" s="3402"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02"/>
      <c r="Q33" s="1573" t="str">
        <f t="shared" si="11"/>
        <v>是否直接入户</v>
      </c>
      <c r="R33" s="1574" t="s">
        <v>8</v>
      </c>
      <c r="S33" s="1575">
        <f t="shared" si="12"/>
        <v>100</v>
      </c>
      <c r="T33" s="1574" t="s">
        <v>8</v>
      </c>
      <c r="U33" s="1575">
        <f t="shared" si="13"/>
        <v>100</v>
      </c>
      <c r="V33" s="1574" t="s">
        <v>8</v>
      </c>
      <c r="W33" s="1575">
        <f t="shared" si="14"/>
        <v>100</v>
      </c>
      <c r="X33" s="1568"/>
      <c r="Y33" s="340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02"/>
      <c r="Q34" s="1573">
        <f t="shared" si="11"/>
        <v>111</v>
      </c>
      <c r="R34" s="1574" t="s">
        <v>8</v>
      </c>
      <c r="S34" s="1575">
        <f t="shared" si="12"/>
        <v>100</v>
      </c>
      <c r="T34" s="1574" t="s">
        <v>8</v>
      </c>
      <c r="U34" s="1575">
        <f t="shared" si="13"/>
        <v>100</v>
      </c>
      <c r="V34" s="1574" t="s">
        <v>8</v>
      </c>
      <c r="W34" s="1575">
        <f t="shared" si="14"/>
        <v>100</v>
      </c>
      <c r="X34" s="1568"/>
      <c r="Y34" s="340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02"/>
      <c r="Q35" s="1606">
        <f t="shared" si="11"/>
        <v>111</v>
      </c>
      <c r="R35" s="1578" t="s">
        <v>8</v>
      </c>
      <c r="S35" s="1579">
        <f t="shared" si="12"/>
        <v>100</v>
      </c>
      <c r="T35" s="1578" t="s">
        <v>8</v>
      </c>
      <c r="U35" s="1579">
        <f t="shared" si="13"/>
        <v>100</v>
      </c>
      <c r="V35" s="1578" t="s">
        <v>8</v>
      </c>
      <c r="W35" s="1579">
        <f t="shared" si="14"/>
        <v>100</v>
      </c>
      <c r="X35" s="1580"/>
      <c r="Y35" s="340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02"/>
      <c r="Q36" s="1573">
        <f t="shared" si="11"/>
        <v>111</v>
      </c>
      <c r="R36" s="1574" t="s">
        <v>8</v>
      </c>
      <c r="S36" s="1575">
        <f t="shared" si="12"/>
        <v>100</v>
      </c>
      <c r="T36" s="1574" t="s">
        <v>8</v>
      </c>
      <c r="U36" s="1575">
        <f t="shared" si="13"/>
        <v>100</v>
      </c>
      <c r="V36" s="1574" t="s">
        <v>8</v>
      </c>
      <c r="W36" s="1575">
        <f t="shared" si="14"/>
        <v>100</v>
      </c>
      <c r="X36" s="1568"/>
      <c r="Y36" s="3402"/>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65" t="str">
        <f>A37</f>
        <v>成交单价</v>
      </c>
      <c r="Q37" s="3365"/>
      <c r="R37" s="3479">
        <f>E37</f>
        <v>0</v>
      </c>
      <c r="S37" s="3479"/>
      <c r="T37" s="3479">
        <f>G37</f>
        <v>0</v>
      </c>
      <c r="U37" s="3479"/>
      <c r="V37" s="3479">
        <f>I37</f>
        <v>0</v>
      </c>
      <c r="W37" s="3479"/>
      <c r="X37" s="1560"/>
      <c r="Y37" s="1582"/>
      <c r="Z37" s="1560"/>
      <c r="AA37" s="1560"/>
      <c r="AB37" s="1560"/>
      <c r="AC37" s="1560"/>
    </row>
    <row r="38" spans="1:29" ht="15.75" thickBot="1">
      <c r="A38" s="615" t="s">
        <v>2760</v>
      </c>
      <c r="B38" s="888"/>
      <c r="C38" s="2613" t="e">
        <f>R39</f>
        <v>#DIV/0!</v>
      </c>
      <c r="D38" s="2614"/>
      <c r="E38" s="2615" t="e">
        <f>R38</f>
        <v>#DIV/0!</v>
      </c>
      <c r="F38" s="2615"/>
      <c r="G38" s="2613" t="e">
        <f>T38</f>
        <v>#DIV/0!</v>
      </c>
      <c r="H38" s="2614"/>
      <c r="I38" s="2615" t="e">
        <f>V38</f>
        <v>#DIV/0!</v>
      </c>
      <c r="J38" s="2614"/>
      <c r="K38" s="1613"/>
      <c r="L38" s="2145"/>
      <c r="M38" s="2146"/>
      <c r="N38" s="2146"/>
      <c r="O38" s="2146"/>
      <c r="P38" s="3365" t="str">
        <f>A38</f>
        <v>比较价格（元/平方米）</v>
      </c>
      <c r="Q38" s="3365"/>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560"/>
      <c r="Y38" s="1560"/>
      <c r="Z38" s="1560"/>
      <c r="AA38" s="1560"/>
      <c r="AB38" s="1560"/>
      <c r="AC38" s="1560"/>
    </row>
    <row r="39" spans="1:29" ht="15.75" thickBot="1">
      <c r="A39" s="621" t="s">
        <v>2937</v>
      </c>
      <c r="B39" s="622"/>
      <c r="C39" s="2616" t="e">
        <f>R39</f>
        <v>#DIV/0!</v>
      </c>
      <c r="D39" s="2616"/>
      <c r="E39" s="2616"/>
      <c r="F39" s="2616"/>
      <c r="G39" s="2616"/>
      <c r="H39" s="2616"/>
      <c r="I39" s="2616"/>
      <c r="J39" s="2616"/>
      <c r="K39" s="1614"/>
      <c r="L39" s="2145"/>
      <c r="M39" s="2146"/>
      <c r="N39" s="2146"/>
      <c r="O39" s="2146"/>
      <c r="P39" s="3362" t="str">
        <f>A39</f>
        <v>估价对象XX用房的比较价格（楼面单价，元/平方米）</v>
      </c>
      <c r="Q39" s="3363"/>
      <c r="R39" s="3478" t="e">
        <f>IF(F1="售价",ROUND(AVERAGE(R38:V38),0),ROUND(AVERAGE(R38:V38),1))</f>
        <v>#DIV/0!</v>
      </c>
      <c r="S39" s="3478"/>
      <c r="T39" s="3478"/>
      <c r="U39" s="3478"/>
      <c r="V39" s="3478"/>
      <c r="W39" s="3478"/>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2019-2</v>
      </c>
      <c r="D48" s="2783">
        <f>EDATE(C48,-1)</f>
        <v>43466</v>
      </c>
      <c r="E48" s="2783">
        <f t="shared" ref="E48:O48" si="16">EDATE(D48,-1)</f>
        <v>43435</v>
      </c>
      <c r="F48" s="2783">
        <f t="shared" si="16"/>
        <v>43405</v>
      </c>
      <c r="G48" s="2783">
        <f t="shared" si="16"/>
        <v>43374</v>
      </c>
      <c r="H48" s="2783">
        <f t="shared" si="16"/>
        <v>43344</v>
      </c>
      <c r="I48" s="2783">
        <f t="shared" si="16"/>
        <v>43313</v>
      </c>
      <c r="J48" s="2783">
        <f t="shared" si="16"/>
        <v>43282</v>
      </c>
      <c r="K48" s="2783">
        <f t="shared" si="16"/>
        <v>43252</v>
      </c>
      <c r="L48" s="2783">
        <f t="shared" si="16"/>
        <v>43221</v>
      </c>
      <c r="M48" s="2783">
        <f t="shared" si="16"/>
        <v>43191</v>
      </c>
      <c r="N48" s="2783">
        <f t="shared" si="16"/>
        <v>43160</v>
      </c>
      <c r="O48" s="2783">
        <f t="shared" si="16"/>
        <v>43132</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1" t="s">
        <v>798</v>
      </c>
      <c r="D4" s="3372"/>
      <c r="E4" s="3405" t="s">
        <v>799</v>
      </c>
      <c r="F4" s="3406"/>
      <c r="G4" s="3371" t="s">
        <v>800</v>
      </c>
      <c r="H4" s="3372"/>
      <c r="I4" s="3371" t="s">
        <v>801</v>
      </c>
      <c r="J4" s="3372"/>
      <c r="K4" s="514" t="s">
        <v>802</v>
      </c>
      <c r="L4" s="2134"/>
      <c r="M4" s="2135"/>
      <c r="N4" s="2135"/>
      <c r="O4" s="2135"/>
      <c r="P4" s="3373" t="s">
        <v>803</v>
      </c>
      <c r="Q4" s="3374"/>
      <c r="R4" s="3379" t="s">
        <v>799</v>
      </c>
      <c r="S4" s="3380"/>
      <c r="T4" s="3379" t="s">
        <v>800</v>
      </c>
      <c r="U4" s="3380"/>
      <c r="V4" s="3366" t="s">
        <v>801</v>
      </c>
      <c r="W4" s="3366"/>
      <c r="X4" s="1568"/>
      <c r="Y4" s="3379" t="s">
        <v>803</v>
      </c>
      <c r="Z4" s="3380"/>
      <c r="AA4" s="3368" t="s">
        <v>799</v>
      </c>
      <c r="AB4" s="3369" t="s">
        <v>800</v>
      </c>
      <c r="AC4" s="3368" t="s">
        <v>801</v>
      </c>
    </row>
    <row r="5" spans="1:29" ht="15">
      <c r="A5" s="515"/>
      <c r="B5" s="516"/>
      <c r="C5" s="3387" t="s">
        <v>2931</v>
      </c>
      <c r="D5" s="3388"/>
      <c r="E5" s="3407" t="s">
        <v>2932</v>
      </c>
      <c r="F5" s="3408"/>
      <c r="G5" s="3387" t="s">
        <v>2933</v>
      </c>
      <c r="H5" s="3388"/>
      <c r="I5" s="3387" t="s">
        <v>2934</v>
      </c>
      <c r="J5" s="3388"/>
      <c r="K5" s="514"/>
      <c r="L5" s="2134"/>
      <c r="M5" s="2135"/>
      <c r="N5" s="2135"/>
      <c r="O5" s="2135"/>
      <c r="P5" s="3375"/>
      <c r="Q5" s="3376"/>
      <c r="R5" s="3381"/>
      <c r="S5" s="3382"/>
      <c r="T5" s="3381"/>
      <c r="U5" s="3382"/>
      <c r="V5" s="3366"/>
      <c r="W5" s="3366"/>
      <c r="X5" s="1568"/>
      <c r="Y5" s="3381"/>
      <c r="Z5" s="3382"/>
      <c r="AA5" s="3369"/>
      <c r="AB5" s="3369"/>
      <c r="AC5" s="3369"/>
    </row>
    <row r="6" spans="1:29" ht="15.75" thickBot="1">
      <c r="A6" s="517"/>
      <c r="B6" s="518"/>
      <c r="C6" s="3385" t="s">
        <v>2935</v>
      </c>
      <c r="D6" s="3386"/>
      <c r="E6" s="3403" t="s">
        <v>2935</v>
      </c>
      <c r="F6" s="3404"/>
      <c r="G6" s="3385" t="s">
        <v>2935</v>
      </c>
      <c r="H6" s="3386"/>
      <c r="I6" s="3385" t="s">
        <v>2935</v>
      </c>
      <c r="J6" s="3386"/>
      <c r="K6" s="514" t="s">
        <v>528</v>
      </c>
      <c r="L6" s="2134"/>
      <c r="M6" s="2135"/>
      <c r="N6" s="2135"/>
      <c r="O6" s="2135"/>
      <c r="P6" s="3377"/>
      <c r="Q6" s="3378"/>
      <c r="R6" s="3381"/>
      <c r="S6" s="3382"/>
      <c r="T6" s="3383"/>
      <c r="U6" s="3384"/>
      <c r="V6" s="3366"/>
      <c r="W6" s="3366"/>
      <c r="X6" s="1568"/>
      <c r="Y6" s="3383"/>
      <c r="Z6" s="3384"/>
      <c r="AA6" s="3370"/>
      <c r="AB6" s="3370"/>
      <c r="AC6" s="3370"/>
    </row>
    <row r="7" spans="1:29" s="1220" customFormat="1" ht="15.75" thickBot="1">
      <c r="A7" s="2890"/>
      <c r="B7" s="2897" t="s">
        <v>529</v>
      </c>
      <c r="C7" s="519">
        <f>'数据-取费表'!B2</f>
        <v>43510</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96" t="s">
        <v>530</v>
      </c>
      <c r="Q7" s="3398"/>
      <c r="R7" s="1569" t="s">
        <v>8</v>
      </c>
      <c r="S7" s="1570">
        <f t="shared" ref="S7:S14" si="0">F7</f>
        <v>0</v>
      </c>
      <c r="T7" s="1569" t="s">
        <v>8</v>
      </c>
      <c r="U7" s="1570">
        <f t="shared" ref="U7:U14" si="1">H7</f>
        <v>0</v>
      </c>
      <c r="V7" s="1569" t="s">
        <v>8</v>
      </c>
      <c r="W7" s="1570">
        <f t="shared" ref="W7:W14" si="2">J7</f>
        <v>0</v>
      </c>
      <c r="X7" s="1571"/>
      <c r="Y7" s="3396" t="s">
        <v>530</v>
      </c>
      <c r="Z7" s="3397"/>
      <c r="AA7" s="1572" t="e">
        <f>D7/F7</f>
        <v>#DIV/0!</v>
      </c>
      <c r="AB7" s="1572" t="e">
        <f>D7/H7</f>
        <v>#DIV/0!</v>
      </c>
      <c r="AC7" s="1572"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96" t="s">
        <v>533</v>
      </c>
      <c r="Q8" s="3397"/>
      <c r="R8" s="1569" t="s">
        <v>8</v>
      </c>
      <c r="S8" s="1570">
        <f t="shared" si="0"/>
        <v>0</v>
      </c>
      <c r="T8" s="1569" t="s">
        <v>8</v>
      </c>
      <c r="U8" s="1570">
        <f t="shared" si="1"/>
        <v>0</v>
      </c>
      <c r="V8" s="1569" t="s">
        <v>8</v>
      </c>
      <c r="W8" s="1570">
        <f t="shared" si="2"/>
        <v>0</v>
      </c>
      <c r="X8" s="1571"/>
      <c r="Y8" s="3396" t="s">
        <v>533</v>
      </c>
      <c r="Z8" s="3397"/>
      <c r="AA8" s="1572" t="e">
        <f t="shared" ref="AA8:AA34" si="3">D8/F8</f>
        <v>#DIV/0!</v>
      </c>
      <c r="AB8" s="1572" t="e">
        <f t="shared" ref="AB8:AB34" si="4">D8/H8</f>
        <v>#DIV/0!</v>
      </c>
      <c r="AC8" s="1572" t="e">
        <f t="shared" ref="AC8:AC34" si="5">D8/J8</f>
        <v>#DIV/0!</v>
      </c>
    </row>
    <row r="9" spans="1:29" s="1220" customFormat="1" ht="15">
      <c r="A9" s="2892"/>
      <c r="B9" s="2899" t="s">
        <v>2756</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5" t="s">
        <v>535</v>
      </c>
      <c r="Q9" s="1151" t="str">
        <f t="shared" ref="Q9:Q14" si="6">B9</f>
        <v>用途</v>
      </c>
      <c r="R9" s="1569" t="s">
        <v>8</v>
      </c>
      <c r="S9" s="1570">
        <f t="shared" si="0"/>
        <v>100</v>
      </c>
      <c r="T9" s="1569" t="s">
        <v>8</v>
      </c>
      <c r="U9" s="1570">
        <f t="shared" si="1"/>
        <v>100</v>
      </c>
      <c r="V9" s="1569" t="s">
        <v>8</v>
      </c>
      <c r="W9" s="1570">
        <f t="shared" si="2"/>
        <v>100</v>
      </c>
      <c r="X9" s="1571"/>
      <c r="Y9" s="3311" t="s">
        <v>536</v>
      </c>
      <c r="Z9" s="1150" t="str">
        <f t="shared" ref="Z9:Z14" si="7">Q9</f>
        <v>用途</v>
      </c>
      <c r="AA9" s="1572">
        <f t="shared" si="3"/>
        <v>1</v>
      </c>
      <c r="AB9" s="1572">
        <f t="shared" si="4"/>
        <v>1</v>
      </c>
      <c r="AC9" s="1572">
        <f t="shared" si="5"/>
        <v>1</v>
      </c>
    </row>
    <row r="10" spans="1:29" s="1338" customFormat="1" ht="27">
      <c r="A10" s="2893"/>
      <c r="B10" s="2898" t="s">
        <v>2757</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5"/>
      <c r="Q11" s="1151">
        <f t="shared" si="6"/>
        <v>111</v>
      </c>
      <c r="R11" s="1569" t="s">
        <v>8</v>
      </c>
      <c r="S11" s="1570">
        <f t="shared" si="0"/>
        <v>100</v>
      </c>
      <c r="T11" s="1569" t="s">
        <v>8</v>
      </c>
      <c r="U11" s="1570">
        <f t="shared" si="1"/>
        <v>100</v>
      </c>
      <c r="V11" s="1569" t="s">
        <v>8</v>
      </c>
      <c r="W11" s="1570">
        <f t="shared" si="2"/>
        <v>100</v>
      </c>
      <c r="X11" s="1571"/>
      <c r="Y11" s="3311"/>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85.5">
      <c r="A14" s="2888"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99" t="s">
        <v>540</v>
      </c>
      <c r="Q14" s="1573" t="str">
        <f t="shared" si="6"/>
        <v>交通便捷度</v>
      </c>
      <c r="R14" s="1574" t="s">
        <v>8</v>
      </c>
      <c r="S14" s="1575">
        <f t="shared" si="0"/>
        <v>100</v>
      </c>
      <c r="T14" s="1574" t="s">
        <v>8</v>
      </c>
      <c r="U14" s="1575">
        <f t="shared" si="1"/>
        <v>100</v>
      </c>
      <c r="V14" s="1574" t="s">
        <v>8</v>
      </c>
      <c r="W14" s="1575">
        <f t="shared" si="2"/>
        <v>100</v>
      </c>
      <c r="X14" s="1568"/>
      <c r="Y14" s="3399"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00"/>
      <c r="Q15" s="1573"/>
      <c r="R15" s="1574"/>
      <c r="S15" s="1575"/>
      <c r="T15" s="1574"/>
      <c r="U15" s="1575"/>
      <c r="V15" s="1574"/>
      <c r="W15" s="1575"/>
      <c r="X15" s="1568"/>
      <c r="Y15" s="3400"/>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00"/>
      <c r="Q16" s="1573" t="str">
        <f>B16</f>
        <v>公共配套设施</v>
      </c>
      <c r="R16" s="1574" t="s">
        <v>8</v>
      </c>
      <c r="S16" s="1575">
        <f>F16</f>
        <v>100</v>
      </c>
      <c r="T16" s="1574" t="s">
        <v>8</v>
      </c>
      <c r="U16" s="1575">
        <f>H16</f>
        <v>100</v>
      </c>
      <c r="V16" s="1574" t="s">
        <v>8</v>
      </c>
      <c r="W16" s="1575">
        <f>J16</f>
        <v>100</v>
      </c>
      <c r="X16" s="1568"/>
      <c r="Y16" s="340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00"/>
      <c r="Q17" s="1573"/>
      <c r="R17" s="1574"/>
      <c r="S17" s="1575"/>
      <c r="T17" s="1574"/>
      <c r="U17" s="1575"/>
      <c r="V17" s="1574"/>
      <c r="W17" s="1575"/>
      <c r="X17" s="1568"/>
      <c r="Y17" s="3400"/>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00"/>
      <c r="Q18" s="2559" t="str">
        <f>B18</f>
        <v>基础设施水平</v>
      </c>
      <c r="R18" s="1574" t="s">
        <v>8</v>
      </c>
      <c r="S18" s="1575">
        <f>F18</f>
        <v>100</v>
      </c>
      <c r="T18" s="1574" t="s">
        <v>8</v>
      </c>
      <c r="U18" s="1575">
        <f>H18</f>
        <v>100</v>
      </c>
      <c r="V18" s="1574" t="s">
        <v>8</v>
      </c>
      <c r="W18" s="1575">
        <f>J18</f>
        <v>100</v>
      </c>
      <c r="X18" s="2561"/>
      <c r="Y18" s="3400"/>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400"/>
      <c r="Q19" s="2559"/>
      <c r="R19" s="1574"/>
      <c r="S19" s="1575"/>
      <c r="T19" s="1574"/>
      <c r="U19" s="1575"/>
      <c r="V19" s="1574"/>
      <c r="W19" s="1575"/>
      <c r="X19" s="2561"/>
      <c r="Y19" s="3400"/>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00"/>
      <c r="Q20" s="1573" t="str">
        <f>B20</f>
        <v>自然及人文环境</v>
      </c>
      <c r="R20" s="1574" t="s">
        <v>8</v>
      </c>
      <c r="S20" s="1575">
        <f>F20</f>
        <v>100</v>
      </c>
      <c r="T20" s="1574" t="s">
        <v>8</v>
      </c>
      <c r="U20" s="1575">
        <f>H20</f>
        <v>100</v>
      </c>
      <c r="V20" s="1574" t="s">
        <v>8</v>
      </c>
      <c r="W20" s="1575">
        <f>J20</f>
        <v>100</v>
      </c>
      <c r="X20" s="1568"/>
      <c r="Y20" s="340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00"/>
      <c r="Q21" s="1573"/>
      <c r="R21" s="1574"/>
      <c r="S21" s="1575"/>
      <c r="T21" s="1574"/>
      <c r="U21" s="1575"/>
      <c r="V21" s="1574"/>
      <c r="W21" s="1575"/>
      <c r="X21" s="1568"/>
      <c r="Y21" s="3400"/>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00"/>
      <c r="Q22" s="1573" t="str">
        <f>B22</f>
        <v>楼层</v>
      </c>
      <c r="R22" s="1574" t="s">
        <v>8</v>
      </c>
      <c r="S22" s="1575">
        <f>F22</f>
        <v>100</v>
      </c>
      <c r="T22" s="1574" t="s">
        <v>8</v>
      </c>
      <c r="U22" s="1575">
        <f>H22</f>
        <v>100</v>
      </c>
      <c r="V22" s="1574" t="s">
        <v>8</v>
      </c>
      <c r="W22" s="1575">
        <f>J22</f>
        <v>100</v>
      </c>
      <c r="X22" s="1568"/>
      <c r="Y22" s="340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00"/>
      <c r="Q23" s="1573">
        <f>B23</f>
        <v>111</v>
      </c>
      <c r="R23" s="1574" t="s">
        <v>8</v>
      </c>
      <c r="S23" s="1575">
        <f>F23</f>
        <v>100</v>
      </c>
      <c r="T23" s="1574" t="s">
        <v>8</v>
      </c>
      <c r="U23" s="1575">
        <f>H23</f>
        <v>100</v>
      </c>
      <c r="V23" s="1574" t="s">
        <v>8</v>
      </c>
      <c r="W23" s="1575">
        <f>J23</f>
        <v>100</v>
      </c>
      <c r="X23" s="1568"/>
      <c r="Y23" s="340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00"/>
      <c r="Q24" s="1573">
        <f t="shared" ref="Q24:Q34" si="11">B24</f>
        <v>111</v>
      </c>
      <c r="R24" s="1574" t="s">
        <v>8</v>
      </c>
      <c r="S24" s="1575">
        <f>F24</f>
        <v>100</v>
      </c>
      <c r="T24" s="1574" t="s">
        <v>8</v>
      </c>
      <c r="U24" s="1575">
        <f>H24</f>
        <v>100</v>
      </c>
      <c r="V24" s="1574" t="s">
        <v>8</v>
      </c>
      <c r="W24" s="1575">
        <f>J24</f>
        <v>100</v>
      </c>
      <c r="X24" s="1568"/>
      <c r="Y24" s="340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00"/>
      <c r="Q25" s="1151">
        <f t="shared" si="11"/>
        <v>111</v>
      </c>
      <c r="R25" s="1569" t="s">
        <v>8</v>
      </c>
      <c r="S25" s="1570">
        <f>F25</f>
        <v>100</v>
      </c>
      <c r="T25" s="1569" t="s">
        <v>8</v>
      </c>
      <c r="U25" s="1570">
        <f>H25</f>
        <v>100</v>
      </c>
      <c r="V25" s="1569" t="s">
        <v>8</v>
      </c>
      <c r="W25" s="1570">
        <f>J25</f>
        <v>100</v>
      </c>
      <c r="X25" s="1571"/>
      <c r="Y25" s="3400"/>
      <c r="Z25" s="1150">
        <f>Q25</f>
        <v>111</v>
      </c>
      <c r="AA25" s="1577">
        <f>D25/F25</f>
        <v>1</v>
      </c>
      <c r="AB25" s="1577">
        <f>D25/H25</f>
        <v>1</v>
      </c>
      <c r="AC25" s="1577">
        <f>D25/J25</f>
        <v>1</v>
      </c>
    </row>
    <row r="26" spans="1:29" ht="15">
      <c r="A26" s="2886"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01"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2"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02"/>
      <c r="Q27" s="1606" t="str">
        <f t="shared" si="11"/>
        <v>成新率</v>
      </c>
      <c r="R27" s="1578" t="s">
        <v>8</v>
      </c>
      <c r="S27" s="1579" t="e">
        <f t="shared" si="12"/>
        <v>#N/A</v>
      </c>
      <c r="T27" s="1578" t="s">
        <v>8</v>
      </c>
      <c r="U27" s="1579" t="e">
        <f t="shared" si="13"/>
        <v>#N/A</v>
      </c>
      <c r="V27" s="1578" t="s">
        <v>8</v>
      </c>
      <c r="W27" s="1579" t="e">
        <f t="shared" si="14"/>
        <v>#N/A</v>
      </c>
      <c r="X27" s="1580"/>
      <c r="Y27" s="3402"/>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02"/>
      <c r="Q28" s="1573" t="str">
        <f t="shared" si="11"/>
        <v>物业等级</v>
      </c>
      <c r="R28" s="1574" t="s">
        <v>8</v>
      </c>
      <c r="S28" s="1575">
        <f t="shared" si="12"/>
        <v>100</v>
      </c>
      <c r="T28" s="1574" t="s">
        <v>8</v>
      </c>
      <c r="U28" s="1575">
        <f t="shared" si="13"/>
        <v>100</v>
      </c>
      <c r="V28" s="1574" t="s">
        <v>8</v>
      </c>
      <c r="W28" s="1575">
        <f t="shared" si="14"/>
        <v>100</v>
      </c>
      <c r="X28" s="1568"/>
      <c r="Y28" s="3402"/>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02"/>
      <c r="Q29" s="1573" t="str">
        <f t="shared" si="11"/>
        <v>有无电梯</v>
      </c>
      <c r="R29" s="1574" t="s">
        <v>8</v>
      </c>
      <c r="S29" s="1575">
        <f t="shared" si="12"/>
        <v>100</v>
      </c>
      <c r="T29" s="1574" t="s">
        <v>8</v>
      </c>
      <c r="U29" s="1575">
        <f t="shared" si="13"/>
        <v>100</v>
      </c>
      <c r="V29" s="1574" t="s">
        <v>8</v>
      </c>
      <c r="W29" s="1575">
        <f t="shared" si="14"/>
        <v>100</v>
      </c>
      <c r="X29" s="1568"/>
      <c r="Y29" s="3402"/>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02"/>
      <c r="Q30" s="1573" t="str">
        <f t="shared" si="11"/>
        <v>建筑面积</v>
      </c>
      <c r="R30" s="1574" t="s">
        <v>8</v>
      </c>
      <c r="S30" s="1575" t="e">
        <f t="shared" si="12"/>
        <v>#N/A</v>
      </c>
      <c r="T30" s="1574" t="s">
        <v>8</v>
      </c>
      <c r="U30" s="1575" t="e">
        <f t="shared" si="13"/>
        <v>#N/A</v>
      </c>
      <c r="V30" s="1574" t="s">
        <v>8</v>
      </c>
      <c r="W30" s="1575" t="e">
        <f t="shared" si="14"/>
        <v>#N/A</v>
      </c>
      <c r="X30" s="1568"/>
      <c r="Y30" s="3402"/>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02"/>
      <c r="Q31" s="1151" t="str">
        <f t="shared" si="11"/>
        <v>是否封闭</v>
      </c>
      <c r="R31" s="1569" t="s">
        <v>8</v>
      </c>
      <c r="S31" s="1570">
        <f t="shared" si="12"/>
        <v>100</v>
      </c>
      <c r="T31" s="1569" t="s">
        <v>8</v>
      </c>
      <c r="U31" s="1570">
        <f t="shared" si="13"/>
        <v>100</v>
      </c>
      <c r="V31" s="1569" t="s">
        <v>8</v>
      </c>
      <c r="W31" s="1570">
        <f t="shared" si="14"/>
        <v>100</v>
      </c>
      <c r="X31" s="1571"/>
      <c r="Y31" s="340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02" t="s">
        <v>550</v>
      </c>
      <c r="Q32" s="1573">
        <f t="shared" si="11"/>
        <v>111</v>
      </c>
      <c r="R32" s="1574" t="s">
        <v>8</v>
      </c>
      <c r="S32" s="1575">
        <f t="shared" si="12"/>
        <v>100</v>
      </c>
      <c r="T32" s="1574" t="s">
        <v>8</v>
      </c>
      <c r="U32" s="1575">
        <f t="shared" si="13"/>
        <v>100</v>
      </c>
      <c r="V32" s="1574" t="s">
        <v>8</v>
      </c>
      <c r="W32" s="1575">
        <f t="shared" si="14"/>
        <v>100</v>
      </c>
      <c r="X32" s="1568"/>
      <c r="Y32" s="3402"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02"/>
      <c r="Q33" s="1573">
        <f t="shared" si="11"/>
        <v>111</v>
      </c>
      <c r="R33" s="1574" t="s">
        <v>8</v>
      </c>
      <c r="S33" s="1575">
        <f t="shared" si="12"/>
        <v>100</v>
      </c>
      <c r="T33" s="1574" t="s">
        <v>8</v>
      </c>
      <c r="U33" s="1575">
        <f t="shared" si="13"/>
        <v>100</v>
      </c>
      <c r="V33" s="1574" t="s">
        <v>8</v>
      </c>
      <c r="W33" s="1575">
        <f t="shared" si="14"/>
        <v>100</v>
      </c>
      <c r="X33" s="1568"/>
      <c r="Y33" s="340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02"/>
      <c r="Q34" s="1573">
        <f t="shared" si="11"/>
        <v>111</v>
      </c>
      <c r="R34" s="1574" t="s">
        <v>8</v>
      </c>
      <c r="S34" s="1575">
        <f t="shared" si="12"/>
        <v>100</v>
      </c>
      <c r="T34" s="1574" t="s">
        <v>8</v>
      </c>
      <c r="U34" s="1575">
        <f t="shared" si="13"/>
        <v>100</v>
      </c>
      <c r="V34" s="1574" t="s">
        <v>8</v>
      </c>
      <c r="W34" s="1575">
        <f t="shared" si="14"/>
        <v>100</v>
      </c>
      <c r="X34" s="1568"/>
      <c r="Y34" s="3402"/>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65" t="str">
        <f>A35</f>
        <v>成交单价（元/平方米）</v>
      </c>
      <c r="Q35" s="3365"/>
      <c r="R35" s="3479">
        <f>E35</f>
        <v>0</v>
      </c>
      <c r="S35" s="3479"/>
      <c r="T35" s="3479">
        <f>G35</f>
        <v>0</v>
      </c>
      <c r="U35" s="3479"/>
      <c r="V35" s="3479">
        <f>I35</f>
        <v>0</v>
      </c>
      <c r="W35" s="3479"/>
      <c r="X35" s="1560"/>
      <c r="Y35" s="1582"/>
      <c r="Z35" s="1560"/>
      <c r="AA35" s="1560"/>
      <c r="AB35" s="1560"/>
      <c r="AC35" s="1560"/>
    </row>
    <row r="36" spans="1:29" ht="15.75" thickBot="1">
      <c r="A36" s="615" t="s">
        <v>2760</v>
      </c>
      <c r="B36" s="888"/>
      <c r="C36" s="2613" t="e">
        <f>R37</f>
        <v>#DIV/0!</v>
      </c>
      <c r="D36" s="2614"/>
      <c r="E36" s="2615" t="e">
        <f>R36</f>
        <v>#DIV/0!</v>
      </c>
      <c r="F36" s="2615"/>
      <c r="G36" s="2613" t="e">
        <f>T36</f>
        <v>#DIV/0!</v>
      </c>
      <c r="H36" s="2614"/>
      <c r="I36" s="2615" t="e">
        <f>V36</f>
        <v>#DIV/0!</v>
      </c>
      <c r="J36" s="2614"/>
      <c r="K36" s="1613"/>
      <c r="L36" s="2145"/>
      <c r="M36" s="2146"/>
      <c r="N36" s="2135"/>
      <c r="O36" s="2146"/>
      <c r="P36" s="3365" t="str">
        <f>A36</f>
        <v>比较价格（元/平方米）</v>
      </c>
      <c r="Q36" s="3365"/>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60"/>
      <c r="Y36" s="1560"/>
      <c r="Z36" s="1560"/>
      <c r="AA36" s="1560"/>
      <c r="AB36" s="1560"/>
      <c r="AC36" s="1560"/>
    </row>
    <row r="37" spans="1:29" ht="15.75" thickBot="1">
      <c r="A37" s="621" t="s">
        <v>2937</v>
      </c>
      <c r="B37" s="622"/>
      <c r="C37" s="2616" t="e">
        <f>R37</f>
        <v>#DIV/0!</v>
      </c>
      <c r="D37" s="2616"/>
      <c r="E37" s="2616"/>
      <c r="F37" s="2616"/>
      <c r="G37" s="2616"/>
      <c r="H37" s="2616"/>
      <c r="I37" s="2616"/>
      <c r="J37" s="2616"/>
      <c r="K37" s="1614"/>
      <c r="L37" s="2145"/>
      <c r="M37" s="2146"/>
      <c r="N37" s="2146"/>
      <c r="O37" s="2146"/>
      <c r="P37" s="3362" t="str">
        <f>A37</f>
        <v>估价对象XX用房的比较价格（楼面单价，元/平方米）</v>
      </c>
      <c r="Q37" s="3363"/>
      <c r="R37" s="3478" t="e">
        <f>IF(F1="售价",ROUND(AVERAGE(R36:V36),0),ROUND(AVERAGE(R36:V36),1))</f>
        <v>#DIV/0!</v>
      </c>
      <c r="S37" s="3478"/>
      <c r="T37" s="3478"/>
      <c r="U37" s="3478"/>
      <c r="V37" s="3478"/>
      <c r="W37" s="3478"/>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2019-2</v>
      </c>
      <c r="D46" s="2783">
        <f>EDATE(C46,-1)</f>
        <v>43466</v>
      </c>
      <c r="E46" s="2783">
        <f t="shared" ref="E46:O46" si="16">EDATE(D46,-1)</f>
        <v>43435</v>
      </c>
      <c r="F46" s="2783">
        <f t="shared" si="16"/>
        <v>43405</v>
      </c>
      <c r="G46" s="2783">
        <f t="shared" si="16"/>
        <v>43374</v>
      </c>
      <c r="H46" s="2783">
        <f t="shared" si="16"/>
        <v>43344</v>
      </c>
      <c r="I46" s="2783">
        <f t="shared" si="16"/>
        <v>43313</v>
      </c>
      <c r="J46" s="2783">
        <f t="shared" si="16"/>
        <v>43282</v>
      </c>
      <c r="K46" s="2783">
        <f t="shared" si="16"/>
        <v>43252</v>
      </c>
      <c r="L46" s="2783">
        <f t="shared" si="16"/>
        <v>43221</v>
      </c>
      <c r="M46" s="2783">
        <f t="shared" si="16"/>
        <v>43191</v>
      </c>
      <c r="N46" s="2783">
        <f t="shared" si="16"/>
        <v>43160</v>
      </c>
      <c r="O46" s="2783">
        <f t="shared" si="16"/>
        <v>43132</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68972.94平方米。根据《建设工程规划许可证》[]、《出让合同》[]，估价对象规划建筑面积为87244平方米。</v>
      </c>
    </row>
    <row r="7" spans="1:4" ht="93.75">
      <c r="A7" s="2852" t="s">
        <v>2748</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2019年2月14日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根据《国有土地使用证》[]，估价对象（分摊）出让国有建设用地使用权面积为68972.94平方米。根据《建设工程规划许可证》[]、《出让合同》[]，估价对象规划建筑面积为87244平方米。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2749</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88" t="s">
        <v>2305</v>
      </c>
      <c r="D1" s="3489"/>
      <c r="E1" s="3489"/>
      <c r="F1" s="3489"/>
      <c r="G1" s="3489"/>
      <c r="H1" s="3489"/>
      <c r="I1" s="3489"/>
      <c r="J1" s="3489"/>
      <c r="K1" s="3489"/>
      <c r="L1" s="3489"/>
      <c r="M1" s="3489"/>
      <c r="N1" s="3489"/>
      <c r="O1" s="3489"/>
      <c r="P1" s="3489"/>
      <c r="Q1" s="3489"/>
      <c r="R1" s="3489"/>
      <c r="S1" s="3490"/>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5"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7" t="s">
        <v>2929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7" t="s">
        <v>2928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5"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5"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5"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85" t="s">
        <v>20</v>
      </c>
      <c r="D22" s="3486"/>
      <c r="E22" s="3486"/>
      <c r="F22" s="3486"/>
      <c r="G22" s="3486"/>
      <c r="H22" s="3486"/>
      <c r="I22" s="3486"/>
      <c r="J22" s="3486"/>
      <c r="K22" s="3486"/>
      <c r="L22" s="3486"/>
      <c r="M22" s="3486"/>
      <c r="N22" s="3486"/>
      <c r="O22" s="3486"/>
      <c r="P22" s="3486"/>
      <c r="Q22" s="3487"/>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2788</v>
      </c>
      <c r="C1" s="2982">
        <f>项目基本情况!D3</f>
        <v>43510</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2819</v>
      </c>
      <c r="C2" s="2983">
        <f>'数据-取费表'!B22</f>
        <v>2</v>
      </c>
      <c r="D2" s="2978" t="s">
        <v>2789</v>
      </c>
      <c r="E2" s="2981">
        <f ca="1">INDIRECT("I"&amp;$I$1)/100</f>
        <v>4.7500000000000001E-2</v>
      </c>
      <c r="G2" s="2918"/>
      <c r="H2" s="2918"/>
      <c r="I2" s="2918" t="s">
        <v>2790</v>
      </c>
      <c r="K2" s="2918"/>
      <c r="L2" s="2918"/>
      <c r="M2" s="2918"/>
      <c r="N2" s="2918" t="s">
        <v>2791</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2821</v>
      </c>
      <c r="C3" s="2980">
        <f>'数据-取费表'!B19</f>
        <v>0</v>
      </c>
      <c r="D3" s="2978" t="s">
        <v>2789</v>
      </c>
      <c r="E3" s="2981">
        <f ca="1">INDIRECT("J"&amp;$J$1)/100</f>
        <v>0</v>
      </c>
      <c r="G3" s="2920" t="s">
        <v>2792</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2820</v>
      </c>
      <c r="C4" s="2981">
        <f ca="1">N4/100</f>
        <v>1.4999999999999999E-2</v>
      </c>
      <c r="G4" s="2926" t="s">
        <v>2793</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2794</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2795</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2796</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2797</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2798</v>
      </c>
      <c r="C10" s="2945"/>
      <c r="D10" s="2945"/>
      <c r="E10" s="2945"/>
      <c r="F10" s="2945"/>
      <c r="G10" s="2945"/>
      <c r="H10" s="2945"/>
      <c r="I10" s="2919"/>
      <c r="J10" s="2919"/>
      <c r="K10" s="2945"/>
      <c r="L10" s="2946" t="s">
        <v>2799</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2800</v>
      </c>
      <c r="C11" s="2950" t="s">
        <v>2801</v>
      </c>
      <c r="D11" s="2951" t="s">
        <v>2802</v>
      </c>
      <c r="E11" s="2952"/>
      <c r="F11" s="2951" t="s">
        <v>2803</v>
      </c>
      <c r="G11" s="2953"/>
      <c r="H11" s="2952"/>
      <c r="I11" s="2951" t="s">
        <v>2804</v>
      </c>
      <c r="J11" s="2952"/>
      <c r="K11" s="2948"/>
      <c r="L11" s="2949" t="s">
        <v>2800</v>
      </c>
      <c r="M11" s="2950" t="s">
        <v>2801</v>
      </c>
      <c r="N11" s="2949" t="s">
        <v>2805</v>
      </c>
      <c r="O11" s="2951" t="s">
        <v>2806</v>
      </c>
      <c r="P11" s="2953"/>
      <c r="Q11" s="2953"/>
      <c r="R11" s="2953"/>
      <c r="S11" s="2953"/>
      <c r="T11" s="2952"/>
      <c r="U11" s="2951" t="s">
        <v>2807</v>
      </c>
      <c r="V11" s="2953"/>
      <c r="W11" s="2952"/>
      <c r="X11" s="2949" t="s">
        <v>2808</v>
      </c>
      <c r="Y11" s="2949" t="s">
        <v>2809</v>
      </c>
      <c r="Z11" s="2949" t="s">
        <v>2810</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2811</v>
      </c>
      <c r="E12" s="2958" t="s">
        <v>2812</v>
      </c>
      <c r="F12" s="2958" t="s">
        <v>2813</v>
      </c>
      <c r="G12" s="2958" t="s">
        <v>2814</v>
      </c>
      <c r="H12" s="2958" t="s">
        <v>2796</v>
      </c>
      <c r="I12" s="2959" t="s">
        <v>2815</v>
      </c>
      <c r="J12" s="2959" t="s">
        <v>2815</v>
      </c>
      <c r="K12" s="2955"/>
      <c r="L12" s="2956"/>
      <c r="M12" s="2957"/>
      <c r="N12" s="2956"/>
      <c r="O12" s="2959" t="s">
        <v>2816</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2817</v>
      </c>
      <c r="C13" s="2963">
        <v>42301</v>
      </c>
      <c r="D13" s="2964">
        <v>4.3499999999999996</v>
      </c>
      <c r="E13" s="2964">
        <v>4.3499999999999996</v>
      </c>
      <c r="F13" s="2964">
        <v>4.75</v>
      </c>
      <c r="G13" s="2964">
        <v>4.75</v>
      </c>
      <c r="H13" s="2964">
        <v>4.9000000000000004</v>
      </c>
      <c r="I13" s="2964">
        <v>2.75</v>
      </c>
      <c r="J13" s="2964">
        <v>3.25</v>
      </c>
      <c r="K13" s="2961"/>
      <c r="L13" s="2962" t="s">
        <v>2817</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2818</v>
      </c>
      <c r="Y42" s="2968" t="s">
        <v>2818</v>
      </c>
      <c r="Z42" s="2968" t="s">
        <v>2818</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2818</v>
      </c>
      <c r="Y43" s="2968" t="s">
        <v>2818</v>
      </c>
      <c r="Z43" s="2968" t="s">
        <v>2818</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2818</v>
      </c>
      <c r="Y44" s="2968" t="s">
        <v>2818</v>
      </c>
      <c r="Z44" s="2968" t="s">
        <v>2818</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2818</v>
      </c>
      <c r="Y45" s="2968" t="s">
        <v>2818</v>
      </c>
      <c r="Z45" s="2968" t="s">
        <v>2818</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2818</v>
      </c>
      <c r="Y46" s="2968" t="s">
        <v>2818</v>
      </c>
      <c r="Z46" s="2968" t="s">
        <v>2818</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2818</v>
      </c>
      <c r="Y47" s="2968" t="s">
        <v>2818</v>
      </c>
      <c r="Z47" s="2968" t="s">
        <v>2818</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2818</v>
      </c>
      <c r="Y48" s="2968" t="s">
        <v>2818</v>
      </c>
      <c r="Z48" s="2968" t="s">
        <v>2818</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2818</v>
      </c>
      <c r="Y49" s="2968" t="s">
        <v>2818</v>
      </c>
      <c r="Z49" s="2968" t="s">
        <v>2818</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2818</v>
      </c>
      <c r="Y50" s="2968" t="s">
        <v>2818</v>
      </c>
      <c r="Z50" s="2968" t="s">
        <v>2818</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2818</v>
      </c>
      <c r="V51" s="2968" t="s">
        <v>2818</v>
      </c>
      <c r="W51" s="2968" t="s">
        <v>2818</v>
      </c>
      <c r="X51" s="2968" t="s">
        <v>2818</v>
      </c>
      <c r="Y51" s="2968" t="s">
        <v>2818</v>
      </c>
      <c r="Z51" s="2968" t="s">
        <v>2818</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2818</v>
      </c>
      <c r="J55" s="2968" t="s">
        <v>2818</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2039</v>
      </c>
      <c r="B1" s="3202"/>
      <c r="C1" s="3202"/>
      <c r="D1" s="3202"/>
      <c r="E1" s="3202"/>
      <c r="F1" s="3202"/>
      <c r="G1" s="3202"/>
      <c r="H1" s="3202"/>
      <c r="I1" s="3202"/>
      <c r="J1" s="3202"/>
      <c r="K1" s="3202"/>
      <c r="L1" s="3202"/>
      <c r="M1" s="3202"/>
      <c r="N1" s="3202"/>
      <c r="O1" s="3202"/>
      <c r="P1" s="3202"/>
      <c r="Q1" s="3202"/>
      <c r="R1" s="3202"/>
    </row>
    <row r="2" spans="1:18">
      <c r="A2" s="1808" t="s">
        <v>2041</v>
      </c>
      <c r="B2" s="1808"/>
      <c r="C2" s="1808"/>
      <c r="D2" s="1808"/>
      <c r="E2" s="1808"/>
      <c r="F2" s="1808"/>
      <c r="G2" s="1808"/>
      <c r="H2" s="1808"/>
      <c r="I2" s="1809"/>
      <c r="J2" s="1809"/>
      <c r="K2" s="1810" t="str">
        <f>"估价期日："&amp;TEXT(项目基本情况!D3,"yyyy年m月d日;;")</f>
        <v>估价期日：2019年2月14日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3" t="s">
        <v>2030</v>
      </c>
      <c r="B3" s="3203" t="s">
        <v>2731</v>
      </c>
      <c r="C3" s="3204" t="s">
        <v>2031</v>
      </c>
      <c r="D3" s="3203" t="s">
        <v>2735</v>
      </c>
      <c r="E3" s="3198" t="s">
        <v>2032</v>
      </c>
      <c r="F3" s="3198"/>
      <c r="G3" s="3198"/>
      <c r="H3" s="3198" t="s">
        <v>2033</v>
      </c>
      <c r="I3" s="3198"/>
      <c r="J3" s="3198"/>
      <c r="K3" s="3204" t="s">
        <v>2034</v>
      </c>
      <c r="L3" s="3204" t="s">
        <v>2035</v>
      </c>
      <c r="M3" s="3203" t="s">
        <v>2732</v>
      </c>
      <c r="N3" s="3205" t="str">
        <f>"（分摊）"&amp;项目基本情况!B16&amp;"国有建设用地使用权面积/㎡"</f>
        <v>（分摊）出让国有建设用地使用权面积/㎡</v>
      </c>
      <c r="O3" s="3203" t="s">
        <v>2064</v>
      </c>
      <c r="P3" s="3204" t="s">
        <v>2044</v>
      </c>
      <c r="Q3" s="3204" t="s">
        <v>2065</v>
      </c>
      <c r="R3" s="3204" t="s">
        <v>2036</v>
      </c>
    </row>
    <row r="4" spans="1:18" ht="36.75" customHeight="1">
      <c r="A4" s="3203"/>
      <c r="B4" s="3203"/>
      <c r="C4" s="3204"/>
      <c r="D4" s="3203"/>
      <c r="E4" s="2629" t="s">
        <v>2043</v>
      </c>
      <c r="F4" s="2629" t="s">
        <v>2744</v>
      </c>
      <c r="G4" s="2629" t="s">
        <v>2037</v>
      </c>
      <c r="H4" s="2629" t="s">
        <v>2038</v>
      </c>
      <c r="I4" s="2629" t="s">
        <v>2745</v>
      </c>
      <c r="J4" s="2629" t="s">
        <v>2037</v>
      </c>
      <c r="K4" s="3204"/>
      <c r="L4" s="3204"/>
      <c r="M4" s="3203"/>
      <c r="N4" s="3205"/>
      <c r="O4" s="3203"/>
      <c r="P4" s="3204"/>
      <c r="Q4" s="3204"/>
      <c r="R4" s="3204"/>
    </row>
    <row r="5" spans="1:18" ht="135" customHeight="1">
      <c r="A5" s="1944" t="s">
        <v>2655</v>
      </c>
      <c r="B5" s="2846" t="s">
        <v>2653</v>
      </c>
      <c r="C5" s="2628">
        <v>22</v>
      </c>
      <c r="D5" s="2627" t="s">
        <v>2654</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68972.94</v>
      </c>
      <c r="O5" s="1811">
        <f>项目基本情况!C21</f>
        <v>87244</v>
      </c>
      <c r="P5" s="1811">
        <f ca="1">结果表!E42</f>
        <v>6598</v>
      </c>
      <c r="Q5" s="1811">
        <f ca="1">结果表!D42</f>
        <v>5216</v>
      </c>
      <c r="R5" s="1812">
        <f ca="1">结果表!C42</f>
        <v>45505</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813">
        <f ca="1">结果表!O39</f>
        <v>45505</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813" t="str">
        <f>结果表!O40</f>
        <v>——</v>
      </c>
    </row>
    <row r="8" spans="1:18">
      <c r="A8" s="3199">
        <f>IF(项目基本情况!B9="市场价格","——",项目基本情况!E9)</f>
        <v>0</v>
      </c>
      <c r="B8" s="3200"/>
      <c r="C8" s="3200"/>
      <c r="D8" s="3200"/>
      <c r="E8" s="3200"/>
      <c r="F8" s="3200"/>
      <c r="G8" s="3200"/>
      <c r="H8" s="3200"/>
      <c r="I8" s="3200"/>
      <c r="J8" s="3200"/>
      <c r="K8" s="3200"/>
      <c r="L8" s="3200"/>
      <c r="M8" s="3200"/>
      <c r="N8" s="3200"/>
      <c r="O8" s="3200"/>
      <c r="P8" s="3200"/>
      <c r="Q8" s="3201"/>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07" t="s">
        <v>2066</v>
      </c>
      <c r="B1" s="3207"/>
      <c r="C1" s="3207"/>
      <c r="D1" s="3207"/>
    </row>
    <row r="2" spans="1:4" ht="47.25" customHeight="1">
      <c r="A2" s="3208" t="str">
        <f>"1.权利限制："&amp;项目基本情况!L24&amp;"未设定租赁等其他他项权利。"</f>
        <v>1.权利限制：根据估价对象《不动产权证书》原件、《国有土地使用权》复印件，截至估价期日，估价对象抵押权未见登记。未设定租赁等其他他项权利。</v>
      </c>
      <c r="B2" s="3208"/>
      <c r="C2" s="3208"/>
      <c r="D2" s="3208"/>
    </row>
    <row r="3" spans="1:4" ht="48" customHeight="1">
      <c r="A3" s="32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06" t="s">
        <v>2067</v>
      </c>
      <c r="B5" s="3206"/>
      <c r="C5" s="3206"/>
      <c r="D5" s="3206"/>
    </row>
    <row r="6" spans="1:4">
      <c r="A6" s="3207" t="s">
        <v>2045</v>
      </c>
      <c r="B6" s="3207"/>
      <c r="C6" s="3207"/>
      <c r="D6" s="3207"/>
    </row>
    <row r="7" spans="1:4" ht="33" customHeight="1">
      <c r="A7" s="3207" t="s">
        <v>2576</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9"/>
      <c r="C11" s="3209"/>
      <c r="D11" s="3209"/>
    </row>
    <row r="12" spans="1:4" ht="168" customHeight="1">
      <c r="A12" s="3206" t="s">
        <v>2069</v>
      </c>
      <c r="B12" s="3206"/>
      <c r="C12" s="3206"/>
      <c r="D12" s="3206"/>
    </row>
    <row r="13" spans="1:4">
      <c r="A13" s="3210" t="s">
        <v>2746</v>
      </c>
      <c r="B13" s="3210"/>
      <c r="C13" s="3210"/>
      <c r="D13" s="3210"/>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2702</v>
      </c>
      <c r="B17" s="3207"/>
      <c r="C17" s="3207"/>
      <c r="D17" s="3207"/>
    </row>
    <row r="18" spans="1:4">
      <c r="A18" s="3207" t="s">
        <v>2694</v>
      </c>
      <c r="B18" s="3207"/>
      <c r="C18" s="3207"/>
      <c r="D18" s="3207"/>
    </row>
    <row r="19" spans="1:4">
      <c r="A19" s="2847" t="s">
        <v>2695</v>
      </c>
      <c r="B19" s="2847" t="s">
        <v>2696</v>
      </c>
      <c r="C19" s="2847" t="s">
        <v>2697</v>
      </c>
      <c r="D19" s="2847" t="s">
        <v>2698</v>
      </c>
    </row>
    <row r="20" spans="1:4">
      <c r="A20" s="2847" t="str">
        <f>项目基本情况!B4</f>
        <v>土地估价师</v>
      </c>
      <c r="B20" s="2847">
        <f>项目基本情况!C4</f>
        <v>0</v>
      </c>
      <c r="C20" s="2849"/>
      <c r="D20" s="1801" t="s">
        <v>2703</v>
      </c>
    </row>
    <row r="21" spans="1:4">
      <c r="A21" s="2847" t="str">
        <f>项目基本情况!D4</f>
        <v>土地估价师</v>
      </c>
      <c r="B21" s="2847">
        <f>项目基本情况!E4</f>
        <v>0</v>
      </c>
      <c r="C21" s="2849"/>
      <c r="D21" s="1801" t="s">
        <v>2704</v>
      </c>
    </row>
    <row r="23" spans="1:4">
      <c r="A23" s="3207" t="s">
        <v>2699</v>
      </c>
      <c r="B23" s="3207"/>
      <c r="C23" s="3207"/>
      <c r="D23" s="3207"/>
    </row>
    <row r="24" spans="1:4">
      <c r="A24" s="2847" t="s">
        <v>2695</v>
      </c>
      <c r="B24" s="2847" t="s">
        <v>2700</v>
      </c>
      <c r="C24" s="2847" t="s">
        <v>2697</v>
      </c>
      <c r="D24" s="2847" t="s">
        <v>2698</v>
      </c>
    </row>
    <row r="25" spans="1:4">
      <c r="A25" s="2850" t="s">
        <v>2701</v>
      </c>
      <c r="B25" s="2847" t="s">
        <v>952</v>
      </c>
      <c r="C25" s="2849"/>
      <c r="D25" s="1801" t="s">
        <v>2704</v>
      </c>
    </row>
    <row r="29" spans="1:4">
      <c r="D29" s="2848" t="s">
        <v>2040</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8" t="s">
        <v>53</v>
      </c>
      <c r="B15" s="3219" t="s">
        <v>846</v>
      </c>
      <c r="C15" s="3215"/>
    </row>
    <row r="16" spans="1:7" ht="14.25">
      <c r="A16" s="3218"/>
      <c r="B16" s="3216" t="s">
        <v>54</v>
      </c>
      <c r="C16" s="1172" t="s">
        <v>53</v>
      </c>
    </row>
    <row r="17" spans="1:3" ht="14.25">
      <c r="A17" s="3218"/>
      <c r="B17" s="3216"/>
      <c r="C17" s="1172" t="s">
        <v>55</v>
      </c>
    </row>
    <row r="18" spans="1:3" ht="14.25">
      <c r="A18" s="3218"/>
      <c r="B18" s="3216"/>
      <c r="C18" s="1172" t="s">
        <v>56</v>
      </c>
    </row>
    <row r="19" spans="1:3" ht="14.25">
      <c r="A19" s="3218"/>
      <c r="B19" s="3214" t="s">
        <v>57</v>
      </c>
      <c r="C19" s="3215"/>
    </row>
    <row r="20" spans="1:3" ht="14.25">
      <c r="A20" s="1173" t="s">
        <v>58</v>
      </c>
      <c r="B20" s="1174"/>
      <c r="C20" s="1175"/>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6" t="s">
        <v>837</v>
      </c>
    </row>
    <row r="25" spans="1:3" ht="14.25">
      <c r="A25" s="3217"/>
      <c r="B25" s="3221"/>
      <c r="C25" s="1176" t="s">
        <v>838</v>
      </c>
    </row>
    <row r="26" spans="1:3" ht="14.25">
      <c r="A26" s="3217"/>
      <c r="B26" s="3221"/>
      <c r="C26" s="1176" t="s">
        <v>839</v>
      </c>
    </row>
    <row r="27" spans="1:3" ht="14.25">
      <c r="A27" s="3217"/>
      <c r="B27" s="3221"/>
      <c r="C27" s="1176" t="s">
        <v>840</v>
      </c>
    </row>
    <row r="28" spans="1:3" ht="14.25">
      <c r="A28" s="3217"/>
      <c r="B28" s="3221"/>
      <c r="C28" s="1176" t="s">
        <v>841</v>
      </c>
    </row>
    <row r="29" spans="1:3" ht="14.25">
      <c r="A29" s="3217"/>
      <c r="B29" s="3221"/>
      <c r="C29" s="1176" t="s">
        <v>842</v>
      </c>
    </row>
    <row r="30" spans="1:3" ht="14.25">
      <c r="A30" s="3217"/>
      <c r="B30" s="3221"/>
      <c r="C30" s="1176" t="s">
        <v>843</v>
      </c>
    </row>
    <row r="31" spans="1:3" ht="14.25">
      <c r="A31" s="3217"/>
      <c r="B31" s="3221"/>
      <c r="C31" s="1176" t="s">
        <v>844</v>
      </c>
    </row>
    <row r="32" spans="1:3" ht="14.25">
      <c r="A32" s="3217"/>
      <c r="B32" s="3221"/>
      <c r="C32" s="1176" t="s">
        <v>1647</v>
      </c>
    </row>
    <row r="33" spans="1:3" ht="14.25">
      <c r="A33" s="3217"/>
      <c r="B33" s="3211" t="s">
        <v>1653</v>
      </c>
      <c r="C33" s="1176" t="s">
        <v>1648</v>
      </c>
    </row>
    <row r="34" spans="1:3" ht="14.25">
      <c r="A34" s="3217"/>
      <c r="B34" s="3212"/>
      <c r="C34" s="1181" t="s">
        <v>1649</v>
      </c>
    </row>
    <row r="35" spans="1:3" ht="14.25">
      <c r="A35" s="3217"/>
      <c r="B35" s="3212"/>
      <c r="C35" s="1182" t="s">
        <v>1650</v>
      </c>
    </row>
    <row r="36" spans="1:3" ht="14.25">
      <c r="A36" s="3217"/>
      <c r="B36" s="3212"/>
      <c r="C36" s="1182" t="s">
        <v>1651</v>
      </c>
    </row>
    <row r="37" spans="1:3" ht="14.25">
      <c r="A37" s="3217"/>
      <c r="B37" s="3213"/>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1908</v>
      </c>
      <c r="B2" s="3152">
        <f ca="1">TODAY()</f>
        <v>43511</v>
      </c>
      <c r="C2" s="3153" t="s">
        <v>1909</v>
      </c>
      <c r="D2" s="3153"/>
    </row>
    <row r="3" spans="1:6" ht="20.25" customHeight="1">
      <c r="A3" s="3155" t="s">
        <v>1910</v>
      </c>
      <c r="B3" s="3156" t="s">
        <v>1911</v>
      </c>
      <c r="C3" s="3156" t="s">
        <v>1912</v>
      </c>
      <c r="D3" s="3157" t="s">
        <v>1913</v>
      </c>
      <c r="E3" s="3156" t="s">
        <v>1914</v>
      </c>
      <c r="F3" s="3156" t="s">
        <v>1912</v>
      </c>
    </row>
    <row r="4" spans="1:6" ht="20.25" customHeight="1">
      <c r="A4" s="3156" t="s">
        <v>1915</v>
      </c>
      <c r="B4" s="3156">
        <f ca="1">IF(C4&lt;B2,"已过期",1119970066)</f>
        <v>1119970066</v>
      </c>
      <c r="C4" s="3158">
        <v>43849</v>
      </c>
      <c r="D4" s="3156" t="s">
        <v>1915</v>
      </c>
      <c r="E4" s="3156">
        <f ca="1">IF(F4&lt;B2,"已过期",96010014)</f>
        <v>96010014</v>
      </c>
      <c r="F4" s="3159">
        <v>47118</v>
      </c>
    </row>
    <row r="5" spans="1:6" ht="20.25" customHeight="1">
      <c r="A5" s="3156" t="s">
        <v>1916</v>
      </c>
      <c r="B5" s="3156">
        <f ca="1">IF(C5&lt;B2,"已过期",1119970074)</f>
        <v>1119970074</v>
      </c>
      <c r="C5" s="3158">
        <v>43849</v>
      </c>
      <c r="D5" s="3156" t="s">
        <v>1916</v>
      </c>
      <c r="E5" s="3156">
        <f ca="1">IF(F5&lt;B2,"已过期",2002110027)</f>
        <v>2002110027</v>
      </c>
      <c r="F5" s="3159">
        <v>46752</v>
      </c>
    </row>
    <row r="6" spans="1:6" ht="20.25" customHeight="1">
      <c r="A6" s="3156" t="s">
        <v>1917</v>
      </c>
      <c r="B6" s="3156">
        <f ca="1">IF(C6&lt;B2,"已过期",1119970111)</f>
        <v>1119970111</v>
      </c>
      <c r="C6" s="3158">
        <v>43849</v>
      </c>
      <c r="D6" s="3156" t="s">
        <v>1917</v>
      </c>
      <c r="E6" s="3156">
        <f ca="1">IF(F6&lt;B2,"已过期",94010078)</f>
        <v>94010078</v>
      </c>
      <c r="F6" s="3159">
        <v>46387</v>
      </c>
    </row>
    <row r="7" spans="1:6" ht="20.25" customHeight="1">
      <c r="A7" s="3156" t="s">
        <v>1918</v>
      </c>
      <c r="B7" s="3156">
        <f ca="1">IF(C7&lt;B2,"已过期",1120050019)</f>
        <v>1120050019</v>
      </c>
      <c r="C7" s="3158">
        <v>44395</v>
      </c>
      <c r="D7" s="3156" t="s">
        <v>1918</v>
      </c>
      <c r="E7" s="3156">
        <f ca="1">IF(F7&lt;B2,"已过期",2002110030)</f>
        <v>2002110030</v>
      </c>
      <c r="F7" s="3159">
        <v>46387</v>
      </c>
    </row>
    <row r="8" spans="1:6" ht="20.25" customHeight="1">
      <c r="A8" s="3156" t="s">
        <v>1919</v>
      </c>
      <c r="B8" s="3156">
        <f ca="1">IF(C8&lt;B2,"已过期",1120000080)</f>
        <v>1120000080</v>
      </c>
      <c r="C8" s="3158">
        <v>43849</v>
      </c>
      <c r="D8" s="3156" t="s">
        <v>1919</v>
      </c>
      <c r="E8" s="3156">
        <f ca="1">IF(F8&lt;B2,"已过期",2000110082)</f>
        <v>2000110082</v>
      </c>
      <c r="F8" s="3159">
        <v>46387</v>
      </c>
    </row>
    <row r="9" spans="1:6" ht="20.25" customHeight="1">
      <c r="A9" s="3156" t="s">
        <v>1920</v>
      </c>
      <c r="B9" s="3156">
        <f ca="1">IF(C9&lt;B2,"已过期",1419970001)</f>
        <v>1419970001</v>
      </c>
      <c r="C9" s="3158">
        <v>43867</v>
      </c>
      <c r="D9" s="3156" t="s">
        <v>1920</v>
      </c>
      <c r="E9" s="3156">
        <f ca="1">IF(F9&lt;B2,"已过期",2002110125)</f>
        <v>2002110125</v>
      </c>
      <c r="F9" s="3159">
        <v>47118</v>
      </c>
    </row>
    <row r="10" spans="1:6" ht="20.25" customHeight="1">
      <c r="A10" s="3156" t="s">
        <v>1921</v>
      </c>
      <c r="B10" s="3156" t="str">
        <f ca="1">IF(C10&lt;B2,"已过期",1120060040)</f>
        <v>已过期</v>
      </c>
      <c r="C10" s="3158">
        <v>43483</v>
      </c>
      <c r="D10" s="3156" t="s">
        <v>1921</v>
      </c>
      <c r="E10" s="3156">
        <f ca="1">IF(F10&lt;B2,"已过期",2004110096)</f>
        <v>2004110096</v>
      </c>
      <c r="F10" s="3159">
        <v>47118</v>
      </c>
    </row>
    <row r="11" spans="1:6" ht="20.25" customHeight="1">
      <c r="A11" s="3156" t="s">
        <v>1922</v>
      </c>
      <c r="B11" s="3156">
        <f ca="1">IF(C11&lt;B2,"已过期",1120100036)</f>
        <v>1120100036</v>
      </c>
      <c r="C11" s="3158">
        <v>43622</v>
      </c>
      <c r="D11" s="3156" t="s">
        <v>1922</v>
      </c>
      <c r="E11" s="3156">
        <f ca="1">IF(F11&lt;B2,"已过期",2010110070)</f>
        <v>2010110070</v>
      </c>
      <c r="F11" s="3159">
        <v>47907</v>
      </c>
    </row>
    <row r="12" spans="1:6" ht="20.25" customHeight="1">
      <c r="A12" s="3156"/>
      <c r="B12" s="3156"/>
      <c r="C12" s="3158"/>
      <c r="D12" s="3156"/>
      <c r="E12" s="3156"/>
      <c r="F12" s="3159"/>
    </row>
    <row r="13" spans="1:6" ht="20.25" customHeight="1">
      <c r="A13" s="3156" t="s">
        <v>1923</v>
      </c>
      <c r="B13" s="3156">
        <f ca="1">IF(C13&lt;B2,"已过期",1120070131)</f>
        <v>1120070131</v>
      </c>
      <c r="C13" s="3158">
        <v>43814</v>
      </c>
      <c r="D13" s="3156" t="s">
        <v>1923</v>
      </c>
      <c r="E13" s="3156">
        <f ca="1">IF(F13&lt;B2,"已过期",2014110011)</f>
        <v>2014110011</v>
      </c>
      <c r="F13" s="3159">
        <v>49302</v>
      </c>
    </row>
    <row r="14" spans="1:6" ht="20.25" customHeight="1">
      <c r="A14" s="3156" t="s">
        <v>2985</v>
      </c>
      <c r="B14" s="3156">
        <f ca="1">IF(C14&lt;B2,"已过期",1120040230)</f>
        <v>1120040230</v>
      </c>
      <c r="C14" s="3160">
        <v>43835</v>
      </c>
      <c r="D14" s="3161" t="s">
        <v>2986</v>
      </c>
      <c r="E14" s="3156">
        <f ca="1">IF(F14&lt;B2,"已过期",98030020)</f>
        <v>98030020</v>
      </c>
      <c r="F14" s="3159">
        <v>47118</v>
      </c>
    </row>
    <row r="15" spans="1:6" ht="20.25" customHeight="1">
      <c r="A15" s="3156" t="s">
        <v>2575</v>
      </c>
      <c r="B15" s="3156">
        <f ca="1">IF(C15&lt;B2,"已过期",1120070085)</f>
        <v>1120070085</v>
      </c>
      <c r="C15" s="3160">
        <v>43814</v>
      </c>
      <c r="D15" s="3156" t="s">
        <v>2987</v>
      </c>
      <c r="E15" s="3156">
        <f ca="1">IF(F15&lt;B2,"已过期",2004110128)</f>
        <v>2004110128</v>
      </c>
      <c r="F15" s="3162">
        <v>47118</v>
      </c>
    </row>
    <row r="16" spans="1:6" ht="20.25" customHeight="1">
      <c r="A16" s="3156" t="s">
        <v>1924</v>
      </c>
      <c r="B16" s="3156">
        <f ca="1">IF(C16&lt;B2,"已过期",1120140022)</f>
        <v>1120140022</v>
      </c>
      <c r="C16" s="3158">
        <v>44029</v>
      </c>
      <c r="D16" s="3156" t="s">
        <v>2988</v>
      </c>
      <c r="E16" s="3156">
        <f ca="1">IF(F16&lt;B2,"已过期",2008110059)</f>
        <v>2008110059</v>
      </c>
      <c r="F16" s="3159">
        <v>47177</v>
      </c>
    </row>
    <row r="17" spans="1:7" ht="20.25" customHeight="1">
      <c r="A17" s="3156"/>
      <c r="B17" s="3156"/>
      <c r="C17" s="3158"/>
      <c r="D17" s="3161" t="s">
        <v>2989</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1925</v>
      </c>
      <c r="E21" s="3156">
        <f ca="1">IF(F21&lt;B2,"已过期",2011110090)</f>
        <v>2011110090</v>
      </c>
      <c r="F21" s="3159">
        <v>48302</v>
      </c>
    </row>
    <row r="22" spans="1:7" ht="20.25" customHeight="1">
      <c r="A22" s="3156" t="s">
        <v>1926</v>
      </c>
      <c r="B22" s="3156">
        <f ca="1">IF(C22&lt;B2,"已过期",1120020033)</f>
        <v>1120020033</v>
      </c>
      <c r="C22" s="3158">
        <v>44339</v>
      </c>
      <c r="D22" s="3156" t="s">
        <v>1926</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2054</v>
      </c>
      <c r="B24" s="3155" t="s">
        <v>2054</v>
      </c>
      <c r="C24" s="3158"/>
      <c r="D24" s="3163" t="s">
        <v>2054</v>
      </c>
      <c r="E24" s="3155" t="s">
        <v>2054</v>
      </c>
      <c r="F24" s="3162"/>
    </row>
    <row r="25" spans="1:7" ht="20.25" customHeight="1">
      <c r="A25" s="3222" t="s">
        <v>1927</v>
      </c>
      <c r="B25" s="3222"/>
      <c r="C25" s="3222"/>
      <c r="D25" s="3222"/>
      <c r="E25" s="3222"/>
      <c r="F25" s="3222"/>
      <c r="G25" s="3222"/>
    </row>
    <row r="26" spans="1:7" ht="20.25" customHeight="1">
      <c r="A26" s="3223" t="s">
        <v>1928</v>
      </c>
      <c r="B26" s="3223"/>
      <c r="C26" s="3223"/>
      <c r="D26" s="3223" t="s">
        <v>1929</v>
      </c>
      <c r="E26" s="3223"/>
      <c r="F26" s="3223"/>
    </row>
    <row r="27" spans="1:7" s="3151" customFormat="1" ht="20.25" customHeight="1">
      <c r="A27" s="3165" t="s">
        <v>1930</v>
      </c>
      <c r="B27" s="3166" t="s">
        <v>1931</v>
      </c>
      <c r="C27" s="3166" t="s">
        <v>1932</v>
      </c>
      <c r="D27" s="3156" t="s">
        <v>1930</v>
      </c>
      <c r="E27" s="3166" t="s">
        <v>1931</v>
      </c>
      <c r="F27" s="3166" t="s">
        <v>1932</v>
      </c>
    </row>
    <row r="28" spans="1:7" s="3151" customFormat="1" ht="20.25" customHeight="1">
      <c r="A28" s="3167" t="s">
        <v>1933</v>
      </c>
      <c r="B28" s="3167" t="s">
        <v>1934</v>
      </c>
      <c r="C28" s="3159">
        <v>43725</v>
      </c>
      <c r="D28" s="3167" t="s">
        <v>1935</v>
      </c>
      <c r="E28" s="3167" t="s">
        <v>1936</v>
      </c>
      <c r="F28" s="3168">
        <v>44377</v>
      </c>
    </row>
    <row r="29" spans="1:7" s="3151" customFormat="1" ht="20.25" customHeight="1">
      <c r="A29" s="3167"/>
      <c r="B29" s="3167"/>
      <c r="C29" s="3169"/>
      <c r="D29" s="3167" t="s">
        <v>1937</v>
      </c>
      <c r="E29" s="3170" t="s">
        <v>2947</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36" sqref="AD3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8" t="s">
        <v>2959</v>
      </c>
      <c r="C18" s="1555"/>
    </row>
    <row r="19" spans="1:3">
      <c r="A19" s="8" t="s">
        <v>120</v>
      </c>
      <c r="B19" s="3088" t="s">
        <v>2967</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24"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c r="D53" s="1768"/>
      <c r="E53" s="1768"/>
    </row>
    <row r="54" spans="1:5">
      <c r="A54" s="3224"/>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4"/>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4"/>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4"/>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Sheet1</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2019-02-15T02:17:04Z</dcterms:modified>
</cp:coreProperties>
</file>