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140" windowWidth="11316" windowHeight="1032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基准地价修正" sheetId="43" state="hidden" r:id="rId24"/>
    <sheet name="典型户型修正" sheetId="3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N6" i="1"/>
  <c r="B14" i="74"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F38" i="80"/>
  <c r="E92" i="37"/>
  <c r="F92" i="37" s="1"/>
  <c r="G92" i="37" s="1"/>
  <c r="D92" i="37"/>
  <c r="I7" i="37" l="1"/>
  <c r="G7" i="37"/>
  <c r="G41" i="40"/>
  <c r="N23" i="1" l="1"/>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AZ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4" i="15"/>
  <c r="C76" i="15"/>
  <c r="D6" i="73"/>
  <c r="L48" i="67"/>
  <c r="L47" i="15"/>
  <c r="F13" i="15"/>
  <c r="F9" i="67"/>
  <c r="M28" i="67"/>
  <c r="F37" i="67"/>
  <c r="F42" i="67"/>
  <c r="F43" i="15"/>
  <c r="M6" i="67"/>
  <c r="E7" i="76"/>
  <c r="M22" i="67"/>
  <c r="E13" i="76"/>
  <c r="E2" i="69"/>
  <c r="F6" i="67"/>
  <c r="M26" i="67"/>
  <c r="F7" i="15"/>
  <c r="F42" i="15"/>
  <c r="E10" i="76"/>
  <c r="D3" i="73"/>
  <c r="M22" i="15"/>
  <c r="F8" i="15"/>
  <c r="F40" i="15"/>
  <c r="E11" i="76"/>
  <c r="F9" i="15"/>
  <c r="E9" i="76"/>
  <c r="E2" i="68"/>
  <c r="B8" i="76"/>
  <c r="B9" i="76"/>
  <c r="M6" i="15"/>
  <c r="F5" i="73"/>
  <c r="B7" i="76"/>
  <c r="F37" i="15"/>
  <c r="M23" i="15"/>
  <c r="M8" i="67"/>
  <c r="L48" i="15"/>
  <c r="D5" i="73"/>
  <c r="F26" i="67"/>
  <c r="F4" i="73"/>
  <c r="F7" i="67"/>
  <c r="M29" i="15"/>
  <c r="M9" i="15"/>
  <c r="E12" i="76"/>
  <c r="F7" i="73"/>
  <c r="E8" i="76"/>
  <c r="M26" i="15"/>
  <c r="M23" i="67"/>
  <c r="F3" i="73"/>
  <c r="F26" i="15"/>
  <c r="M28" i="15"/>
  <c r="B11" i="76"/>
  <c r="M24" i="67"/>
  <c r="D7" i="73"/>
  <c r="B12" i="76"/>
  <c r="J15" i="15"/>
  <c r="F36" i="15"/>
  <c r="J15" i="67"/>
  <c r="F36" i="67"/>
  <c r="F20" i="31"/>
  <c r="F38" i="15"/>
  <c r="B10" i="76"/>
  <c r="F8" i="67"/>
  <c r="F40" i="67"/>
  <c r="D4" i="73"/>
  <c r="F38" i="67"/>
  <c r="C76" i="67"/>
  <c r="AO13" i="1"/>
  <c r="F6" i="15"/>
  <c r="F6" i="73"/>
  <c r="M9" i="67"/>
  <c r="M8" i="15"/>
  <c r="F43" i="67"/>
  <c r="B13" i="76"/>
  <c r="F16" i="15"/>
  <c r="L47" i="67"/>
  <c r="F13" i="67"/>
  <c r="F16" i="67"/>
  <c r="M29" i="67"/>
  <c r="C21" i="68" l="1"/>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1" i="3"/>
  <c r="AZ43" i="3"/>
  <c r="AZ47" i="3"/>
  <c r="AZ40" i="3"/>
  <c r="U30" i="37"/>
  <c r="S30" i="37"/>
  <c r="AZ37" i="3"/>
  <c r="AZ36" i="3"/>
  <c r="AZ32" i="3"/>
  <c r="AZ31" i="3"/>
  <c r="AZ30" i="3"/>
  <c r="BL5" i="3"/>
  <c r="AZ14" i="3"/>
  <c r="AZ15" i="3"/>
  <c r="G29" i="6"/>
  <c r="F29" i="6"/>
  <c r="AZ22" i="3"/>
  <c r="AZ25" i="3"/>
  <c r="BA5" i="3"/>
  <c r="G5" i="3"/>
  <c r="B3" i="3" s="1"/>
  <c r="E238" i="3" s="1"/>
  <c r="G28" i="6"/>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96" i="3"/>
  <c r="P6" i="3"/>
  <c r="E334" i="3"/>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G1" i="73"/>
  <c r="C36" i="68"/>
  <c r="D9" i="68"/>
  <c r="C16" i="67"/>
  <c r="S33" i="37" l="1"/>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AB36" i="37" l="1"/>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47" i="37" l="1"/>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67"/>
  <c r="C17" i="15"/>
  <c r="D10" i="68"/>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C34" i="68"/>
  <c r="B6" i="76"/>
  <c r="C14" i="15"/>
  <c r="S24" i="31" l="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 i="6"/>
  <c r="C23" i="69"/>
  <c r="E2" i="76"/>
  <c r="B2" i="76"/>
  <c r="I69" i="39"/>
  <c r="J67" i="39"/>
  <c r="D9" i="71"/>
  <c r="I63" i="40"/>
  <c r="H65" i="40"/>
  <c r="I58" i="21"/>
  <c r="J58" i="21" s="1"/>
  <c r="K58" i="21" s="1"/>
  <c r="L58" i="21" s="1"/>
  <c r="M58" i="21" s="1"/>
  <c r="N58" i="21" s="1"/>
  <c r="O58" i="21" s="1"/>
  <c r="H7" i="21" s="1"/>
  <c r="J7" i="21"/>
  <c r="F7" i="21"/>
  <c r="J48" i="35"/>
  <c r="S22" i="3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R22" i="31" l="1"/>
  <c r="B20" i="31"/>
  <c r="B21" i="3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6" i="1"/>
  <c r="AO7" i="1"/>
  <c r="AO12" i="1"/>
  <c r="AO11" i="1"/>
  <c r="C19" i="9"/>
  <c r="AO8" i="1"/>
  <c r="D19" i="9"/>
  <c r="AO9"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35" i="9"/>
  <c r="C20" i="9"/>
  <c r="D34"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D14" i="74" s="1"/>
  <c r="G14" i="74" s="1"/>
  <c r="B6" i="74" s="1"/>
  <c r="D6" i="74" s="1"/>
  <c r="I118" i="9"/>
  <c r="F119" i="9"/>
  <c r="F5" i="52" s="1"/>
  <c r="B53" i="72" s="1"/>
  <c r="F4" i="52"/>
  <c r="B51" i="72" s="1"/>
  <c r="D119" i="9"/>
  <c r="D5" i="52" s="1"/>
  <c r="B49" i="72" s="1"/>
  <c r="C104" i="9"/>
  <c r="H119" i="9"/>
  <c r="H5" i="52" s="1"/>
  <c r="F14" i="74" l="1"/>
  <c r="E14" i="74"/>
  <c r="B5" i="74"/>
  <c r="D5" i="74" s="1"/>
  <c r="C105" i="9"/>
  <c r="H102" i="9"/>
  <c r="E118" i="9"/>
  <c r="E4" i="52" s="1"/>
  <c r="B48" i="72" s="1"/>
  <c r="I4" i="52"/>
  <c r="M48" i="9"/>
  <c r="H107" i="9"/>
  <c r="D5" i="53"/>
  <c r="D45" i="9"/>
  <c r="B20" i="72" l="1"/>
  <c r="D6" i="53"/>
  <c r="B22" i="72" s="1"/>
  <c r="D52" i="9"/>
  <c r="D53" i="9"/>
  <c r="C93" i="9"/>
  <c r="C86" i="9" s="1"/>
  <c r="D55" i="9"/>
  <c r="M53" i="9" s="1"/>
  <c r="C78" i="9"/>
  <c r="C73" i="9" s="1"/>
  <c r="C72" i="9"/>
  <c r="C85" i="9"/>
  <c r="C95" i="9" s="1"/>
  <c r="C64" i="9"/>
  <c r="C63" i="9" s="1"/>
  <c r="C67" i="9" s="1"/>
  <c r="D13" i="53"/>
  <c r="D122" i="9"/>
  <c r="H108" i="9"/>
  <c r="C5" i="74"/>
  <c r="D7" i="53"/>
  <c r="B21" i="72" s="1"/>
  <c r="C79" i="9" l="1"/>
  <c r="C80" i="9" s="1"/>
  <c r="E80" i="9" s="1"/>
  <c r="E81" i="9" s="1"/>
  <c r="D123" i="9"/>
  <c r="D9" i="52" s="1"/>
  <c r="D8" i="52"/>
  <c r="D59" i="9"/>
  <c r="M55" i="9" s="1"/>
  <c r="C68" i="9"/>
  <c r="D54" i="9" s="1"/>
  <c r="D15" i="53"/>
  <c r="B31" i="72" s="1"/>
  <c r="C6" i="74"/>
  <c r="D14" i="53"/>
  <c r="B32" i="72" s="1"/>
  <c r="B30" i="72"/>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<sst xmlns="http://schemas.openxmlformats.org/spreadsheetml/2006/main" count="8001" uniqueCount="3514">
  <si>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</si>
  <si>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</si>
  <si>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</si>
  <si>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</si>
  <si>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</si>
  <si>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</si>
  <si>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</si>
  <si>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</si>
  <si>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</si>
  <si>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</si>
  <si>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</si>
  <si>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</si>
  <si>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</si>
  <si>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</si>
  <si>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</si>
  <si>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</si>
  <si>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</si>
  <si>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</si>
  <si>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</si>
  <si>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</si>
  <si>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</si>
  <si>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</si>
  <si>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</si>
  <si>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</si>
  <si>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</si>
  <si>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</si>
  <si>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</si>
  <si>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</si>
  <si>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</si>
  <si>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</si>
  <si>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</si>
  <si>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</si>
  <si>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</si>
  <si>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</si>
  <si>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</si>
  <si>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</si>
  <si>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</si>
  <si>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</si>
  <si>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</si>
  <si>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</si>
  <si>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</si>
  <si>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</si>
  <si>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</si>
  <si>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</si>
  <si>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</si>
  <si>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</si>
  <si>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</si>
  <si>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</si>
  <si>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</si>
  <si>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</si>
  <si>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</si>
  <si>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</si>
  <si>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</si>
  <si>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</si>
  <si>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</si>
  <si>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</si>
  <si>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</si>
  <si>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</si>
  <si>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</si>
  <si>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</si>
  <si>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</si>
  <si>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</si>
  <si>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</si>
  <si>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</si>
  <si>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</si>
  <si>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</si>
  <si>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</si>
  <si>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</si>
  <si>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</si>
  <si>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</si>
  <si>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</si>
  <si>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</si>
  <si>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</si>
  <si>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</si>
  <si>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</si>
  <si>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</si>
  <si>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</si>
  <si>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</si>
  <si>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</si>
  <si>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</si>
  <si>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</si>
  <si>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</si>
  <si>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</si>
  <si>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</si>
  <si>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</si>
  <si>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</si>
  <si>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</si>
  <si>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</si>
  <si>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</si>
  <si>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</si>
  <si>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</si>
  <si>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</si>
  <si>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</si>
  <si>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</si>
  <si>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</si>
  <si>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</si>
  <si>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</si>
  <si>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</si>
  <si>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</si>
  <si>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</si>
  <si>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</si>
  <si>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</si>
  <si>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</si>
  <si>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</si>
  <si>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</si>
  <si>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</si>
  <si>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</si>
  <si>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</si>
  <si>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</si>
  <si>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</si>
  <si>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</si>
  <si>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</si>
  <si>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</si>
  <si>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</si>
  <si>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</si>
  <si>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</si>
  <si>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</si>
  <si>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</si>
  <si>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</si>
  <si>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</si>
  <si>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</si>
  <si>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</si>
  <si>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</si>
  <si>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</si>
  <si>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</si>
  <si>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</si>
  <si>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</si>
  <si>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</si>
  <si>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</si>
  <si>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</si>
  <si>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</si>
  <si>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</si>
  <si>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</si>
  <si>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</si>
  <si>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</si>
  <si>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</si>
  <si>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</si>
  <si>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</si>
  <si>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</si>
  <si>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</si>
  <si>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</si>
  <si>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</si>
  <si>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</si>
  <si>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</si>
  <si>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</si>
  <si>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</si>
  <si>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</si>
  <si>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</si>
  <si>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</si>
  <si>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</si>
  <si>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</si>
  <si>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</si>
  <si>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</si>
  <si>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</si>
  <si>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</si>
  <si>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</si>
  <si>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</si>
  <si>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</si>
  <si>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</si>
  <si>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</si>
  <si>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</si>
  <si>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</si>
  <si>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</si>
  <si>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</si>
  <si>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</si>
  <si>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</si>
  <si>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</si>
  <si>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</si>
  <si>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</si>
  <si>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</si>
  <si>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</si>
  <si>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</si>
  <si>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</si>
  <si>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</si>
  <si>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</si>
  <si>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</si>
  <si>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</si>
  <si>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</si>
  <si>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</si>
  <si>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</si>
  <si>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</si>
  <si>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</si>
  <si>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</si>
  <si>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</si>
  <si>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</si>
  <si>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</si>
  <si>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</si>
  <si>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</si>
  <si>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</si>
  <si>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</si>
  <si>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</si>
  <si>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</si>
  <si>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</si>
  <si>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</si>
  <si>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</si>
  <si>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</si>
  <si>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</si>
  <si>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</si>
  <si>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</si>
  <si>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</si>
  <si>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</si>
  <si>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</si>
  <si>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</si>
  <si>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</si>
  <si>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</si>
  <si>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</si>
  <si>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</si>
  <si>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</si>
  <si>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</si>
  <si>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</si>
  <si>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</si>
  <si>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</si>
  <si>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</si>
  <si>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</si>
  <si>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</si>
  <si>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</si>
  <si>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</si>
  <si>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</si>
  <si>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</si>
  <si>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</si>
  <si>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</si>
  <si>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</si>
  <si>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</si>
  <si>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</si>
  <si>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</si>
  <si>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</si>
  <si>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</si>
  <si>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</si>
  <si>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</si>
  <si>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</si>
  <si>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</si>
  <si>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</si>
  <si>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</si>
  <si>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</si>
  <si>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</si>
  <si>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</si>
  <si>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</si>
  <si>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</si>
  <si>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</si>
  <si>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</si>
  <si>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</si>
  <si>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</si>
  <si>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</si>
  <si>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</si>
  <si>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</si>
  <si>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</si>
  <si>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</si>
  <si>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</si>
  <si>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</si>
  <si>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</si>
  <si>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</si>
  <si>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</si>
  <si>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</si>
  <si>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</si>
  <si>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</si>
  <si>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</si>
  <si>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</si>
  <si>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</si>
  <si>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</si>
  <si>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</si>
  <si>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</si>
  <si>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</si>
  <si>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</si>
  <si>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</si>
  <si>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</si>
  <si>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</si>
  <si>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</si>
  <si>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</si>
  <si>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</si>
  <si>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</si>
  <si>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</si>
  <si>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</si>
  <si>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</si>
  <si>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</si>
  <si>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</si>
  <si>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</si>
  <si>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</si>
  <si>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</si>
  <si>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</si>
  <si>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</si>
  <si>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</si>
  <si>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</si>
  <si>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</si>
  <si>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</si>
  <si>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</si>
  <si>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</si>
  <si>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</si>
  <si>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</si>
  <si>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</si>
  <si>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</si>
  <si>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</si>
  <si>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</si>
  <si>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</si>
  <si>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</si>
  <si>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</si>
  <si>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</si>
  <si>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</si>
  <si>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</si>
  <si>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</si>
  <si>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</si>
  <si>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</si>
  <si>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</si>
  <si>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</si>
  <si>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</si>
  <si>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</si>
  <si>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</si>
  <si>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</si>
  <si>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</si>
  <si>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</si>
  <si>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</si>
  <si>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</si>
  <si>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</si>
  <si>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</si>
  <si>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</si>
  <si>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</si>
  <si>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</si>
  <si>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</si>
  <si>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</si>
  <si>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</si>
  <si>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</si>
  <si>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</si>
  <si>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</si>
  <si>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</si>
  <si>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</si>
  <si>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</si>
  <si>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</si>
  <si>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</si>
  <si>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</si>
  <si>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</si>
  <si>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</si>
  <si>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</si>
  <si>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</si>
  <si>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</si>
  <si>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</si>
  <si>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</si>
  <si>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</si>
  <si>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</si>
  <si>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</si>
  <si>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</si>
  <si>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</si>
  <si>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</si>
  <si>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</si>
  <si>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</si>
  <si>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</si>
  <si>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</si>
  <si>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</si>
  <si>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</si>
  <si>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</si>
  <si>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</si>
  <si>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</si>
  <si>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</si>
  <si>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</si>
  <si>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</si>
  <si>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</si>
  <si>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</si>
  <si>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</si>
  <si>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</si>
  <si>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</si>
  <si>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</si>
  <si>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</si>
  <si>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</si>
  <si>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</si>
  <si>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</si>
  <si>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</si>
  <si>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</si>
  <si>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</si>
  <si>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</si>
  <si>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</si>
  <si>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</si>
  <si>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</si>
  <si>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</si>
  <si>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</si>
  <si>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</si>
  <si>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</si>
  <si>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</si>
  <si>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</si>
  <si>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</si>
  <si>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</si>
  <si>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</si>
  <si>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</si>
  <si>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</si>
  <si>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</si>
  <si>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</si>
  <si>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</si>
  <si>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</si>
  <si>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</si>
  <si>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</si>
  <si>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</si>
  <si>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</si>
  <si>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</si>
  <si>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</si>
  <si>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</si>
  <si>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</si>
  <si>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</si>
  <si>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</si>
  <si>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</si>
  <si>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</si>
  <si>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</si>
  <si>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</si>
  <si>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</si>
  <si>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</si>
  <si>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</si>
  <si>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</si>
  <si>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</si>
  <si>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</si>
  <si>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</si>
  <si>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</si>
  <si>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</si>
  <si>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</si>
  <si>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</si>
  <si>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</si>
  <si>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</si>
  <si>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</si>
  <si>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</si>
  <si>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</si>
  <si>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</si>
  <si>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</si>
  <si>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</si>
  <si>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</si>
  <si>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</si>
  <si>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</si>
  <si>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</si>
  <si>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</si>
  <si>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</si>
  <si>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</si>
  <si>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</si>
  <si>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</si>
  <si>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</si>
  <si>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</si>
  <si>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</si>
  <si>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</si>
  <si>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</si>
  <si>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</si>
  <si>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</si>
  <si>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</si>
  <si>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</si>
  <si>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</si>
  <si>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</si>
  <si>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</si>
  <si>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</si>
  <si>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</si>
  <si>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</si>
  <si>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</si>
  <si>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</si>
  <si>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</si>
  <si>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</si>
  <si>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</si>
  <si>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</si>
  <si>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</si>
  <si>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</si>
  <si>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</si>
  <si>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</si>
  <si>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</si>
  <si>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</si>
  <si>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</si>
  <si>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</si>
  <si>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</si>
  <si>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</si>
  <si>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</si>
  <si>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</si>
  <si>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</si>
  <si>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</si>
  <si>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</si>
  <si>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</si>
  <si>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</si>
  <si>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</si>
  <si>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</si>
  <si>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</si>
  <si>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</si>
  <si>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</si>
  <si>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</si>
  <si>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</si>
  <si>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</si>
  <si>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</si>
  <si>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</si>
  <si>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</si>
  <si>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</si>
  <si>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</si>
  <si>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</si>
  <si>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</si>
  <si>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</si>
  <si>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</si>
  <si>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</si>
  <si>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</si>
  <si>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</si>
  <si>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</si>
  <si>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</si>
  <si>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</si>
  <si>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</si>
  <si>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</si>
  <si>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</si>
  <si>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</si>
  <si>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</si>
  <si>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</si>
  <si>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</si>
  <si>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</si>
  <si>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</si>
  <si>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</si>
  <si>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</si>
  <si>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</si>
  <si>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</si>
  <si>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</si>
  <si>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</si>
  <si>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</si>
  <si>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</si>
  <si>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</si>
  <si>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</si>
  <si>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</si>
  <si>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</si>
  <si>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</si>
  <si>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</si>
  <si>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</si>
  <si>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</si>
  <si>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</si>
  <si>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</si>
  <si>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</si>
  <si>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</si>
  <si>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</si>
  <si>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</si>
  <si>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</si>
  <si>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</si>
  <si>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</si>
  <si>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</si>
  <si>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</si>
  <si>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</si>
  <si>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</si>
  <si>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</si>
  <si>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</si>
  <si>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</si>
  <si>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</si>
  <si>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</si>
  <si>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</si>
  <si>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</si>
  <si>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</si>
  <si>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</si>
  <si>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</si>
  <si>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</si>
  <si>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</si>
  <si>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</si>
  <si>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</si>
  <si>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</si>
  <si>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</si>
  <si>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</si>
  <si>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</si>
  <si>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</si>
  <si>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</si>
  <si>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</si>
  <si>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</si>
  <si>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</si>
  <si>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</si>
  <si>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</si>
  <si>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</si>
  <si>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</si>
  <si>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</si>
  <si>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</si>
  <si>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</si>
  <si>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</si>
  <si>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</si>
  <si>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</si>
  <si>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</si>
  <si>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</si>
  <si>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</si>
  <si>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</si>
  <si>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</si>
  <si>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</si>
  <si>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</si>
  <si>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</si>
  <si>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</si>
  <si>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</si>
  <si>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</si>
  <si>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</si>
  <si>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</si>
  <si>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</si>
  <si>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</si>
  <si>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</si>
  <si>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</si>
  <si>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</si>
  <si>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</si>
  <si>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</si>
  <si>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</si>
  <si>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</si>
  <si>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</si>
  <si>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</si>
  <si>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</si>
  <si>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</si>
  <si>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</si>
  <si>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</si>
  <si>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</si>
  <si>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</si>
  <si>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</si>
  <si>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</si>
  <si>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</si>
  <si>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</si>
  <si>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</si>
  <si>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</si>
  <si>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</si>
  <si>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</si>
  <si>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</si>
  <si>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</si>
  <si>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</si>
  <si>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</si>
  <si>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</si>
  <si>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</si>
  <si>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</si>
  <si>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</si>
  <si>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</si>
  <si>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</si>
  <si>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</si>
  <si>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</si>
  <si>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</si>
  <si>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</si>
  <si>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</si>
  <si>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</si>
  <si>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</si>
  <si>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</si>
  <si>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</si>
  <si>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</si>
  <si>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</si>
  <si>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</si>
  <si>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</si>
  <si>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</si>
  <si>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</si>
  <si>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</si>
  <si>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</si>
  <si>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</si>
  <si>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</si>
  <si>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</si>
  <si>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</si>
  <si>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</si>
  <si>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</si>
  <si>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</si>
  <si>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</si>
  <si>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</si>
  <si>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</si>
  <si>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</si>
  <si>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</si>
  <si>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</si>
  <si>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</si>
  <si>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</si>
  <si>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</si>
  <si>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</si>
  <si>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</si>
  <si>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</si>
  <si>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</si>
  <si>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</si>
  <si>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</si>
  <si>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</si>
  <si>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</si>
  <si>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</si>
  <si>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</si>
  <si>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</si>
  <si>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</si>
  <si>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</si>
  <si>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</si>
  <si>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</si>
  <si>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</si>
  <si>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</si>
  <si>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</si>
  <si>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</si>
  <si>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</si>
  <si>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</si>
  <si>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</si>
  <si>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</si>
  <si>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</si>
  <si>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</si>
  <si>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</si>
  <si>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</si>
  <si>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</si>
  <si>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</si>
  <si>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</si>
  <si>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</si>
  <si>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</si>
  <si>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</si>
  <si>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</si>
  <si>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</si>
  <si>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</si>
  <si>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</si>
  <si>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</si>
  <si>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</si>
  <si>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</si>
  <si>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</si>
  <si>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</si>
  <si>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</si>
  <si>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</si>
  <si>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</si>
  <si>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</si>
  <si>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</si>
  <si>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</si>
  <si>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</si>
  <si>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</si>
  <si>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</si>
  <si>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</si>
  <si>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</si>
  <si>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</si>
  <si>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</si>
  <si>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</si>
  <si>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</si>
  <si>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</si>
  <si>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</si>
  <si>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</si>
  <si>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</si>
  <si>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</si>
  <si>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</si>
  <si>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</si>
  <si>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</si>
  <si>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</si>
  <si>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</si>
  <si>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</si>
  <si>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</si>
  <si>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</si>
  <si>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</si>
  <si>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</si>
  <si>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</si>
  <si>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</si>
  <si>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</si>
  <si>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</si>
  <si>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</si>
  <si>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</si>
  <si>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</si>
  <si>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</si>
  <si>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</si>
  <si>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</si>
  <si>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</si>
  <si>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</si>
  <si>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</si>
  <si>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</si>
  <si>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</si>
  <si>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</si>
  <si>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</si>
  <si>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</si>
  <si>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</si>
  <si>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</si>
  <si>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</si>
  <si>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</si>
  <si>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</si>
  <si>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</si>
  <si>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</si>
  <si>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</si>
  <si>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</si>
  <si>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</si>
  <si>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</si>
  <si>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</si>
  <si>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</si>
  <si>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</si>
  <si>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</si>
  <si>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</si>
  <si>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</si>
  <si>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</si>
  <si>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</si>
  <si>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</si>
  <si>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</si>
  <si>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</si>
  <si>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</si>
  <si>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</si>
  <si>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</si>
  <si>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</si>
  <si>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</si>
  <si>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</si>
  <si>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</si>
  <si>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</si>
  <si>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</si>
  <si>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</si>
  <si>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</si>
  <si>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</si>
  <si>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</si>
  <si>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</si>
  <si>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</si>
  <si>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</si>
  <si>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</si>
  <si>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</si>
  <si>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</si>
  <si>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</si>
  <si>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</si>
  <si>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</si>
  <si>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</si>
  <si>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</si>
  <si>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</si>
  <si>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</si>
  <si>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</si>
  <si>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</si>
  <si>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</si>
  <si>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</si>
  <si>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</si>
  <si>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</si>
  <si>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</si>
  <si>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</si>
  <si>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</si>
  <si>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</si>
  <si>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</si>
  <si>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</si>
  <si>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</si>
  <si>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</si>
  <si>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</si>
  <si>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</si>
  <si>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</si>
  <si>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</si>
  <si>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</si>
  <si>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</si>
  <si>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</si>
  <si>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</si>
  <si>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</si>
  <si>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</si>
  <si>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</si>
  <si>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</si>
  <si>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</si>
  <si>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</si>
  <si>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</si>
  <si>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</si>
  <si>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</si>
  <si>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</si>
  <si>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</si>
  <si>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</si>
  <si>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</si>
  <si>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</si>
  <si>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</si>
  <si>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</si>
  <si>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</si>
  <si>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</si>
  <si>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</si>
  <si>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</si>
  <si>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</si>
  <si>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</si>
  <si>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</si>
  <si>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</si>
  <si>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</si>
  <si>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</si>
  <si>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</si>
  <si>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</si>
  <si>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</si>
  <si>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</si>
  <si>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</si>
  <si>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</si>
  <si>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</si>
  <si>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</si>
  <si>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</si>
  <si>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</si>
  <si>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</si>
  <si>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</si>
  <si>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</si>
  <si>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</si>
  <si>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</si>
  <si>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</si>
  <si>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</si>
  <si>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</si>
  <si>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</si>
  <si>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</si>
  <si>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</si>
  <si>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</si>
  <si>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</si>
  <si>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</si>
  <si>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</si>
  <si>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</si>
  <si>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</si>
  <si>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</si>
  <si>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</si>
  <si>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</si>
  <si>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</si>
  <si>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</si>
  <si>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</si>
  <si>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</si>
  <si>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</si>
  <si>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</si>
  <si>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</si>
  <si>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</si>
  <si>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</si>
  <si>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</si>
  <si>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</si>
  <si>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</si>
  <si>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</si>
  <si>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</si>
  <si>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</si>
  <si>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</si>
  <si>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</si>
  <si>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</si>
  <si>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</si>
  <si>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</si>
  <si>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</si>
  <si>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</si>
  <si>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</si>
  <si>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</si>
  <si>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</si>
  <si>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</si>
  <si>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</si>
  <si>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</si>
  <si>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</si>
  <si>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</si>
  <si>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</si>
  <si>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</si>
  <si>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</si>
  <si>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</si>
  <si>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</si>
  <si>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</si>
  <si>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</si>
  <si>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</si>
  <si>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</si>
  <si>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</si>
  <si>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</si>
  <si>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</si>
  <si>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</si>
  <si>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</si>
  <si>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</si>
  <si>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</si>
  <si>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</si>
  <si>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</si>
  <si>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</si>
  <si>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</si>
  <si>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</si>
  <si>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</si>
  <si>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</si>
  <si>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</si>
  <si>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</si>
  <si>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</si>
  <si>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</si>
  <si>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</si>
  <si>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</si>
  <si>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</si>
  <si>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</si>
  <si>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</si>
  <si>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</si>
  <si>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</si>
  <si>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</si>
  <si>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</si>
  <si>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</si>
  <si>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</si>
  <si>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</si>
  <si>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</si>
  <si>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</si>
  <si>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</si>
  <si>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</si>
  <si>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</si>
  <si>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</si>
  <si>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</si>
  <si>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</si>
  <si>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</si>
  <si>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</si>
  <si>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</si>
  <si>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</si>
  <si>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</si>
  <si>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</si>
  <si>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</si>
  <si>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</si>
  <si>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</si>
  <si>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</si>
  <si>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</si>
  <si>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</si>
  <si>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</si>
  <si>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</si>
  <si>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</si>
  <si>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</si>
  <si>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</si>
  <si>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</si>
  <si>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</si>
  <si>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</si>
  <si>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</si>
  <si>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</si>
  <si>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</si>
  <si>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</si>
  <si>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</si>
  <si>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</si>
  <si>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</si>
  <si>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</si>
  <si>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</si>
  <si>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</si>
  <si>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</si>
  <si>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</si>
  <si>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</si>
  <si>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</si>
  <si>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</si>
  <si>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</si>
  <si>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</si>
  <si>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</si>
  <si>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</si>
  <si>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</si>
  <si>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</si>
  <si>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</si>
  <si>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</si>
  <si>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</si>
  <si>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</si>
  <si>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</si>
  <si>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</si>
  <si>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</si>
  <si>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</si>
  <si>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</si>
  <si>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</si>
  <si>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</si>
  <si>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</si>
  <si>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</si>
  <si>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</si>
  <si>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</si>
  <si>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</si>
  <si>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</si>
  <si>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</si>
  <si>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</si>
  <si>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</si>
  <si>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</si>
  <si>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</si>
  <si>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</si>
  <si>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</si>
  <si>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</si>
  <si>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</si>
  <si>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</si>
  <si>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</si>
  <si>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</si>
  <si>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</si>
  <si>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</si>
  <si>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</si>
  <si>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</si>
  <si>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</si>
  <si>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</si>
  <si>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</si>
  <si>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</si>
  <si>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</si>
  <si>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</si>
  <si>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</si>
  <si>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</si>
  <si>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</si>
  <si>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</si>
  <si>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</si>
  <si>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</si>
  <si>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</si>
  <si>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</si>
  <si>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</si>
  <si>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</si>
  <si>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</si>
  <si>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</si>
  <si>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</si>
  <si>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</si>
  <si>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</si>
  <si>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</si>
  <si>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</si>
  <si>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</si>
  <si>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</si>
  <si>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</si>
  <si>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</si>
  <si>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</si>
  <si>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</si>
  <si>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</si>
  <si>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</si>
  <si>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</si>
  <si>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</si>
  <si>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</si>
  <si>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</si>
  <si>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</si>
  <si>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</si>
  <si>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</si>
  <si>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</si>
  <si>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</si>
  <si>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</si>
  <si>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</si>
  <si>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</si>
  <si>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</si>
  <si>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</si>
  <si>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</si>
  <si>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</si>
  <si>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</si>
  <si>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</si>
  <si>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</si>
  <si>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</si>
  <si>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</si>
  <si>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</si>
  <si>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</si>
  <si>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</si>
  <si>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</si>
  <si>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</si>
  <si>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</si>
  <si>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</si>
  <si>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</si>
  <si>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</si>
  <si>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</si>
  <si>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</si>
  <si>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</si>
  <si>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</si>
  <si>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</si>
  <si>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</si>
  <si>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</si>
  <si>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</si>
  <si>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</si>
  <si>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</si>
  <si>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</si>
  <si>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</si>
  <si>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</si>
  <si>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</si>
  <si>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</si>
  <si>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</si>
  <si>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</si>
  <si>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</si>
  <si>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</si>
  <si>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</si>
  <si>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</si>
  <si>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</si>
  <si>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</si>
  <si>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</si>
  <si>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</si>
  <si>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</si>
  <si>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</si>
  <si>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</si>
  <si>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</si>
  <si>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</si>
  <si>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</si>
  <si>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</si>
  <si>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</si>
  <si>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</si>
  <si>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</si>
  <si>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</si>
  <si>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</si>
  <si>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</si>
  <si>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</si>
  <si>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</si>
  <si>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</si>
  <si>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</si>
  <si>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</si>
  <si>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</si>
  <si>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</si>
  <si>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</si>
  <si>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</si>
  <si>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</si>
  <si>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</si>
  <si>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</si>
  <si>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</si>
  <si>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</si>
  <si>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</si>
  <si>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</si>
  <si>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</si>
  <si>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</si>
  <si>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</si>
  <si>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</si>
  <si>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</si>
  <si>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</si>
  <si>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</si>
  <si>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</si>
  <si>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</si>
  <si>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</si>
  <si>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</si>
  <si>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</si>
  <si>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</si>
  <si>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</si>
  <si>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</si>
  <si>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</si>
  <si>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</si>
  <si>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</si>
  <si>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</si>
  <si>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</si>
  <si>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</si>
  <si>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</si>
  <si>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</si>
  <si>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</si>
  <si>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</si>
  <si>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</si>
  <si>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</si>
  <si>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</si>
  <si>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</si>
  <si>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</si>
  <si>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</si>
  <si>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</si>
  <si>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</si>
  <si>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</si>
  <si>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</si>
  <si>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</si>
  <si>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</si>
  <si>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</si>
  <si>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</si>
  <si>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</si>
  <si>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</si>
  <si>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</si>
  <si>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</si>
  <si>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</si>
  <si>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</si>
  <si>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</si>
  <si>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</si>
  <si>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</si>
  <si>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</si>
  <si>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</si>
  <si>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</si>
  <si>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</si>
  <si>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</si>
  <si>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</si>
  <si>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</si>
  <si>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</si>
  <si>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</si>
  <si>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</si>
  <si>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</si>
  <si>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</si>
  <si>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</si>
  <si>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</si>
  <si>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</si>
  <si>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</si>
  <si>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</si>
  <si>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</si>
  <si>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</si>
  <si>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</si>
  <si>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</si>
  <si>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</si>
  <si>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</si>
  <si>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</si>
  <si>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</si>
  <si>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</si>
  <si>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</si>
  <si>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</si>
  <si>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</si>
  <si>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</si>
  <si>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</si>
  <si>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</si>
  <si>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</si>
  <si>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</si>
  <si>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</si>
  <si>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</si>
  <si>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</si>
  <si>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</si>
  <si>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</si>
  <si>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</si>
  <si>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</si>
  <si>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</si>
  <si>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</si>
  <si>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</si>
  <si>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</si>
  <si>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</si>
  <si>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</si>
  <si>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</si>
  <si>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</si>
  <si>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</si>
  <si>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</si>
  <si>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</si>
  <si>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</si>
  <si>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</si>
  <si>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</si>
  <si>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</si>
  <si>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</si>
  <si>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</si>
  <si>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</si>
  <si>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</si>
  <si>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</si>
  <si>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</si>
  <si>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</si>
  <si>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</si>
  <si>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</si>
  <si>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</si>
  <si>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</si>
  <si>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</si>
  <si>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</si>
  <si>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</si>
  <si>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</si>
  <si>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</si>
  <si>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</si>
  <si>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</si>
  <si>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</si>
  <si>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</si>
  <si>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</si>
  <si>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</si>
  <si>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</si>
  <si>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</si>
  <si>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</si>
  <si>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</si>
  <si>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</si>
  <si>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</si>
  <si>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</si>
  <si>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</si>
  <si>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</si>
  <si>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</si>
  <si>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</si>
  <si>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</si>
  <si>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</si>
  <si>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</si>
  <si>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</si>
  <si>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</si>
  <si>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</si>
  <si>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</si>
  <si>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</si>
  <si>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</si>
  <si>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</si>
  <si>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</si>
  <si>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</si>
  <si>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</si>
  <si>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</si>
  <si>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</si>
  <si>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</si>
  <si>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</si>
  <si>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</si>
  <si>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</si>
  <si>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</si>
  <si>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</si>
  <si>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</si>
  <si>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</si>
  <si>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</si>
  <si>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</si>
  <si>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</si>
  <si>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</si>
  <si>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</si>
  <si>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</si>
  <si>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</si>
  <si>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</si>
  <si>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</si>
  <si>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</si>
  <si>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</si>
  <si>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</si>
  <si>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</si>
  <si>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</si>
  <si>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</si>
  <si>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</si>
  <si>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</si>
  <si>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</si>
  <si>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</si>
  <si>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</si>
  <si>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</si>
  <si>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</si>
  <si>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</si>
  <si>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</si>
  <si>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</si>
  <si>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</si>
  <si>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</si>
  <si>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</si>
  <si>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</si>
  <si>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</si>
  <si>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</si>
  <si>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</si>
  <si>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</si>
  <si>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</si>
  <si>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</si>
  <si>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</si>
  <si>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</si>
  <si>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</si>
  <si>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</si>
  <si>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</si>
  <si>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</si>
  <si>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</si>
  <si>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</si>
  <si>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</si>
  <si>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</si>
  <si>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</si>
  <si>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</si>
  <si>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</si>
  <si>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</si>
  <si>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</si>
  <si>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</si>
  <si>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</si>
  <si>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</si>
  <si>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</si>
  <si>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</si>
  <si>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</si>
  <si>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</si>
  <si>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</si>
  <si>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</si>
  <si>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</si>
  <si>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</si>
  <si>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</si>
  <si>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</si>
  <si>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</si>
  <si>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</si>
  <si>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</si>
  <si>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</si>
  <si>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</si>
  <si>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</si>
  <si>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</si>
  <si>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</si>
  <si>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</si>
  <si>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</si>
  <si>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</si>
  <si>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</si>
  <si>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</si>
  <si>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</si>
  <si>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</si>
  <si>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</si>
  <si>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</si>
  <si>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</si>
  <si>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</si>
  <si>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</si>
  <si>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</si>
  <si>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</si>
  <si>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</si>
  <si>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</si>
  <si>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</si>
  <si>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</si>
  <si>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</si>
  <si>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</si>
  <si>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</si>
  <si>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</si>
  <si>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</si>
  <si>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</si>
  <si>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</si>
  <si>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</si>
  <si>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</si>
  <si>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</si>
  <si>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</si>
  <si>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</si>
  <si>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</si>
  <si>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</si>
  <si>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</si>
  <si>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</si>
  <si>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</si>
  <si>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</si>
  <si>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</si>
  <si>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</si>
  <si>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</si>
  <si>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</si>
  <si>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</si>
  <si>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</si>
  <si>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</si>
  <si>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</si>
  <si>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</si>
  <si>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</si>
  <si>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</si>
  <si>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</si>
  <si>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</si>
  <si>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</si>
  <si>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</si>
  <si>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</si>
  <si>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</si>
  <si>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</si>
  <si>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</si>
  <si>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</si>
  <si>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</si>
  <si>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</si>
  <si>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</si>
  <si>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</si>
  <si>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</si>
  <si>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</si>
  <si>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</si>
  <si>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</si>
  <si>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</si>
  <si>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</si>
  <si>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</si>
  <si>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</si>
  <si>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</si>
  <si>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</si>
  <si>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</si>
  <si>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</si>
  <si>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</si>
  <si>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</si>
  <si>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</si>
  <si>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</si>
  <si>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</si>
  <si>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</si>
  <si>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</si>
  <si>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</si>
  <si>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</si>
  <si>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</si>
  <si>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</si>
  <si>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</si>
  <si>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</si>
  <si>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</si>
  <si>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</si>
  <si>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</si>
  <si>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</si>
  <si>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</si>
  <si>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</si>
  <si>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</si>
  <si>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</si>
  <si>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</si>
  <si>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</si>
  <si>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</si>
  <si>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</si>
  <si>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</si>
  <si>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</si>
  <si>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</si>
  <si>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</si>
  <si>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</si>
  <si>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</si>
  <si>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</si>
  <si>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</si>
  <si>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</si>
  <si>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</si>
  <si>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</si>
  <si>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</si>
  <si>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</si>
  <si>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</si>
  <si>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</si>
  <si>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</si>
  <si>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</si>
  <si>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</si>
  <si>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</si>
  <si>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</si>
  <si>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</si>
  <si>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</si>
  <si>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</si>
  <si>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</si>
  <si>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</si>
  <si>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</si>
  <si>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</si>
  <si>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</si>
  <si>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</si>
  <si>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</si>
  <si>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</si>
  <si>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</si>
  <si>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</si>
  <si>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</si>
  <si>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</si>
  <si>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</si>
  <si>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</si>
  <si>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</si>
  <si>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</si>
  <si>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</si>
  <si>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</si>
  <si>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</si>
  <si>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</si>
  <si>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</si>
  <si>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</si>
  <si>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</si>
  <si>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</si>
  <si>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</si>
  <si>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</si>
  <si>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</si>
  <si>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</si>
  <si>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</si>
  <si>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</si>
  <si>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</si>
  <si>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</si>
  <si>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</si>
  <si>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</si>
  <si>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</si>
  <si>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</si>
  <si>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</si>
  <si>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</si>
  <si>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</si>
  <si>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</si>
  <si>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</si>
  <si>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</si>
  <si>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</si>
  <si>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</si>
  <si>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</si>
  <si>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</si>
  <si>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</si>
  <si>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</si>
  <si>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</si>
  <si>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</si>
  <si>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</si>
  <si>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</si>
  <si>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</si>
  <si>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</si>
  <si>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</si>
  <si>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</si>
  <si>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</si>
  <si>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</si>
  <si>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</si>
  <si>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</si>
  <si>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</si>
  <si>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</si>
  <si>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</si>
  <si>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</si>
  <si>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</si>
  <si>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</si>
  <si>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</si>
  <si>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</si>
  <si>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</si>
  <si>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</si>
  <si>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</si>
  <si>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</si>
  <si>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</si>
  <si>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</si>
  <si>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</si>
  <si>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</si>
  <si>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</si>
  <si>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</si>
  <si>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</si>
  <si>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</si>
  <si>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</si>
  <si>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</si>
  <si>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</si>
  <si>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</si>
  <si>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</si>
  <si>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</si>
  <si>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</si>
  <si>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</si>
  <si>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</si>
  <si>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</si>
  <si>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</si>
  <si>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</si>
  <si>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</si>
  <si>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</si>
  <si>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</si>
  <si>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</si>
  <si>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</si>
  <si>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</si>
  <si>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</si>
  <si>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</si>
  <si>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</si>
  <si>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</si>
  <si>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</si>
  <si>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</si>
  <si>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</si>
  <si>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</si>
  <si>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</si>
  <si>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</si>
  <si>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</si>
  <si>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</si>
  <si>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</si>
  <si>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</si>
  <si>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</si>
  <si>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</si>
  <si>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</si>
  <si>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</si>
  <si>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</si>
  <si>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</si>
  <si>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</si>
  <si>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</si>
  <si>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</si>
  <si>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</si>
  <si>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</si>
  <si>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</si>
  <si>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</si>
  <si>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</si>
  <si>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</si>
  <si>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</si>
  <si>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</si>
  <si>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</si>
  <si>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</si>
  <si>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</si>
  <si>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</si>
  <si>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</si>
  <si>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</si>
  <si>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</si>
  <si>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</si>
  <si>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</si>
  <si>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</si>
  <si>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</si>
  <si>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</si>
  <si>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</si>
  <si>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</si>
  <si>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</si>
  <si>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</si>
  <si>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</si>
  <si>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</si>
  <si>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</si>
  <si>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</si>
  <si>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</si>
  <si>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</si>
  <si>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</si>
  <si>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</si>
  <si>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</si>
  <si>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</si>
  <si>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</si>
  <si>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</si>
  <si>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</si>
  <si>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</si>
  <si>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</si>
  <si>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</si>
  <si>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</si>
  <si>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</si>
  <si>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</si>
  <si>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</si>
  <si>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</si>
  <si>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</si>
  <si>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</si>
  <si>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</si>
  <si>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</si>
  <si>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</si>
  <si>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</si>
  <si>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</si>
  <si>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</si>
  <si>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</si>
  <si>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</si>
  <si>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</si>
  <si>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</si>
  <si>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</si>
  <si>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</si>
  <si>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</si>
  <si>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</si>
  <si>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</si>
  <si>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</si>
  <si>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</si>
  <si>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</si>
  <si>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</si>
  <si>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</si>
  <si>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</si>
  <si>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</si>
  <si>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</si>
  <si>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</si>
  <si>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</si>
  <si>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</si>
  <si>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</si>
  <si>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</si>
  <si>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</si>
  <si>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</si>
  <si>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</si>
  <si>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</si>
  <si>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</si>
  <si>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</si>
  <si>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</si>
  <si>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</si>
  <si>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</si>
  <si>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</si>
  <si>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</si>
  <si>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</si>
  <si>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</si>
  <si>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</si>
  <si>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</si>
  <si>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</si>
  <si>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</si>
  <si>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</si>
  <si>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</si>
  <si>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</si>
  <si>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</si>
  <si>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</si>
  <si>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</si>
  <si>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</si>
  <si>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</si>
  <si>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</si>
  <si>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</si>
  <si>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</si>
  <si>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</si>
  <si>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</si>
  <si>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</si>
  <si>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</si>
  <si>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</si>
  <si>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</si>
  <si>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</si>
  <si>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</si>
  <si>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</si>
  <si>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</si>
  <si>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</si>
  <si>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</si>
  <si>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</si>
  <si>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</si>
  <si>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</si>
  <si>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</si>
  <si>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</si>
  <si>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</si>
  <si>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</si>
  <si>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</si>
  <si>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</si>
  <si>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</si>
  <si>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</si>
  <si>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</si>
  <si>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</si>
  <si>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</si>
  <si>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</si>
  <si>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</si>
  <si>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</si>
  <si>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</si>
  <si>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</si>
  <si>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</si>
  <si>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</si>
  <si>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</si>
  <si>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</si>
  <si>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</si>
  <si>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</si>
  <si>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</si>
  <si>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</si>
  <si>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</si>
  <si>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</si>
  <si>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</si>
  <si>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</si>
  <si>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</si>
  <si>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</si>
  <si>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</si>
  <si>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</si>
  <si>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</si>
  <si>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</si>
  <si>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</si>
  <si>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</si>
  <si>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</si>
  <si>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</si>
  <si>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</si>
  <si>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</si>
  <si>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</si>
  <si>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</si>
  <si>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</si>
  <si>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</si>
  <si>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</si>
  <si>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</si>
  <si>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</si>
  <si>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</si>
  <si>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</si>
  <si>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</si>
  <si>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</si>
  <si>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</si>
  <si>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</si>
  <si>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</si>
  <si>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</si>
  <si>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</si>
  <si>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</si>
  <si>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</si>
  <si>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</si>
  <si>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</si>
  <si>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</si>
  <si>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</si>
  <si>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</si>
  <si>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</si>
  <si>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</si>
  <si>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</si>
  <si>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</si>
  <si>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</si>
  <si>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</si>
  <si>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</si>
  <si>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</si>
  <si>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</si>
  <si>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</si>
  <si>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</si>
  <si>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</si>
  <si>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</si>
  <si>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</si>
  <si>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</si>
  <si>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</si>
  <si>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</si>
  <si>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</si>
  <si>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</si>
  <si>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</si>
  <si>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</si>
  <si>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</si>
  <si>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</si>
  <si>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</si>
  <si>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</si>
  <si>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</si>
  <si>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</si>
  <si>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</si>
  <si>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</si>
  <si>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</si>
  <si>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</si>
  <si>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</si>
  <si>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</si>
  <si>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</si>
  <si>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</si>
  <si>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</si>
  <si>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</si>
  <si>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</si>
  <si>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</si>
  <si>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</si>
  <si>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</si>
  <si>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</si>
  <si>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</si>
  <si>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</si>
  <si>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</si>
  <si>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</si>
  <si>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</si>
  <si>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</si>
  <si>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</si>
  <si>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</si>
  <si>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</si>
  <si>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</si>
  <si>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</si>
  <si>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</si>
  <si>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</si>
  <si>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</si>
  <si>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</si>
  <si>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</si>
  <si>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</si>
  <si>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</si>
  <si>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</si>
  <si>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</si>
  <si>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</si>
  <si>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</si>
  <si>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</si>
  <si>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</si>
  <si>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</si>
  <si>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</si>
  <si>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</si>
  <si>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</si>
  <si>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</si>
  <si>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</si>
  <si>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</si>
  <si>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</si>
  <si>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</si>
  <si>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</si>
  <si>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</si>
  <si>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</si>
  <si>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</si>
  <si>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</si>
  <si>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</si>
  <si>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</si>
  <si>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</si>
  <si>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</si>
  <si>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</si>
  <si>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</si>
  <si>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</si>
  <si>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</si>
  <si>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</si>
  <si>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</si>
  <si>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</si>
  <si>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</si>
  <si>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</si>
  <si>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</si>
  <si>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</si>
  <si>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</si>
  <si>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</si>
  <si>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</si>
  <si>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</si>
  <si>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</si>
  <si>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</si>
  <si>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</si>
  <si>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</si>
  <si>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</si>
  <si>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</si>
  <si>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</si>
  <si>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</si>
  <si>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</si>
  <si>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</si>
  <si>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</si>
  <si>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</si>
  <si>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</si>
  <si>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</si>
  <si>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</si>
  <si>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</si>
  <si>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</si>
  <si>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</si>
  <si>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</si>
  <si>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</si>
  <si>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</si>
  <si>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</si>
  <si>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</si>
  <si>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</si>
  <si>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</si>
  <si>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</si>
  <si>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</si>
  <si>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</si>
  <si>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</si>
  <si>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</si>
  <si>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</si>
  <si>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</si>
  <si>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</si>
  <si>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</si>
  <si>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</si>
  <si>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</si>
  <si>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</si>
  <si>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</si>
  <si>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</si>
  <si>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</si>
  <si>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</si>
  <si>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</si>
  <si>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</si>
  <si>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</si>
  <si>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</si>
  <si>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</si>
  <si>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</si>
  <si>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</si>
  <si>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</si>
  <si>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</si>
  <si>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</si>
  <si>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</si>
  <si>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</si>
  <si>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</si>
  <si>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</si>
  <si>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</si>
  <si>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</si>
  <si>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</si>
  <si>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</si>
  <si>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</si>
  <si>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</si>
  <si>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</si>
  <si>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</si>
  <si>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</si>
  <si>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</si>
  <si>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</si>
  <si>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</si>
  <si>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</si>
  <si>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</si>
  <si>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</si>
  <si>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</si>
  <si>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</si>
  <si>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</si>
  <si>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</si>
  <si>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</si>
  <si>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</si>
  <si>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</si>
  <si>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</si>
  <si>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</si>
  <si>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</si>
  <si>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</si>
  <si>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</si>
  <si>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</si>
  <si>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</si>
  <si>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</si>
  <si>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</si>
  <si>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</si>
  <si>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</si>
  <si>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</si>
  <si>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</si>
  <si>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</si>
  <si>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</si>
  <si>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</si>
  <si>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</si>
  <si>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</si>
  <si>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</si>
  <si>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</si>
  <si>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</si>
  <si>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</si>
  <si>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</si>
  <si>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</si>
  <si>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</si>
  <si>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</si>
  <si>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</si>
  <si>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</si>
  <si>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</si>
  <si>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</si>
  <si>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</si>
  <si>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</si>
  <si>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</si>
  <si>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</si>
  <si>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</si>
  <si>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</si>
  <si>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</si>
  <si>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</si>
  <si>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</si>
  <si>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</si>
  <si>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</si>
  <si>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</si>
  <si>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</si>
  <si>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</si>
  <si>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</si>
  <si>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</si>
  <si>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</si>
  <si>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</si>
  <si>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</si>
  <si>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</si>
  <si>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</si>
  <si>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</si>
  <si>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</si>
  <si>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</si>
  <si>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</si>
  <si>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</si>
  <si>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</si>
  <si>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</si>
  <si>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</si>
  <si>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</si>
  <si>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</si>
  <si>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</si>
  <si>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</si>
  <si>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</si>
  <si>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</si>
  <si>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</si>
  <si>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</si>
  <si>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</si>
  <si>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</si>
  <si>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</si>
  <si>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</si>
  <si>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</si>
  <si>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</si>
  <si>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</si>
  <si>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</si>
  <si>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</si>
  <si>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</si>
  <si>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</si>
  <si>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</si>
  <si>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</si>
  <si>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</si>
  <si>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</si>
  <si>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</si>
  <si>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</si>
  <si>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</si>
  <si>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</si>
  <si>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</si>
  <si>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</si>
  <si>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</si>
  <si>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</si>
  <si>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</si>
  <si>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</si>
  <si>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</si>
  <si>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</si>
  <si>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</si>
  <si>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</si>
  <si>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</si>
  <si>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</si>
  <si>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</si>
  <si>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</si>
  <si>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</si>
  <si>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</si>
  <si>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</si>
  <si>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</si>
  <si>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</si>
  <si>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</si>
  <si>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</si>
  <si>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</si>
  <si>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</si>
  <si>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</si>
  <si>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</si>
  <si>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</si>
  <si>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</si>
  <si>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</si>
  <si>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</si>
  <si>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</si>
  <si>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</si>
  <si>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</si>
  <si>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</si>
  <si>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</si>
  <si>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</si>
  <si>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</si>
  <si>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</si>
  <si>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</si>
  <si>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</si>
  <si>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</si>
  <si>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</si>
  <si>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</si>
  <si>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</si>
  <si>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</si>
  <si>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</si>
  <si>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</si>
  <si>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</si>
  <si>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</si>
  <si>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</si>
  <si>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</si>
  <si>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</si>
  <si>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</si>
  <si>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</si>
  <si>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</si>
  <si>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</si>
  <si>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</si>
  <si>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</si>
  <si>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</si>
  <si>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</si>
  <si>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</si>
  <si>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</si>
  <si>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</si>
  <si>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</si>
  <si>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</si>
  <si>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</si>
  <si>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</si>
  <si>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</si>
  <si>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</si>
  <si>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</si>
  <si>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</si>
  <si>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</si>
  <si>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</si>
  <si>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</si>
  <si>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</si>
  <si>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</si>
  <si>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</si>
  <si>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</si>
  <si>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</si>
  <si>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</si>
  <si>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</si>
  <si>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</si>
  <si>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</si>
  <si>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</si>
  <si>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</si>
  <si>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</si>
  <si>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</si>
  <si>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</si>
  <si>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</si>
  <si>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</si>
  <si>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</si>
  <si>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</si>
  <si>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</si>
  <si>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</si>
  <si>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</si>
  <si>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</si>
  <si>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</si>
  <si>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</si>
  <si>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</si>
  <si>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</si>
  <si>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</si>
  <si>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</si>
  <si>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</si>
  <si>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</si>
  <si>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</si>
  <si>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</si>
  <si>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</si>
  <si>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</si>
  <si>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</si>
  <si>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</si>
  <si>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</si>
  <si>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</si>
  <si>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</si>
  <si>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</si>
  <si>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</si>
  <si>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</si>
  <si>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</si>
  <si>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</si>
  <si>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</si>
  <si>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</si>
  <si>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</si>
  <si>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</si>
  <si>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</si>
  <si>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</si>
  <si>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</si>
  <si>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</si>
  <si>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</si>
  <si>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</si>
  <si>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</si>
  <si>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</si>
  <si>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</si>
  <si>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</si>
  <si>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</si>
  <si>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</si>
  <si>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</si>
  <si>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</si>
  <si>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</si>
  <si>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</si>
  <si>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</si>
  <si>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</si>
  <si>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</si>
  <si>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</si>
  <si>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</si>
  <si>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</si>
  <si>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</si>
  <si>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</si>
  <si>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</si>
  <si>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</si>
  <si>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</si>
  <si>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</si>
  <si>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</si>
  <si>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</si>
  <si>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</si>
  <si>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</si>
  <si>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</si>
  <si>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</si>
  <si>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</si>
  <si>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</si>
  <si>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</si>
  <si>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</si>
  <si>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</si>
  <si>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</si>
  <si>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</si>
  <si>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</si>
  <si>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</si>
  <si>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</si>
  <si>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</si>
  <si>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</si>
  <si>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</si>
  <si>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</si>
  <si>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</si>
  <si>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</si>
  <si>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</si>
  <si>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</si>
  <si>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</si>
  <si>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</si>
  <si>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</si>
  <si>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</si>
  <si>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</si>
  <si>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</si>
  <si>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</si>
  <si>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</si>
  <si>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</si>
  <si>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</si>
  <si>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</si>
  <si>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</si>
  <si>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</si>
  <si>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</si>
  <si>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</si>
  <si>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</si>
  <si>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</si>
  <si>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</si>
  <si>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</si>
  <si>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</si>
  <si>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</si>
  <si>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</si>
  <si>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</si>
  <si>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</si>
  <si>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</si>
  <si>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</si>
  <si>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</si>
  <si>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</si>
  <si>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</si>
  <si>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</si>
  <si>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</si>
  <si>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</si>
  <si>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</si>
  <si>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</si>
  <si>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</si>
  <si>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</si>
  <si>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</si>
  <si>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</si>
  <si>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</si>
  <si>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</si>
  <si>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</si>
  <si>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</si>
  <si>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</si>
  <si>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</si>
  <si>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</si>
  <si>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</si>
  <si>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</si>
  <si>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</si>
  <si>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</si>
  <si>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</si>
  <si>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</si>
  <si>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</si>
  <si>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</si>
  <si>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</si>
  <si>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</si>
  <si>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</si>
  <si>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</si>
  <si>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</si>
  <si>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</si>
  <si>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</si>
  <si>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</si>
  <si>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</si>
  <si>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</si>
  <si>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</si>
  <si>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</si>
  <si>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</si>
  <si>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</si>
  <si>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</si>
  <si>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</si>
  <si>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</si>
  <si>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</si>
  <si>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</si>
  <si>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</si>
  <si>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</si>
  <si>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</si>
  <si>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</si>
  <si>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</si>
  <si>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</si>
  <si>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</si>
  <si>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</si>
  <si>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</si>
  <si>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</si>
  <si>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</si>
  <si>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</si>
  <si>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</si>
  <si>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</si>
  <si>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</si>
  <si>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</si>
  <si>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</si>
  <si>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</si>
  <si>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</si>
  <si>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</si>
  <si>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</si>
  <si>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</si>
  <si>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</si>
  <si>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</si>
  <si>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</si>
  <si>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</si>
  <si>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</si>
  <si>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</si>
  <si>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</si>
  <si>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</si>
  <si>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</si>
  <si>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</si>
  <si>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</si>
  <si>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</si>
  <si>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</si>
  <si>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</si>
  <si>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</si>
  <si>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</si>
  <si>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</si>
  <si>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</si>
  <si>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</si>
  <si>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</si>
  <si>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</si>
  <si>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</si>
  <si>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</si>
  <si>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</si>
  <si>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</si>
  <si>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</si>
  <si>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</si>
  <si>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</si>
  <si>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</si>
  <si>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</si>
  <si>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</si>
  <si>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</si>
  <si>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</si>
  <si>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</si>
  <si>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</si>
  <si>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</si>
  <si>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</si>
  <si>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</si>
  <si>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</si>
  <si>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</si>
  <si>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</si>
  <si>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</si>
  <si>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</si>
  <si>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</si>
  <si>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</si>
  <si>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</si>
  <si>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</si>
  <si>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</si>
  <si>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</si>
  <si>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</si>
  <si>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</si>
  <si>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</si>
  <si>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</si>
  <si>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</si>
  <si>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</si>
  <si>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</si>
  <si>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</si>
  <si>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</si>
  <si>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</si>
  <si>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</si>
  <si>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</si>
  <si>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</si>
  <si>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</si>
  <si>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</si>
  <si>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</si>
  <si>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</si>
  <si>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</si>
  <si>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</si>
  <si>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</si>
  <si>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</si>
  <si>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</si>
  <si>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</si>
  <si>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</si>
  <si>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</si>
  <si>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</si>
  <si>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</si>
  <si>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</si>
  <si>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</si>
  <si>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</si>
  <si>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</si>
  <si>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</si>
  <si>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</si>
  <si>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</si>
  <si>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</si>
  <si>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</si>
  <si>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</si>
  <si>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</si>
  <si>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</si>
  <si>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</si>
  <si>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</si>
  <si>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</si>
  <si>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</si>
  <si>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</si>
  <si>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</si>
  <si>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</si>
  <si>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</si>
  <si>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</si>
  <si>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</si>
  <si>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</si>
  <si>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</si>
  <si>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</si>
  <si>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</si>
  <si>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</si>
  <si>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</si>
  <si>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</si>
  <si>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</si>
  <si>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</si>
  <si>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</si>
  <si>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</si>
  <si>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</si>
  <si>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</si>
  <si>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</si>
  <si>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</si>
  <si>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</si>
  <si>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</si>
  <si>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</si>
  <si>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</si>
  <si>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</si>
  <si>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</si>
  <si>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</si>
  <si>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</si>
  <si>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</si>
  <si>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</si>
  <si>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</si>
  <si>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</si>
  <si>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</si>
  <si>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</si>
  <si>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</si>
  <si>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</si>
  <si>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</si>
  <si>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</si>
  <si>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</si>
  <si>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</si>
  <si>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</si>
  <si>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</si>
  <si>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</si>
  <si>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</si>
  <si>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</si>
  <si>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</si>
  <si>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</si>
  <si>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</si>
  <si>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</si>
  <si>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</si>
  <si>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</si>
  <si>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</si>
  <si>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</si>
  <si>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</si>
  <si>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</si>
  <si>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</si>
  <si>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</si>
  <si>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</si>
  <si>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</si>
  <si>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</si>
  <si>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</si>
  <si>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</si>
  <si>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</si>
  <si>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</si>
  <si>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</si>
  <si>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</si>
  <si>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</si>
  <si>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</si>
  <si>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</si>
  <si>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</si>
  <si>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</si>
  <si>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</si>
  <si>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</si>
  <si>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</si>
  <si>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</si>
  <si>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</si>
  <si>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</si>
  <si>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</si>
  <si>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</si>
  <si>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</si>
  <si>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</si>
  <si>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</si>
  <si>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</si>
  <si>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</si>
  <si>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</si>
  <si>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</si>
  <si>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</si>
  <si>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</si>
  <si>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</si>
  <si>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</si>
  <si>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</si>
  <si>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</si>
  <si>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</si>
  <si>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</si>
  <si>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</si>
  <si>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</si>
  <si>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</si>
  <si>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</si>
  <si>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</si>
  <si>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</si>
  <si>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</si>
  <si>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</si>
  <si>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</si>
  <si>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</si>
  <si>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</si>
  <si>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</si>
  <si>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</si>
  <si>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</si>
  <si>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</si>
  <si>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</si>
  <si>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</si>
  <si>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</si>
  <si>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</si>
  <si>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</si>
  <si>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</si>
  <si>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</si>
  <si>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</si>
  <si>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</si>
  <si>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</si>
  <si>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</si>
  <si>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</si>
  <si>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</si>
  <si>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</si>
  <si>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</si>
  <si>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</si>
  <si>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</si>
  <si>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</si>
  <si>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</si>
  <si>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</si>
  <si>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</si>
  <si>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</si>
  <si>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</si>
  <si>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</si>
  <si>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</si>
  <si>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</si>
  <si>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</si>
  <si>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</si>
  <si>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</si>
  <si>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</si>
  <si>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</si>
  <si>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</si>
  <si>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</si>
  <si>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</si>
  <si>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</si>
  <si>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</si>
  <si>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</si>
  <si>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</si>
  <si>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</si>
  <si>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</si>
  <si>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</si>
  <si>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</si>
  <si>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</si>
  <si>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</si>
  <si>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</si>
  <si>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</si>
  <si>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</si>
  <si>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</si>
  <si>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</si>
  <si>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</si>
  <si>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</si>
  <si>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</si>
  <si>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</si>
  <si>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</si>
  <si>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</si>
  <si>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</si>
  <si>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</si>
  <si>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</si>
  <si>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</si>
  <si>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</si>
  <si>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</si>
  <si>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</si>
  <si>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</si>
  <si>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</si>
  <si>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</si>
  <si>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</si>
  <si>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</si>
  <si>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</si>
  <si>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</si>
  <si>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</si>
  <si>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</si>
  <si>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</si>
  <si>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</si>
  <si>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</si>
  <si>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</si>
  <si>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</si>
  <si>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</si>
  <si>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</si>
  <si>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</si>
  <si>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</si>
  <si>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</si>
  <si>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</si>
  <si>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</si>
  <si>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</si>
  <si>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</si>
  <si>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</si>
  <si>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</si>
  <si>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</si>
  <si>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</si>
  <si>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</si>
  <si>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</si>
  <si>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</si>
  <si>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</si>
  <si>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</si>
  <si>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</si>
  <si>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</si>
  <si>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</si>
  <si>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</si>
  <si>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</si>
  <si>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</si>
  <si>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</si>
  <si>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</si>
  <si>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</si>
  <si>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</si>
  <si>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</si>
  <si>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</si>
  <si>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</si>
  <si>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</si>
  <si>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</si>
  <si>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</si>
  <si>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</si>
  <si>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</si>
  <si>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</si>
  <si>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</si>
  <si>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</si>
  <si>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</si>
  <si>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</si>
  <si>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</si>
  <si>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</si>
  <si>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</si>
  <si>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</si>
  <si>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</si>
  <si>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</si>
  <si>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</si>
  <si>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</si>
  <si>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</si>
  <si>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</si>
  <si>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</si>
  <si>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</si>
  <si>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</si>
  <si>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</si>
  <si>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</si>
  <si>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</si>
  <si>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</si>
  <si>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</si>
  <si>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</si>
  <si>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</si>
  <si>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</si>
  <si>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</si>
  <si>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</si>
  <si>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</si>
  <si>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</si>
  <si>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</si>
  <si>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</si>
  <si>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</si>
  <si>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</si>
  <si>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</si>
  <si>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</si>
  <si>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</si>
  <si>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</si>
  <si>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</si>
  <si>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</si>
  <si>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</si>
  <si>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</si>
  <si>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</si>
  <si>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</si>
  <si>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</si>
  <si>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</si>
  <si>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</si>
  <si>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</si>
  <si>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</si>
  <si>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</si>
  <si>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</si>
  <si>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</si>
  <si>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</si>
  <si>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</si>
  <si>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</si>
  <si>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</si>
  <si>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</si>
  <si>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</si>
  <si>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</si>
  <si>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</si>
  <si>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</si>
  <si>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</si>
  <si>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</si>
  <si>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</si>
  <si>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</si>
  <si>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</si>
  <si>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</si>
  <si>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</si>
  <si>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</si>
  <si>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</si>
  <si>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</si>
  <si>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</si>
  <si>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</si>
  <si>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</si>
  <si>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</si>
  <si>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</si>
  <si>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</si>
  <si>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</si>
  <si>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</si>
  <si>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</si>
  <si>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</si>
  <si>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</si>
  <si>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</si>
  <si>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</si>
  <si>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</si>
  <si>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</si>
  <si>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</si>
  <si>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</si>
  <si>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</si>
  <si>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</si>
  <si>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</si>
  <si>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</si>
  <si>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</si>
  <si>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</si>
  <si>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</si>
  <si>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</si>
  <si>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</si>
  <si>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</si>
  <si>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</si>
  <si>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</si>
  <si>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</si>
  <si>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</si>
  <si>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</si>
  <si>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</si>
  <si>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</si>
  <si>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</si>
  <si>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</si>
  <si>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</si>
  <si>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</si>
  <si>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</si>
  <si>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</si>
  <si>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</si>
  <si>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</si>
  <si>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</si>
  <si>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</si>
  <si>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</si>
  <si>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</si>
  <si>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</si>
  <si>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</si>
  <si>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</si>
  <si>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</si>
  <si>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</si>
  <si>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</si>
  <si>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</si>
  <si>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</si>
  <si>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</si>
  <si>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</si>
  <si>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</si>
  <si>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</si>
  <si>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</si>
  <si>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</si>
  <si>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</si>
  <si>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</si>
  <si>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</si>
  <si>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</si>
  <si>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</si>
  <si>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</si>
  <si>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</si>
  <si>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</si>
  <si>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</si>
  <si>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</si>
  <si>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</si>
  <si>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</si>
  <si>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</si>
  <si>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</si>
  <si>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</si>
  <si>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</si>
  <si>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</si>
  <si>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</si>
  <si>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</si>
  <si>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</si>
  <si>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</si>
  <si>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</si>
  <si>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</si>
  <si>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</si>
  <si>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</si>
  <si>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</si>
  <si>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</si>
  <si>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</si>
  <si>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</si>
  <si>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</si>
  <si>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</si>
  <si>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</si>
  <si>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</si>
  <si>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</si>
  <si>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</si>
  <si>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</si>
  <si>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</si>
  <si>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</si>
  <si>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</si>
  <si>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</si>
  <si>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</si>
  <si>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</si>
  <si>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</si>
  <si>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</si>
  <si>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</si>
  <si>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</si>
  <si>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</si>
  <si>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</si>
  <si>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</si>
  <si>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</si>
  <si>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</si>
  <si>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</si>
  <si>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</si>
  <si>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</si>
  <si>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</si>
  <si>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</si>
  <si>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</si>
  <si>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</si>
  <si>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</si>
  <si>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</si>
  <si>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</si>
  <si>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</si>
  <si>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</si>
  <si>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</si>
  <si>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</si>
  <si>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</si>
  <si>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</si>
  <si>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</si>
  <si>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</si>
  <si>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</si>
  <si>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</si>
  <si>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</si>
  <si>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</si>
  <si>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</si>
  <si>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</si>
  <si>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</si>
  <si>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</si>
  <si>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</si>
  <si>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</si>
  <si>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</si>
  <si>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</si>
  <si>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</si>
  <si>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</si>
  <si>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</si>
  <si>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</si>
  <si>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</si>
  <si>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</si>
  <si>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</si>
  <si>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</si>
  <si>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</si>
  <si>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</si>
  <si>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</si>
  <si>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</si>
  <si>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</si>
  <si>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</si>
  <si>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</si>
  <si>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</si>
  <si>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</si>
  <si>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</si>
  <si>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</si>
  <si>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</si>
  <si>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</si>
  <si>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</si>
  <si>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</si>
  <si>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</si>
  <si>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</si>
  <si>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</si>
  <si>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</si>
  <si>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</si>
  <si>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</si>
  <si>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</si>
  <si>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</si>
  <si>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</si>
  <si>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</si>
  <si>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</si>
  <si>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</si>
  <si>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</si>
  <si>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</si>
  <si>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</si>
  <si>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</si>
  <si>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</si>
  <si>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</si>
  <si>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</si>
  <si>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</si>
  <si>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</si>
  <si>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</si>
  <si>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</si>
  <si>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</si>
  <si>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</si>
  <si>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</si>
  <si>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</si>
  <si>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</si>
  <si>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</si>
  <si>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</si>
  <si>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</si>
  <si>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</si>
  <si>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</si>
  <si>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</si>
  <si>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</si>
  <si>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</si>
  <si>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</si>
  <si>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</si>
  <si>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</si>
  <si>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</si>
  <si>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</si>
  <si>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</si>
  <si>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</si>
  <si>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</si>
  <si>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</si>
  <si>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</si>
  <si>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</si>
  <si>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</si>
  <si>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</si>
  <si>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</si>
  <si>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</si>
  <si>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</si>
  <si>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</si>
  <si>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</si>
  <si>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</si>
  <si>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</si>
  <si>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</si>
  <si>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</si>
  <si>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</si>
  <si>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</si>
  <si>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</si>
  <si>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</si>
  <si>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</si>
  <si>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</si>
  <si>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</si>
  <si>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</si>
  <si>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</si>
  <si>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</si>
  <si>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</si>
  <si>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</si>
  <si>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</si>
  <si>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</si>
  <si>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</si>
  <si>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</si>
  <si>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</si>
  <si>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</si>
  <si>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</si>
  <si>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</si>
  <si>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</si>
  <si>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</si>
  <si>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</si>
  <si>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</si>
  <si>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</si>
  <si>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</si>
  <si>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</si>
  <si>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</si>
  <si>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</si>
  <si>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</si>
  <si>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</si>
  <si>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</si>
  <si>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</si>
  <si>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</si>
  <si>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</si>
  <si>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</si>
  <si>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</si>
  <si>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</si>
  <si>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</si>
  <si>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</si>
  <si>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</si>
  <si>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</si>
  <si>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</si>
  <si>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</si>
  <si>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</si>
  <si>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</si>
  <si>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</si>
  <si>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</si>
  <si>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</si>
  <si>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</si>
  <si>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</si>
  <si>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</si>
  <si>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</si>
  <si>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</si>
  <si>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</si>
  <si>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</si>
  <si>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</si>
  <si>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</si>
  <si>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</si>
  <si>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</si>
  <si>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</si>
  <si>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</si>
  <si>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</si>
  <si>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</si>
  <si>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</si>
  <si>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</si>
  <si>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</si>
  <si>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</si>
  <si>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</si>
  <si>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</si>
  <si>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</si>
  <si>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</si>
  <si>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</si>
  <si>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</si>
  <si>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</si>
  <si>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</si>
  <si>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</si>
  <si>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</si>
  <si>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</si>
  <si>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</si>
  <si>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</si>
  <si>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</si>
  <si>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</si>
  <si>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</si>
  <si>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</si>
  <si>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</si>
  <si>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</si>
  <si>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</si>
  <si>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</si>
  <si>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</si>
  <si>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</si>
  <si>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</si>
  <si>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</si>
  <si>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</si>
  <si>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</si>
  <si>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</si>
  <si>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</si>
  <si>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</si>
  <si>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</si>
  <si>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</si>
  <si>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</si>
  <si>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</si>
  <si>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</si>
  <si>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</si>
  <si>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</si>
  <si>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</si>
  <si>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</si>
  <si>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</si>
  <si>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</si>
  <si>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</si>
  <si>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</si>
  <si>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</si>
  <si>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</si>
  <si>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</si>
  <si>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</si>
  <si>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</si>
  <si>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</si>
  <si>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</si>
  <si>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</si>
  <si>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</si>
  <si>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</si>
  <si>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</si>
  <si>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</si>
  <si>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</si>
  <si>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</si>
  <si>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</si>
  <si>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</si>
  <si>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</si>
  <si>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</si>
  <si>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</si>
  <si>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</si>
  <si>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</si>
  <si>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</si>
  <si>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</si>
  <si>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</si>
  <si>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</si>
  <si>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</si>
  <si>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</si>
  <si>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</si>
  <si>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</si>
  <si>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</si>
  <si>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</si>
  <si>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</si>
  <si>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</si>
  <si>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</si>
  <si>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</si>
  <si>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</si>
  <si>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</si>
  <si>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</si>
  <si>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</si>
  <si>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</si>
  <si>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</si>
  <si>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</si>
  <si>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</si>
  <si>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</si>
  <si>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</si>
  <si>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</si>
  <si>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</si>
  <si>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</si>
  <si>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</si>
  <si>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</si>
  <si>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</si>
  <si>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</si>
  <si>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</si>
  <si>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</si>
  <si>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</si>
  <si>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</si>
  <si>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</si>
  <si>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</si>
  <si>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</si>
  <si>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</si>
  <si>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</si>
  <si>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</si>
  <si>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</si>
  <si>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</si>
  <si>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</si>
  <si>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</si>
  <si>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</si>
  <si>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</si>
  <si>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</si>
  <si>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</si>
  <si>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</si>
  <si>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</si>
  <si>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</si>
  <si>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</si>
  <si>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</si>
  <si>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</si>
  <si>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</si>
  <si>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</si>
  <si>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</si>
  <si>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</si>
  <si>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</si>
  <si>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</si>
  <si>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</si>
  <si>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</si>
  <si>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</si>
  <si>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</si>
  <si>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</si>
  <si>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</si>
  <si>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</si>
  <si>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</si>
  <si>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</si>
  <si>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</si>
  <si>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</si>
  <si>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</si>
  <si>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</si>
  <si>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</si>
  <si>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</si>
  <si>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</si>
  <si>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</si>
  <si>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</si>
  <si>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</si>
  <si>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</si>
  <si>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</si>
  <si>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</si>
  <si>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</si>
  <si>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</si>
  <si>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</si>
  <si>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</si>
  <si>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</si>
  <si>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</si>
  <si>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</si>
  <si>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</si>
  <si>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</si>
  <si>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</si>
  <si>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</si>
  <si>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</si>
  <si>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</si>
  <si>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</si>
  <si>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</si>
  <si>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</si>
  <si>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</si>
  <si>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</si>
  <si>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</si>
  <si>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</si>
  <si>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</si>
  <si>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</si>
  <si>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</si>
  <si>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</si>
  <si>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</si>
  <si>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</si>
  <si>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</si>
  <si>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</si>
  <si>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</si>
  <si>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</si>
  <si>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</si>
  <si>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</si>
  <si>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</si>
  <si>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</si>
  <si>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</si>
  <si>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</si>
  <si>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</si>
  <si>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</si>
  <si>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</si>
  <si>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</si>
  <si>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</si>
  <si>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</si>
  <si>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</si>
  <si>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</si>
  <si>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</si>
  <si>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</si>
  <si>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</si>
  <si>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</si>
  <si>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</si>
  <si>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</si>
  <si>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</si>
  <si>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</si>
  <si>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</si>
  <si>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</si>
  <si>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</si>
  <si>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</si>
  <si>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</si>
  <si>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</si>
  <si>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</si>
  <si>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</si>
  <si>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</si>
  <si>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</si>
  <si>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</si>
  <si>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</si>
  <si>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</si>
  <si>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</si>
  <si>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</si>
  <si>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</si>
  <si>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</si>
  <si>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</si>
  <si>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</si>
  <si>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</si>
  <si>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</si>
  <si>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</si>
  <si>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</si>
  <si>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</si>
  <si>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</si>
  <si>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</si>
  <si>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</si>
  <si>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</si>
  <si>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</si>
  <si>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</si>
  <si>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</si>
  <si>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</si>
  <si>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</si>
  <si>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</si>
  <si>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</si>
  <si>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</si>
  <si>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</si>
  <si>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</si>
  <si>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</si>
  <si>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</si>
  <si>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</si>
  <si>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</si>
  <si>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</si>
  <si>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</si>
  <si>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</si>
  <si>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</si>
  <si>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</si>
  <si>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</si>
  <si>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</si>
  <si>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</si>
  <si>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</si>
  <si>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</si>
  <si>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</si>
  <si>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</si>
  <si>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</si>
  <si>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</si>
  <si>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</si>
  <si>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</si>
  <si>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</si>
  <si>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</si>
  <si>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</si>
  <si>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</si>
  <si>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</si>
  <si>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</si>
  <si>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</si>
  <si>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</si>
  <si>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</si>
  <si>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</si>
  <si>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</si>
  <si>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</si>
  <si>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</si>
  <si>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</si>
  <si>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</si>
  <si>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</si>
  <si>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</si>
  <si>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</si>
  <si>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</si>
  <si>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</si>
  <si>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</si>
  <si>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</si>
  <si>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</si>
  <si>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</si>
  <si>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</si>
  <si>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</si>
  <si>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</si>
  <si>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</si>
  <si>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</si>
  <si>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</si>
  <si>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</si>
  <si>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</si>
  <si>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</si>
  <si>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</si>
  <si>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</si>
  <si>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</si>
  <si>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</si>
  <si>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</si>
  <si>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</si>
  <si>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</si>
  <si>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</si>
  <si>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</si>
  <si>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</si>
  <si>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</si>
  <si>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</si>
  <si>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</si>
  <si>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</si>
  <si>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</si>
  <si>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</si>
  <si>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</si>
  <si>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</si>
  <si>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</si>
  <si>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</si>
  <si>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</si>
  <si>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</si>
  <si>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</si>
  <si>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</si>
  <si>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</si>
  <si>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</si>
  <si>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</si>
  <si>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</si>
  <si>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</si>
  <si>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</si>
  <si>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</si>
  <si>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</si>
  <si>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</si>
  <si>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</si>
  <si>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</si>
  <si>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</si>
  <si>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</si>
  <si>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</si>
  <si>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</si>
  <si>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</si>
  <si>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</si>
  <si>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</si>
  <si>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</si>
  <si>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</si>
  <si>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</si>
  <si>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</si>
  <si>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</si>
  <si>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</si>
  <si>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</si>
  <si>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</si>
  <si>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</si>
  <si>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</si>
  <si>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</si>
  <si>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</si>
  <si>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</si>
  <si>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</si>
  <si>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</si>
  <si>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</si>
  <si>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</si>
  <si>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</si>
  <si>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</si>
  <si>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</si>
  <si>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</si>
  <si>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</si>
  <si>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</si>
  <si>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</si>
  <si>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</si>
  <si>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</si>
  <si>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</si>
  <si>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</si>
  <si>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</si>
  <si>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</si>
  <si>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</si>
  <si>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</si>
  <si>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</si>
  <si>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</si>
  <si>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</si>
  <si>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</si>
  <si>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</si>
  <si>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</si>
  <si>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</si>
  <si>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</si>
  <si>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</si>
  <si>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</si>
  <si>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</si>
  <si>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</si>
  <si>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</si>
  <si>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</si>
  <si>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</si>
  <si>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</si>
  <si>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</si>
  <si>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</si>
  <si>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</si>
  <si>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</si>
  <si>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</si>
  <si>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</si>
  <si>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</si>
  <si>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</si>
  <si>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</si>
  <si>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</si>
  <si>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</si>
  <si>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</si>
  <si>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</si>
  <si>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</si>
  <si>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</si>
  <si>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</si>
  <si>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</si>
  <si>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</si>
  <si>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</si>
  <si>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</si>
  <si>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</si>
  <si>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</si>
  <si>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</si>
  <si>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</si>
  <si>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</si>
  <si>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</si>
  <si>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</si>
  <si>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工业厂房</t>
    <phoneticPr fontId="7" type="noConversion"/>
  </si>
  <si>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</si>
  <si>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</si>
  <si>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</si>
  <si>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</si>
  <si>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</si>
  <si>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</si>
  <si>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</si>
  <si>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</si>
  <si>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</si>
  <si>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</si>
  <si>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</si>
  <si>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</si>
  <si>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</si>
  <si>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</si>
  <si>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</si>
  <si>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</si>
  <si>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</si>
  <si>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</si>
  <si>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</si>
  <si>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</si>
  <si>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</si>
  <si>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</si>
  <si>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</si>
  <si>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一期</t>
    <phoneticPr fontId="3" type="noConversion"/>
  </si>
  <si>
    <t>二期</t>
    <phoneticPr fontId="3" type="noConversion"/>
  </si>
  <si>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</si>
  <si>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</si>
  <si>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</si>
  <si>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</si>
  <si>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</si>
  <si>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</si>
  <si>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</si>
  <si>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</si>
  <si>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</si>
  <si>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</si>
  <si>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</si>
  <si>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</si>
  <si>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</si>
  <si>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</si>
  <si>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</si>
  <si>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</si>
  <si>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</si>
  <si>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</si>
  <si>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</si>
  <si>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</si>
  <si>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</si>
  <si>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</si>
  <si>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</si>
  <si>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</si>
  <si>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典型户型修正</t>
  </si>
  <si>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</si>
  <si>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0008269</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</si>
  <si>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0001616</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</si>
  <si>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</si>
  <si>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</si>
  <si>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</si>
  <si>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0008270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</si>
  <si>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0008272</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</si>
  <si>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0001353</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</si>
  <si>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</si>
  <si>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</si>
  <si>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0008096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</si>
  <si>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0006198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</si>
  <si>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0017881</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</si>
  <si>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</si>
  <si>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</si>
  <si>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0006199</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</si>
  <si>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</si>
  <si>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0006087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</si>
  <si>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0006090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</si>
  <si>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0006203</t>
    </r>
    <r>
      <rPr>
        <sz val="10"/>
        <color indexed="8"/>
        <rFont val="宋体"/>
        <family val="3"/>
        <charset val="134"/>
      </rPr>
      <t>号</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</si>
  <si>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</si>
  <si>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</si>
  <si>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</si>
  <si>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</si>
  <si>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</si>
  <si>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</si>
  <si>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</si>
  <si>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</si>
  <si>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</si>
  <si>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19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</si>
  <si>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</si>
  <si>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</si>
  <si>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</si>
  <si>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</si>
  <si>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</si>
  <si>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</si>
  <si>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</si>
  <si>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27</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</si>
  <si>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28</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</si>
  <si>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29</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</si>
  <si>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30</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</si>
  <si>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31</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</si>
  <si>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</si>
  <si>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</si>
  <si>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</si>
  <si>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大兴区长恒路</t>
    </r>
    <r>
      <rPr>
        <sz val="10"/>
        <color indexed="8"/>
        <rFont val="Arial"/>
        <family val="2"/>
      </rPr>
      <t>20</t>
    </r>
    <r>
      <rPr>
        <sz val="10"/>
        <color indexed="8"/>
        <rFont val="宋体"/>
        <family val="3"/>
        <charset val="134"/>
      </rPr>
      <t>号院</t>
    </r>
    <r>
      <rPr>
        <sz val="10"/>
        <color indexed="8"/>
        <rFont val="Arial"/>
        <family val="2"/>
      </rPr>
      <t>35</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r>
      <rPr>
        <sz val="10"/>
        <color indexed="8"/>
        <rFont val="Arial"/>
        <family val="2"/>
      </rPr>
      <t>101</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</si>
  <si>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0005298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</si>
  <si>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0005303</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</si>
  <si>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0005241</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</si>
  <si>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0005166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</si>
  <si>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0005160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</si>
  <si>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0001615</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</si>
  <si>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0002202</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</si>
  <si>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0002091</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</si>
  <si>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0002093</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</si>
  <si>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2019</t>
    </r>
    <r>
      <rPr>
        <sz val="10"/>
        <color indexed="8"/>
        <rFont val="宋体"/>
        <family val="3"/>
        <charset val="134"/>
      </rPr>
      <t>）大不动产权第</t>
    </r>
    <r>
      <rPr>
        <sz val="10"/>
        <color indexed="8"/>
        <rFont val="Arial"/>
        <family val="2"/>
      </rPr>
      <t>0002208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</si>
  <si>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</si>
  <si>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</si>
  <si>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0022554</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</si>
  <si>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0023256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</si>
  <si>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</si>
  <si>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0022605</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</si>
  <si>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0022557</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</si>
  <si>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0023258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</si>
  <si>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0023260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</si>
  <si>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0022550</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</si>
  <si>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0022546</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</si>
  <si>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0022668</t>
    </r>
    <r>
      <rPr>
        <sz val="10"/>
        <color indexed="8"/>
        <rFont val="宋体"/>
        <family val="3"/>
        <charset val="134"/>
      </rPr>
      <t>号</t>
    </r>
    <phoneticPr fontId="134" type="noConversion"/>
  </si>
  <si>
    <r>
      <rPr>
        <sz val="10"/>
        <color indexed="8"/>
        <rFont val="宋体"/>
        <family val="3"/>
        <charset val="134"/>
      </rPr>
      <t>京（</t>
    </r>
    <r>
      <rPr>
        <sz val="10"/>
        <color indexed="8"/>
        <rFont val="Arial"/>
        <family val="2"/>
      </rPr>
      <t>2020</t>
    </r>
    <r>
      <rPr>
        <sz val="10"/>
        <color indexed="8"/>
        <rFont val="宋体"/>
        <family val="3"/>
        <charset val="134"/>
      </rPr>
      <t>）大不动产权第</t>
    </r>
    <r>
      <rPr>
        <sz val="10"/>
        <color indexed="8"/>
        <rFont val="Arial"/>
        <family val="2"/>
      </rPr>
      <t>0022564</t>
    </r>
    <r>
      <rPr>
        <sz val="10"/>
        <color indexed="8"/>
        <rFont val="宋体"/>
        <family val="3"/>
        <charset val="134"/>
      </rPr>
      <t>号</t>
    </r>
    <phoneticPr fontId="134" type="noConversion"/>
  </si>
  <si>
    <t>——</t>
    <phoneticPr fontId="134" type="noConversion"/>
  </si>
  <si>
    <t>证号</t>
    <phoneticPr fontId="134" type="noConversion"/>
  </si>
  <si>
    <t>坐落</t>
    <phoneticPr fontId="134" type="noConversion"/>
  </si>
  <si>
    <t>序号</t>
    <phoneticPr fontId="134" type="noConversion"/>
  </si>
  <si>
    <t>建筑面积</t>
    <phoneticPr fontId="134" type="noConversion"/>
  </si>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</sst>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128" fillId="0" borderId="1" xfId="0" applyNumberFormat="1"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18" borderId="13" xfId="0" applyFont="1" applyFill="1" applyBorder="1" applyAlignment="1" applyProtection="1">
      <alignment horizontal="center" vertical="center"/>
      <protection locked="0"/>
    </xf>
    <xf numFmtId="0" fontId="44" fillId="18" borderId="1" xfId="0" applyFont="1" applyFill="1" applyBorder="1" applyAlignment="1" applyProtection="1">
      <alignment horizontal="center" vertical="center"/>
      <protection locked="0"/>
    </xf>
    <xf numFmtId="0" fontId="44" fillId="18" borderId="15" xfId="0" applyFont="1" applyFill="1" applyBorder="1" applyAlignment="1" applyProtection="1">
      <alignment horizontal="center" vertical="center"/>
      <protection locked="0"/>
    </xf>
    <xf numFmtId="0" fontId="44" fillId="18" borderId="2" xfId="0"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估价对象为北京市房地产，为所有。根据《国有土地使用证》[]，估价对象（分摊）出让国有建设用地使用权面积为0平方米，建筑面积为78042.85平方米。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估价对象为北京市房地产,为开发建设的，该项目尚在开发建设中。根据《国有土地使用证》[]，估价对象（分摊）出让国有建设用地使用权面积为0平方米，规划建筑面积为78042.85平方米。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2023年8月21日</v>
      </c>
    </row>
    <row r="13" spans="1:2" s="1201" customFormat="1">
      <c r="A13" s="1199" t="s">
        <v>529</v>
      </c>
      <c r="B13" s="1200"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本次评估采用的主估价方法为基准地价系数修正法和收益法。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63139</v>
      </c>
    </row>
    <row r="21" spans="1:2" s="1201" customFormat="1">
      <c r="A21" s="1199" t="s">
        <v>537</v>
      </c>
      <c r="B21" s="1200">
        <f ca="1">'预评函-2'!D7</f>
        <v>8090</v>
      </c>
    </row>
    <row r="22" spans="1:2" s="1201" customFormat="1">
      <c r="A22" s="1199" t="s">
        <v>538</v>
      </c>
      <c r="B22" s="1200" t="str">
        <f ca="1">'预评函-2'!D6</f>
        <v>陆亿叁仟壹佰叁拾玖万元整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63139</v>
      </c>
    </row>
    <row r="31" spans="1:2" s="1201" customFormat="1">
      <c r="A31" s="1199" t="s">
        <v>576</v>
      </c>
      <c r="B31" s="1200">
        <f ca="1">'预评函-2'!D15</f>
        <v>8090</v>
      </c>
    </row>
    <row r="32" spans="1:2" s="1201" customFormat="1">
      <c r="A32" s="1199" t="s">
        <v>543</v>
      </c>
      <c r="B32" s="1200" t="str">
        <f ca="1">'预评函-2'!D14</f>
        <v>陆亿叁仟壹佰叁拾玖万元整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78042.850000000006</v>
      </c>
    </row>
    <row r="44" spans="1:2" s="1201" customFormat="1" ht="31.2">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-1326</v>
      </c>
    </row>
    <row r="48" spans="1:2" s="1201" customFormat="1">
      <c r="A48" s="1199" t="s">
        <v>549</v>
      </c>
      <c r="B48" s="1200">
        <f ca="1">'预评函-3'!E4</f>
        <v>-170</v>
      </c>
    </row>
    <row r="49" spans="1:2" s="1201" customFormat="1">
      <c r="A49" s="1199" t="s">
        <v>550</v>
      </c>
      <c r="B49" s="1200" t="e">
        <f ca="1">'预评函-3'!D5</f>
        <v>#NUM!</v>
      </c>
    </row>
    <row r="50" spans="1:2" s="1201" customFormat="1">
      <c r="A50" s="1199" t="s">
        <v>574</v>
      </c>
      <c r="B50" s="1200" t="str">
        <f>'预评函-3'!F2</f>
        <v>在建建筑物价值</v>
      </c>
    </row>
    <row r="51" spans="1:2" s="1201" customFormat="1">
      <c r="A51" s="1199" t="s">
        <v>551</v>
      </c>
      <c r="B51" s="1200">
        <f ca="1">'预评函-3'!F4</f>
        <v>64465</v>
      </c>
    </row>
    <row r="52" spans="1:2" s="1201" customFormat="1">
      <c r="A52" s="1199" t="s">
        <v>552</v>
      </c>
      <c r="B52" s="1200">
        <f ca="1">'预评函-3'!G4</f>
        <v>8260</v>
      </c>
    </row>
    <row r="53" spans="1:2" s="1201" customFormat="1">
      <c r="A53" s="1199" t="s">
        <v>580</v>
      </c>
      <c r="B53" s="1200" t="str">
        <f ca="1">'预评函-3'!F5</f>
        <v>陆亿肆仟肆佰陆拾伍万元整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2" t="s">
        <v>385</v>
      </c>
      <c r="C54" s="1549" t="s">
        <v>583</v>
      </c>
    </row>
    <row r="55" spans="1:4">
      <c r="A55" s="3497"/>
      <c r="B55" s="1552" t="s">
        <v>386</v>
      </c>
      <c r="C55" s="1549" t="s">
        <v>584</v>
      </c>
    </row>
    <row r="56" spans="1:4">
      <c r="A56" s="3497"/>
      <c r="B56" s="1552" t="s">
        <v>387</v>
      </c>
      <c r="C56" s="1549" t="s">
        <v>588</v>
      </c>
    </row>
    <row r="57" spans="1:4">
      <c r="A57" s="349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8" t="s">
        <v>2583</v>
      </c>
      <c r="J2" s="3498"/>
      <c r="K2" s="3498"/>
      <c r="L2" s="3498"/>
      <c r="M2" s="3498"/>
      <c r="N2" s="3498"/>
      <c r="O2" s="3498"/>
      <c r="P2" s="3498"/>
      <c r="Q2" s="3498"/>
      <c r="R2" s="3498"/>
    </row>
    <row r="3" spans="1:18">
      <c r="A3" s="3018" t="s">
        <v>2504</v>
      </c>
      <c r="B3" s="3019">
        <f>项目基本情况!D3</f>
        <v>45159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5" thickBot="1">
      <c r="A18" s="3029" t="s">
        <v>2519</v>
      </c>
      <c r="B18" s="3030">
        <f>ROUND(B17*F11/F12,2)</f>
        <v>5541.87</v>
      </c>
      <c r="C18" s="3030">
        <f>ROUND(F11/F12,4)</f>
        <v>1.1521999999999999</v>
      </c>
      <c r="D18" s="3031"/>
      <c r="E18" s="3031"/>
      <c r="F18" s="3032"/>
    </row>
    <row r="19" spans="1:13" ht="15" thickBot="1"/>
    <row r="20" spans="1:13" s="3067" customFormat="1" ht="1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D3" sqref="D3"/>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45159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8"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10" t="s">
        <v>2176</v>
      </c>
      <c r="E8" s="2389"/>
      <c r="F8" s="2390"/>
      <c r="G8" s="2661"/>
      <c r="H8" s="2661"/>
      <c r="I8" s="2661"/>
      <c r="J8" s="2437"/>
      <c r="K8" s="2612"/>
      <c r="L8" s="2611"/>
      <c r="M8" s="2611"/>
      <c r="N8" s="2437"/>
      <c r="O8" s="2448"/>
      <c r="P8" s="2437"/>
      <c r="Q8" s="2437"/>
      <c r="R8" s="2437"/>
    </row>
    <row r="9" spans="1:30" ht="13.8" thickBot="1">
      <c r="A9" s="2391" t="s">
        <v>2177</v>
      </c>
      <c r="B9" s="2392" t="s">
        <v>3379</v>
      </c>
      <c r="C9" s="2393"/>
      <c r="D9" s="3511"/>
      <c r="E9" s="2392"/>
      <c r="F9" s="2394"/>
      <c r="G9" s="2663"/>
      <c r="H9" s="2663"/>
      <c r="I9" s="2663"/>
      <c r="J9" s="2437"/>
      <c r="K9" s="2614"/>
      <c r="L9" s="2611"/>
      <c r="M9" s="2611"/>
      <c r="N9" s="2437"/>
      <c r="O9" s="2448"/>
      <c r="P9" s="2437"/>
      <c r="Q9" s="2437"/>
      <c r="R9" s="2437"/>
    </row>
    <row r="10" spans="1:30" ht="13.8" thickTop="1">
      <c r="A10" s="2395" t="s">
        <v>2178</v>
      </c>
      <c r="B10" s="2396" t="s">
        <v>3380</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c r="F13" s="854"/>
      <c r="G13" s="854"/>
      <c r="H13" s="854">
        <v>59374</v>
      </c>
      <c r="I13" s="854"/>
      <c r="J13" s="3060"/>
      <c r="K13" s="2611"/>
      <c r="L13" s="2611"/>
      <c r="M13" s="2437"/>
      <c r="N13" s="2448"/>
      <c r="O13" s="2437"/>
      <c r="P13" s="2437"/>
      <c r="Q13" s="2437"/>
      <c r="AD13" s="1743"/>
    </row>
    <row r="14" spans="1:30">
      <c r="A14" s="1079"/>
      <c r="B14" s="2405" t="s">
        <v>2190</v>
      </c>
      <c r="C14" s="2406"/>
      <c r="D14" s="2406"/>
      <c r="E14" s="2406"/>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38.94</v>
      </c>
      <c r="I15" s="2408" t="str">
        <f>IF(A13="出让",IF(I13="","",ROUNDDOWN(MIN((I13-$D$3)/365,I14),2)),I14)</f>
        <v/>
      </c>
      <c r="J15" s="3062"/>
      <c r="K15" s="2449"/>
      <c r="L15" s="2449"/>
      <c r="M15" s="2507"/>
      <c r="N15" s="2449"/>
      <c r="O15" s="2507"/>
      <c r="P15" s="2437"/>
      <c r="Q15" s="2437"/>
      <c r="AD15" s="1743"/>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78042.850000000006</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6" thickBot="1">
      <c r="A18" s="2412" t="s">
        <v>2198</v>
      </c>
      <c r="B18" s="1088" t="s">
        <v>2199</v>
      </c>
      <c r="C18" s="2413">
        <f>'数据-汇总表'!D3</f>
        <v>0</v>
      </c>
      <c r="D18" s="1090"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200000000000003"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30"/>
      <c r="B21" s="2631" t="s">
        <v>2208</v>
      </c>
      <c r="C21" s="2632" t="s">
        <v>1057</v>
      </c>
      <c r="D21" s="1566" t="s">
        <v>2209</v>
      </c>
      <c r="E21" s="2633" t="s">
        <v>1057</v>
      </c>
      <c r="F21" s="2646"/>
      <c r="G21" s="2662"/>
      <c r="H21" s="2662"/>
      <c r="I21" s="2662"/>
      <c r="J21" s="2437"/>
      <c r="K21" s="351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30"/>
      <c r="B22" s="2634" t="s">
        <v>2210</v>
      </c>
      <c r="C22" s="2632" t="s">
        <v>1058</v>
      </c>
      <c r="D22" s="2661"/>
      <c r="E22" s="2661"/>
      <c r="F22" s="2661"/>
      <c r="G22" s="2662"/>
      <c r="H22" s="2662"/>
      <c r="I22" s="2662"/>
      <c r="J22" s="2437"/>
      <c r="K22" s="351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00"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1"/>
      <c r="B30" s="302" t="s">
        <v>2217</v>
      </c>
      <c r="C30" s="3502"/>
      <c r="D30" s="3503"/>
      <c r="E30" s="2662"/>
      <c r="F30" s="2662"/>
      <c r="G30" s="2662"/>
      <c r="H30" s="2662"/>
      <c r="I30" s="2662"/>
      <c r="J30" s="2437"/>
      <c r="K30" s="2614"/>
      <c r="L30" s="2611"/>
      <c r="M30" s="2611"/>
      <c r="N30" s="2437"/>
      <c r="O30" s="2448"/>
      <c r="P30" s="2437"/>
      <c r="Q30" s="2437"/>
      <c r="R30" s="2437"/>
      <c r="S30" s="2437"/>
      <c r="T30" s="2437"/>
      <c r="U30" s="2437"/>
      <c r="V30" s="2437"/>
    </row>
    <row r="31" spans="1:28">
      <c r="A31" s="3504"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9" t="s">
        <v>2227</v>
      </c>
      <c r="T34" s="2426" t="str">
        <f>NUMBERSTRING(7-K34,1)&amp;"通"</f>
        <v>七通</v>
      </c>
      <c r="U34" s="2437"/>
      <c r="V34" s="2437"/>
    </row>
    <row r="35" spans="1:30">
      <c r="A35" s="2427"/>
      <c r="B35" s="3506" t="s">
        <v>2228</v>
      </c>
      <c r="C35" s="3506"/>
      <c r="D35" s="3506"/>
      <c r="E35" s="3506"/>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8" thickBot="1">
      <c r="A38" s="2629" t="s">
        <v>2230</v>
      </c>
      <c r="B38" s="2430"/>
      <c r="C38" s="2430"/>
      <c r="D38" s="2430"/>
      <c r="E38" s="2430" t="s">
        <v>3010</v>
      </c>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2:F38"/>
  <sheetViews>
    <sheetView workbookViewId="0">
      <selection activeCell="J27" sqref="J27"/>
    </sheetView>
  </sheetViews>
  <sheetFormatPr defaultRowHeight="14.4"/>
  <cols>
    <col min="4" max="4" width="31.6640625" customWidth="1"/>
    <col min="5" max="5" width="33.44140625" customWidth="1"/>
    <col min="6" max="6" width="9.44140625" bestFit="1" customWidth="1"/>
  </cols>
  <sheetData>
    <row r="2" spans="3:6" ht="15.75" customHeight="1">
      <c r="C2" s="3450" t="s">
        <v>3510</v>
      </c>
      <c r="D2" s="1049" t="s">
        <v>3508</v>
      </c>
      <c r="E2" s="1049" t="s">
        <v>3509</v>
      </c>
      <c r="F2" s="3456" t="s">
        <v>3511</v>
      </c>
    </row>
    <row r="3" spans="3:6" ht="15.75" customHeight="1">
      <c r="C3" s="1049">
        <v>1</v>
      </c>
      <c r="D3" s="1049" t="s">
        <v>3438</v>
      </c>
      <c r="E3" s="1049" t="s">
        <v>3437</v>
      </c>
      <c r="F3" s="36">
        <v>1653.49</v>
      </c>
    </row>
    <row r="4" spans="3:6">
      <c r="C4" s="1049">
        <v>2</v>
      </c>
      <c r="D4" s="1049" t="s">
        <v>3439</v>
      </c>
      <c r="E4" s="1049" t="s">
        <v>3440</v>
      </c>
      <c r="F4" s="36">
        <v>2044.96</v>
      </c>
    </row>
    <row r="5" spans="3:6">
      <c r="C5" s="31">
        <v>3</v>
      </c>
      <c r="D5" s="1049" t="s">
        <v>3443</v>
      </c>
      <c r="E5" s="1049" t="s">
        <v>3441</v>
      </c>
      <c r="F5" s="36">
        <v>2044.96</v>
      </c>
    </row>
    <row r="6" spans="3:6">
      <c r="C6" s="31">
        <v>4</v>
      </c>
      <c r="D6" s="1049" t="s">
        <v>3444</v>
      </c>
      <c r="E6" s="1049" t="s">
        <v>3442</v>
      </c>
      <c r="F6" s="36">
        <v>1653.49</v>
      </c>
    </row>
    <row r="7" spans="3:6">
      <c r="C7" s="31">
        <v>5</v>
      </c>
      <c r="D7" s="1049" t="s">
        <v>3445</v>
      </c>
      <c r="E7" s="1049" t="s">
        <v>3446</v>
      </c>
      <c r="F7" s="36">
        <v>1629.97</v>
      </c>
    </row>
    <row r="8" spans="3:6">
      <c r="C8" s="31">
        <v>6</v>
      </c>
      <c r="D8" s="1049" t="s">
        <v>3448</v>
      </c>
      <c r="E8" s="1049" t="s">
        <v>3447</v>
      </c>
      <c r="F8" s="36">
        <v>1629.97</v>
      </c>
    </row>
    <row r="9" spans="3:6">
      <c r="C9" s="31">
        <v>7</v>
      </c>
      <c r="D9" s="1049" t="s">
        <v>3449</v>
      </c>
      <c r="E9" s="1049" t="s">
        <v>3451</v>
      </c>
      <c r="F9" s="36">
        <v>2219.6</v>
      </c>
    </row>
    <row r="10" spans="3:6">
      <c r="C10" s="1049">
        <v>8</v>
      </c>
      <c r="D10" s="1049" t="s">
        <v>3450</v>
      </c>
      <c r="E10" s="1049" t="s">
        <v>3452</v>
      </c>
      <c r="F10" s="36">
        <v>2219.6</v>
      </c>
    </row>
    <row r="11" spans="3:6">
      <c r="C11" s="31">
        <v>9</v>
      </c>
      <c r="D11" s="1049" t="s">
        <v>3453</v>
      </c>
      <c r="E11" s="1049" t="s">
        <v>3454</v>
      </c>
      <c r="F11" s="36">
        <v>1626.63</v>
      </c>
    </row>
    <row r="12" spans="3:6">
      <c r="C12" s="31">
        <v>10</v>
      </c>
      <c r="D12" s="1049" t="s">
        <v>3455</v>
      </c>
      <c r="E12" s="1049" t="s">
        <v>3458</v>
      </c>
      <c r="F12" s="36">
        <v>1630.43</v>
      </c>
    </row>
    <row r="13" spans="3:6">
      <c r="C13" s="31">
        <v>11</v>
      </c>
      <c r="D13" s="1049" t="s">
        <v>3456</v>
      </c>
      <c r="E13" s="1049" t="s">
        <v>3459</v>
      </c>
      <c r="F13" s="36">
        <v>1626.63</v>
      </c>
    </row>
    <row r="14" spans="3:6">
      <c r="C14" s="31">
        <v>12</v>
      </c>
      <c r="D14" s="1049" t="s">
        <v>3457</v>
      </c>
      <c r="E14" s="1049" t="s">
        <v>3460</v>
      </c>
      <c r="F14" s="36">
        <v>1626.63</v>
      </c>
    </row>
    <row r="15" spans="3:6">
      <c r="C15" s="31">
        <v>13</v>
      </c>
      <c r="D15" s="1049" t="s">
        <v>3484</v>
      </c>
      <c r="E15" s="1049" t="s">
        <v>3461</v>
      </c>
      <c r="F15" s="36">
        <v>2219.6</v>
      </c>
    </row>
    <row r="16" spans="3:6">
      <c r="C16" s="31">
        <v>14</v>
      </c>
      <c r="D16" s="1049" t="s">
        <v>3485</v>
      </c>
      <c r="E16" s="1049" t="s">
        <v>3462</v>
      </c>
      <c r="F16" s="36">
        <v>2219.6</v>
      </c>
    </row>
    <row r="17" spans="3:6">
      <c r="C17" s="31">
        <v>15</v>
      </c>
      <c r="D17" s="1049" t="s">
        <v>3486</v>
      </c>
      <c r="E17" s="1049" t="s">
        <v>3463</v>
      </c>
      <c r="F17" s="36">
        <v>1629.97</v>
      </c>
    </row>
    <row r="18" spans="3:6">
      <c r="C18" s="31">
        <v>16</v>
      </c>
      <c r="D18" s="1049" t="s">
        <v>3487</v>
      </c>
      <c r="E18" s="1049" t="s">
        <v>3464</v>
      </c>
      <c r="F18" s="36">
        <v>1629.97</v>
      </c>
    </row>
    <row r="19" spans="3:6">
      <c r="C19" s="31">
        <v>17</v>
      </c>
      <c r="D19" s="1049" t="s">
        <v>3488</v>
      </c>
      <c r="E19" s="1049" t="s">
        <v>3465</v>
      </c>
      <c r="F19" s="36">
        <v>1629.97</v>
      </c>
    </row>
    <row r="20" spans="3:6">
      <c r="C20" s="31">
        <v>18</v>
      </c>
      <c r="D20" s="1049" t="s">
        <v>3489</v>
      </c>
      <c r="E20" s="1049" t="s">
        <v>3466</v>
      </c>
      <c r="F20" s="36">
        <v>1629.97</v>
      </c>
    </row>
    <row r="21" spans="3:6">
      <c r="C21" s="31">
        <v>19</v>
      </c>
      <c r="D21" s="1049" t="s">
        <v>3490</v>
      </c>
      <c r="E21" s="1049" t="s">
        <v>3467</v>
      </c>
      <c r="F21" s="36">
        <v>2812</v>
      </c>
    </row>
    <row r="22" spans="3:6">
      <c r="C22" s="31">
        <v>20</v>
      </c>
      <c r="D22" s="1049" t="s">
        <v>3491</v>
      </c>
      <c r="E22" s="1049" t="s">
        <v>3468</v>
      </c>
      <c r="F22" s="36">
        <v>2736.94</v>
      </c>
    </row>
    <row r="23" spans="3:6">
      <c r="C23" s="31">
        <v>21</v>
      </c>
      <c r="D23" s="1049" t="s">
        <v>3492</v>
      </c>
      <c r="E23" s="1049" t="s">
        <v>3469</v>
      </c>
      <c r="F23" s="36">
        <v>1626.63</v>
      </c>
    </row>
    <row r="24" spans="3:6">
      <c r="C24" s="31">
        <v>22</v>
      </c>
      <c r="D24" s="1049" t="s">
        <v>3493</v>
      </c>
      <c r="E24" s="1049" t="s">
        <v>3470</v>
      </c>
      <c r="F24" s="36">
        <v>1630.43</v>
      </c>
    </row>
    <row r="25" spans="3:6">
      <c r="C25" s="31">
        <v>23</v>
      </c>
      <c r="D25" s="1049" t="s">
        <v>3494</v>
      </c>
      <c r="E25" s="1049" t="s">
        <v>3471</v>
      </c>
      <c r="F25" s="36">
        <v>3276.07</v>
      </c>
    </row>
    <row r="26" spans="3:6">
      <c r="C26" s="31">
        <v>24</v>
      </c>
      <c r="D26" s="1049" t="s">
        <v>3495</v>
      </c>
      <c r="E26" s="1049" t="s">
        <v>3472</v>
      </c>
      <c r="F26" s="36">
        <v>2224.09</v>
      </c>
    </row>
    <row r="27" spans="3:6">
      <c r="C27" s="31">
        <v>25</v>
      </c>
      <c r="D27" s="1049" t="s">
        <v>3496</v>
      </c>
      <c r="E27" s="1049" t="s">
        <v>3473</v>
      </c>
      <c r="F27" s="36">
        <v>2224.09</v>
      </c>
    </row>
    <row r="28" spans="3:6">
      <c r="C28" s="31">
        <v>26</v>
      </c>
      <c r="D28" s="1049" t="s">
        <v>3500</v>
      </c>
      <c r="E28" s="1049" t="s">
        <v>3474</v>
      </c>
      <c r="F28" s="36">
        <v>3276.07</v>
      </c>
    </row>
    <row r="29" spans="3:6">
      <c r="C29" s="31">
        <v>27</v>
      </c>
      <c r="D29" s="1049" t="s">
        <v>3497</v>
      </c>
      <c r="E29" s="1049" t="s">
        <v>3475</v>
      </c>
      <c r="F29" s="36">
        <v>3276.07</v>
      </c>
    </row>
    <row r="30" spans="3:6">
      <c r="C30" s="31">
        <v>28</v>
      </c>
      <c r="D30" s="1049" t="s">
        <v>3498</v>
      </c>
      <c r="E30" s="1049" t="s">
        <v>3476</v>
      </c>
      <c r="F30" s="36">
        <v>2224.09</v>
      </c>
    </row>
    <row r="31" spans="3:6">
      <c r="C31" s="31">
        <v>29</v>
      </c>
      <c r="D31" s="1049" t="s">
        <v>3499</v>
      </c>
      <c r="E31" s="1049" t="s">
        <v>3477</v>
      </c>
      <c r="F31" s="36">
        <v>2224.09</v>
      </c>
    </row>
    <row r="32" spans="3:6">
      <c r="C32" s="31">
        <v>30</v>
      </c>
      <c r="D32" s="1049" t="s">
        <v>3501</v>
      </c>
      <c r="E32" s="1049" t="s">
        <v>3478</v>
      </c>
      <c r="F32" s="36">
        <v>3276.07</v>
      </c>
    </row>
    <row r="33" spans="3:6">
      <c r="C33" s="31">
        <v>31</v>
      </c>
      <c r="D33" s="1049" t="s">
        <v>3502</v>
      </c>
      <c r="E33" s="1049" t="s">
        <v>3479</v>
      </c>
      <c r="F33" s="36">
        <v>3276.07</v>
      </c>
    </row>
    <row r="34" spans="3:6">
      <c r="C34" s="31">
        <v>32</v>
      </c>
      <c r="D34" s="1049" t="s">
        <v>3503</v>
      </c>
      <c r="E34" s="1049" t="s">
        <v>3480</v>
      </c>
      <c r="F34" s="36">
        <v>3271.37</v>
      </c>
    </row>
    <row r="35" spans="3:6">
      <c r="C35" s="31">
        <v>33</v>
      </c>
      <c r="D35" s="1049" t="s">
        <v>3504</v>
      </c>
      <c r="E35" s="1049" t="s">
        <v>3481</v>
      </c>
      <c r="F35" s="36">
        <v>3271.37</v>
      </c>
    </row>
    <row r="36" spans="3:6">
      <c r="C36" s="31">
        <v>34</v>
      </c>
      <c r="D36" s="1049" t="s">
        <v>3505</v>
      </c>
      <c r="E36" s="1049" t="s">
        <v>3482</v>
      </c>
      <c r="F36" s="36">
        <v>2425.98</v>
      </c>
    </row>
    <row r="37" spans="3:6">
      <c r="C37" s="31">
        <v>35</v>
      </c>
      <c r="D37" s="1049" t="s">
        <v>3506</v>
      </c>
      <c r="E37" s="1049" t="s">
        <v>3483</v>
      </c>
      <c r="F37" s="36">
        <v>2425.98</v>
      </c>
    </row>
    <row r="38" spans="3:6">
      <c r="C38" s="31"/>
      <c r="D38" s="31" t="s">
        <v>3507</v>
      </c>
      <c r="E38" s="31" t="s">
        <v>3507</v>
      </c>
      <c r="F38" s="36">
        <f>SUM(F3:F37)</f>
        <v>78042.849999999977</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7" activeCellId="1" sqref="C13:C25 C27:C48"/>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78042.850000000006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78042.850000000006</v>
      </c>
      <c r="H5" s="13">
        <f t="shared" ref="H5:AT5" si="0">SUM(H13:H656)</f>
        <v>78042.850000000006</v>
      </c>
      <c r="I5" s="13">
        <f t="shared" si="0"/>
        <v>78042.850000000006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78042.850000000006</v>
      </c>
      <c r="BA5" s="15">
        <f t="shared" si="1"/>
        <v>78042.850000000006</v>
      </c>
      <c r="BB5" s="15">
        <f t="shared" si="1"/>
        <v>78042.850000000006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3450" t="s">
        <v>3411</v>
      </c>
      <c r="C13" s="1049">
        <v>23</v>
      </c>
      <c r="D13" s="1623" t="s">
        <v>3384</v>
      </c>
      <c r="E13" s="13">
        <f>IF($C$3="是",ROUND($A$3*G13/$B$3,2),ROUND($A$3*(G13-AT13)/$B$3,2))</f>
        <v>0</v>
      </c>
      <c r="F13" s="29"/>
      <c r="G13" s="30">
        <f>H13+AC13+AT13</f>
        <v>3276.07</v>
      </c>
      <c r="H13" s="17">
        <f>SUMIF(I$12:AB$12,"总值",I13:AB13)</f>
        <v>3276.07</v>
      </c>
      <c r="I13" s="1624">
        <v>3276.07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t="str">
        <f t="shared" si="6"/>
        <v>二期</v>
      </c>
      <c r="AX13" s="8">
        <f t="shared" si="6"/>
        <v>23</v>
      </c>
      <c r="AY13" s="1347">
        <f>ROUND($AY$6*AZ13/$AZ$5,2)</f>
        <v>0</v>
      </c>
      <c r="AZ13" s="13">
        <f>BA13+BL13</f>
        <v>3276.07</v>
      </c>
      <c r="BA13" s="13">
        <f>SUM(BB13:BK13)</f>
        <v>3276.07</v>
      </c>
      <c r="BB13" s="13">
        <f>IF($D13="是",I13-J13,0)</f>
        <v>3276.07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049">
        <v>24</v>
      </c>
      <c r="D14" s="1623" t="s">
        <v>3384</v>
      </c>
      <c r="E14" s="13">
        <f>IF($C$3="是",ROUND($A$3*G14/$B$3,2),ROUND($A$3*(G14-AT14)/$B$3,2))</f>
        <v>0</v>
      </c>
      <c r="F14" s="29"/>
      <c r="G14" s="30">
        <f>H14+AC14+AT14</f>
        <v>2224.09</v>
      </c>
      <c r="H14" s="17">
        <f>SUMIF(I$12:AB$12,"总值",I14:AB14)</f>
        <v>2224.09</v>
      </c>
      <c r="I14" s="1624">
        <v>2224.09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24</v>
      </c>
      <c r="AY14" s="1347">
        <f>ROUND($AY$6*AZ14/$AZ$5,2)</f>
        <v>0</v>
      </c>
      <c r="AZ14" s="13">
        <f>BA14+BL14</f>
        <v>2224.09</v>
      </c>
      <c r="BA14" s="13">
        <f>SUM(BB14:BK14)</f>
        <v>2224.09</v>
      </c>
      <c r="BB14" s="13">
        <f>IF($D14="是",I14-J14,0)</f>
        <v>2224.09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049">
        <v>25</v>
      </c>
      <c r="D15" s="1623" t="s">
        <v>3384</v>
      </c>
      <c r="E15" s="13">
        <f>IF($C$3="是",ROUND($A$3*G15/$B$3,2),ROUND($A$3*(G15-AT15)/$B$3,2))</f>
        <v>0</v>
      </c>
      <c r="F15" s="29"/>
      <c r="G15" s="30">
        <f>H15+AC15+AT15</f>
        <v>2224.09</v>
      </c>
      <c r="H15" s="17">
        <f>SUMIF(I$12:AB$12,"总值",I15:AB15)</f>
        <v>2224.09</v>
      </c>
      <c r="I15" s="1624">
        <v>2224.09</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25</v>
      </c>
      <c r="AY15" s="1347">
        <f>ROUND($AY$6*AZ15/$AZ$5,2)</f>
        <v>0</v>
      </c>
      <c r="AZ15" s="13">
        <f>BA15+BL15</f>
        <v>2224.09</v>
      </c>
      <c r="BA15" s="13">
        <f>SUM(BB15:BK15)</f>
        <v>2224.09</v>
      </c>
      <c r="BB15" s="13">
        <f>IF($D15="是",I15-J15,0)</f>
        <v>2224.09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049">
        <v>26</v>
      </c>
      <c r="D16" s="1623" t="s">
        <v>3384</v>
      </c>
      <c r="E16" s="13">
        <f>IF($C$3="是",ROUND($A$3*G16/$B$3,2),ROUND($A$3*(G16-AT16)/$B$3,2))</f>
        <v>0</v>
      </c>
      <c r="F16" s="29"/>
      <c r="G16" s="30">
        <f>H16+AC16+AT16</f>
        <v>3276.07</v>
      </c>
      <c r="H16" s="17">
        <f>SUMIF(I$12:AB$12,"总值",I16:AB16)</f>
        <v>3276.07</v>
      </c>
      <c r="I16" s="1624">
        <v>3276.07</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26</v>
      </c>
      <c r="AY16" s="1347">
        <f>ROUND($AY$6*AZ16/$AZ$5,2)</f>
        <v>0</v>
      </c>
      <c r="AZ16" s="13">
        <f>BA16+BL16</f>
        <v>3276.07</v>
      </c>
      <c r="BA16" s="13">
        <f>SUM(BB16:BK16)</f>
        <v>3276.07</v>
      </c>
      <c r="BB16" s="13">
        <f>IF($D16="是",I16-J16,0)</f>
        <v>3276.07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049">
        <v>27</v>
      </c>
      <c r="D17" s="1623" t="s">
        <v>3384</v>
      </c>
      <c r="E17" s="13">
        <f>IF($C$3="是",ROUND($A$3*G17/$B$3,2),ROUND($A$3*(G17-AT17)/$B$3,2))</f>
        <v>0</v>
      </c>
      <c r="F17" s="29"/>
      <c r="G17" s="30">
        <f>H17+AC17+AT17</f>
        <v>3276.07</v>
      </c>
      <c r="H17" s="17">
        <f>SUMIF(I$12:AB$12,"总值",I17:AB17)</f>
        <v>3276.07</v>
      </c>
      <c r="I17" s="1624">
        <v>3276.07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27</v>
      </c>
      <c r="AY17" s="1347">
        <f>ROUND($AY$6*AZ17/$AZ$5,2)</f>
        <v>0</v>
      </c>
      <c r="AZ17" s="13">
        <f>BA17+BL17</f>
        <v>3276.07</v>
      </c>
      <c r="BA17" s="13">
        <f>SUM(BB17:BK17)</f>
        <v>3276.07</v>
      </c>
      <c r="BB17" s="13">
        <f>IF($D17="是",I17-J17,0)</f>
        <v>3276.07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v>28</v>
      </c>
      <c r="D18" s="1623" t="s">
        <v>3384</v>
      </c>
      <c r="E18" s="32">
        <f t="shared" ref="E18:E112" si="7">IF($C$3="是",ROUND($A$3*G18/$B$3,2),ROUND($A$3*(G18-AT18)/$B$3,2))</f>
        <v>0</v>
      </c>
      <c r="F18" s="33"/>
      <c r="G18" s="34">
        <f t="shared" ref="G18:G109" si="8">H18+AC18+AT18</f>
        <v>2224.09</v>
      </c>
      <c r="H18" s="35">
        <f t="shared" ref="H18:H109" si="9">SUMIF(I$12:AB$12,"总值",I18:AB18)</f>
        <v>2224.09</v>
      </c>
      <c r="I18" s="1624">
        <v>2224.09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28</v>
      </c>
      <c r="AY18" s="39">
        <f t="shared" ref="AY18:AY109" si="14">ROUND($AY$6*AZ18/$AZ$5,2)</f>
        <v>0</v>
      </c>
      <c r="AZ18" s="32">
        <f t="shared" ref="AZ18:AZ109" si="15">BA18+BL18</f>
        <v>2224.09</v>
      </c>
      <c r="BA18" s="32">
        <f t="shared" ref="BA18:BA109" si="16">SUM(BB18:BK18)</f>
        <v>2224.09</v>
      </c>
      <c r="BB18" s="32">
        <f t="shared" ref="BB18:BB109" si="17">IF($D18="是",I18-J18,0)</f>
        <v>2224.09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v>29</v>
      </c>
      <c r="D19" s="1623" t="s">
        <v>3384</v>
      </c>
      <c r="E19" s="32">
        <f t="shared" si="7"/>
        <v>0</v>
      </c>
      <c r="F19" s="33"/>
      <c r="G19" s="34">
        <f t="shared" si="8"/>
        <v>2224.09</v>
      </c>
      <c r="H19" s="35">
        <f t="shared" si="9"/>
        <v>2224.09</v>
      </c>
      <c r="I19" s="1624">
        <v>2224.09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29</v>
      </c>
      <c r="AY19" s="39">
        <f t="shared" si="14"/>
        <v>0</v>
      </c>
      <c r="AZ19" s="32">
        <f t="shared" si="15"/>
        <v>2224.09</v>
      </c>
      <c r="BA19" s="32">
        <f t="shared" si="16"/>
        <v>2224.09</v>
      </c>
      <c r="BB19" s="32">
        <f t="shared" si="17"/>
        <v>2224.09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v>30</v>
      </c>
      <c r="D20" s="1623" t="s">
        <v>3384</v>
      </c>
      <c r="E20" s="32">
        <f t="shared" si="7"/>
        <v>0</v>
      </c>
      <c r="F20" s="33"/>
      <c r="G20" s="34">
        <f t="shared" si="8"/>
        <v>3276.07</v>
      </c>
      <c r="H20" s="35">
        <f t="shared" si="9"/>
        <v>3276.07</v>
      </c>
      <c r="I20" s="1624">
        <v>3276.07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30</v>
      </c>
      <c r="AY20" s="39">
        <f t="shared" si="14"/>
        <v>0</v>
      </c>
      <c r="AZ20" s="32">
        <f t="shared" si="15"/>
        <v>3276.07</v>
      </c>
      <c r="BA20" s="32">
        <f t="shared" si="16"/>
        <v>3276.07</v>
      </c>
      <c r="BB20" s="32">
        <f t="shared" si="17"/>
        <v>3276.07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v>31</v>
      </c>
      <c r="D21" s="1623" t="s">
        <v>3384</v>
      </c>
      <c r="E21" s="32">
        <f t="shared" si="7"/>
        <v>0</v>
      </c>
      <c r="F21" s="33"/>
      <c r="G21" s="34">
        <f t="shared" si="8"/>
        <v>3276.07</v>
      </c>
      <c r="H21" s="35">
        <f t="shared" si="9"/>
        <v>3276.07</v>
      </c>
      <c r="I21" s="1624">
        <v>3276.07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31</v>
      </c>
      <c r="AY21" s="39">
        <f t="shared" si="14"/>
        <v>0</v>
      </c>
      <c r="AZ21" s="32">
        <f t="shared" si="15"/>
        <v>3276.07</v>
      </c>
      <c r="BA21" s="32">
        <f t="shared" si="16"/>
        <v>3276.07</v>
      </c>
      <c r="BB21" s="32">
        <f t="shared" si="17"/>
        <v>3276.07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v>32</v>
      </c>
      <c r="D22" s="1623" t="s">
        <v>3384</v>
      </c>
      <c r="E22" s="32">
        <f t="shared" si="7"/>
        <v>0</v>
      </c>
      <c r="F22" s="33"/>
      <c r="G22" s="34">
        <f t="shared" si="8"/>
        <v>3271.37</v>
      </c>
      <c r="H22" s="35">
        <f t="shared" si="9"/>
        <v>3271.37</v>
      </c>
      <c r="I22" s="1624">
        <v>3271.37</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32</v>
      </c>
      <c r="AY22" s="39">
        <f t="shared" si="14"/>
        <v>0</v>
      </c>
      <c r="AZ22" s="32">
        <f t="shared" si="15"/>
        <v>3271.37</v>
      </c>
      <c r="BA22" s="32">
        <f t="shared" si="16"/>
        <v>3271.37</v>
      </c>
      <c r="BB22" s="32">
        <f t="shared" si="17"/>
        <v>3271.37</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v>33</v>
      </c>
      <c r="D23" s="1623" t="s">
        <v>3384</v>
      </c>
      <c r="E23" s="32">
        <f t="shared" si="7"/>
        <v>0</v>
      </c>
      <c r="F23" s="33"/>
      <c r="G23" s="34">
        <f t="shared" si="8"/>
        <v>3271.37</v>
      </c>
      <c r="H23" s="35">
        <f t="shared" si="9"/>
        <v>3271.37</v>
      </c>
      <c r="I23" s="1624">
        <v>3271.37</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33</v>
      </c>
      <c r="AY23" s="39">
        <f t="shared" si="14"/>
        <v>0</v>
      </c>
      <c r="AZ23" s="32">
        <f t="shared" si="15"/>
        <v>3271.37</v>
      </c>
      <c r="BA23" s="32">
        <f t="shared" si="16"/>
        <v>3271.37</v>
      </c>
      <c r="BB23" s="32">
        <f t="shared" si="17"/>
        <v>3271.37</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v>34</v>
      </c>
      <c r="D24" s="1623" t="s">
        <v>3384</v>
      </c>
      <c r="E24" s="32">
        <f t="shared" si="7"/>
        <v>0</v>
      </c>
      <c r="F24" s="33"/>
      <c r="G24" s="34">
        <f t="shared" si="8"/>
        <v>2425.98</v>
      </c>
      <c r="H24" s="35">
        <f t="shared" si="9"/>
        <v>2425.98</v>
      </c>
      <c r="I24" s="1624">
        <v>2425.98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34</v>
      </c>
      <c r="AY24" s="39">
        <f t="shared" si="14"/>
        <v>0</v>
      </c>
      <c r="AZ24" s="32">
        <f t="shared" si="15"/>
        <v>2425.98</v>
      </c>
      <c r="BA24" s="32">
        <f t="shared" si="16"/>
        <v>2425.98</v>
      </c>
      <c r="BB24" s="32">
        <f t="shared" si="17"/>
        <v>2425.98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v>35</v>
      </c>
      <c r="D25" s="1623" t="s">
        <v>3384</v>
      </c>
      <c r="E25" s="32">
        <f t="shared" si="7"/>
        <v>0</v>
      </c>
      <c r="F25" s="33"/>
      <c r="G25" s="34">
        <f t="shared" si="8"/>
        <v>2425.98</v>
      </c>
      <c r="H25" s="35">
        <f t="shared" si="9"/>
        <v>2425.98</v>
      </c>
      <c r="I25" s="1624">
        <v>2425.98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35</v>
      </c>
      <c r="AY25" s="39">
        <f t="shared" si="14"/>
        <v>0</v>
      </c>
      <c r="AZ25" s="32">
        <f t="shared" si="15"/>
        <v>2425.98</v>
      </c>
      <c r="BA25" s="32">
        <f t="shared" si="16"/>
        <v>2425.98</v>
      </c>
      <c r="BB25" s="32">
        <f t="shared" si="17"/>
        <v>2425.98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4.4">
      <c r="A27" s="6"/>
      <c r="B27" s="3449" t="s">
        <v>3410</v>
      </c>
      <c r="C27" s="1049">
        <v>8</v>
      </c>
      <c r="D27" s="1623" t="s">
        <v>3384</v>
      </c>
      <c r="E27" s="32">
        <f t="shared" si="7"/>
        <v>0</v>
      </c>
      <c r="F27" s="33"/>
      <c r="G27" s="34">
        <f t="shared" si="8"/>
        <v>2219.6</v>
      </c>
      <c r="H27" s="35">
        <f t="shared" si="9"/>
        <v>2219.6</v>
      </c>
      <c r="I27" s="36">
        <v>2219.6</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t="str">
        <f t="shared" si="12"/>
        <v>一期</v>
      </c>
      <c r="AX27" s="1341">
        <f t="shared" si="13"/>
        <v>8</v>
      </c>
      <c r="AY27" s="39">
        <f t="shared" si="14"/>
        <v>0</v>
      </c>
      <c r="AZ27" s="32">
        <f t="shared" si="15"/>
        <v>2219.6</v>
      </c>
      <c r="BA27" s="32">
        <f t="shared" si="16"/>
        <v>2219.6</v>
      </c>
      <c r="BB27" s="32">
        <f t="shared" si="17"/>
        <v>2219.6</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v>1</v>
      </c>
      <c r="D28" s="1623" t="s">
        <v>3384</v>
      </c>
      <c r="E28" s="32">
        <f t="shared" si="7"/>
        <v>0</v>
      </c>
      <c r="F28" s="33"/>
      <c r="G28" s="34">
        <f t="shared" si="8"/>
        <v>1653.49</v>
      </c>
      <c r="H28" s="35">
        <f t="shared" si="9"/>
        <v>1653.49</v>
      </c>
      <c r="I28" s="36">
        <v>1653.49</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1</v>
      </c>
      <c r="AY28" s="39">
        <f t="shared" si="14"/>
        <v>0</v>
      </c>
      <c r="AZ28" s="32">
        <f t="shared" si="15"/>
        <v>1653.49</v>
      </c>
      <c r="BA28" s="32">
        <f t="shared" si="16"/>
        <v>1653.49</v>
      </c>
      <c r="BB28" s="32">
        <f t="shared" si="17"/>
        <v>1653.49</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v>2</v>
      </c>
      <c r="D29" s="1623" t="s">
        <v>3384</v>
      </c>
      <c r="E29" s="32">
        <f t="shared" si="7"/>
        <v>0</v>
      </c>
      <c r="F29" s="33"/>
      <c r="G29" s="34">
        <f t="shared" si="8"/>
        <v>2044.96</v>
      </c>
      <c r="H29" s="35">
        <f t="shared" si="9"/>
        <v>2044.96</v>
      </c>
      <c r="I29" s="36">
        <v>2044.96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2</v>
      </c>
      <c r="AY29" s="39">
        <f t="shared" si="14"/>
        <v>0</v>
      </c>
      <c r="AZ29" s="32">
        <f t="shared" si="15"/>
        <v>2044.96</v>
      </c>
      <c r="BA29" s="32">
        <f t="shared" si="16"/>
        <v>2044.96</v>
      </c>
      <c r="BB29" s="32">
        <f t="shared" si="17"/>
        <v>2044.96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3</v>
      </c>
      <c r="D30" s="1623" t="s">
        <v>3384</v>
      </c>
      <c r="E30" s="32">
        <f t="shared" si="7"/>
        <v>0</v>
      </c>
      <c r="F30" s="33"/>
      <c r="G30" s="34">
        <f t="shared" si="8"/>
        <v>2044.96</v>
      </c>
      <c r="H30" s="35">
        <f t="shared" si="9"/>
        <v>2044.96</v>
      </c>
      <c r="I30" s="36">
        <v>2044.96</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3</v>
      </c>
      <c r="AY30" s="39">
        <f t="shared" si="14"/>
        <v>0</v>
      </c>
      <c r="AZ30" s="32">
        <f t="shared" si="15"/>
        <v>2044.96</v>
      </c>
      <c r="BA30" s="32">
        <f t="shared" si="16"/>
        <v>2044.96</v>
      </c>
      <c r="BB30" s="32">
        <f t="shared" si="17"/>
        <v>2044.96</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4</v>
      </c>
      <c r="D31" s="1623" t="s">
        <v>3384</v>
      </c>
      <c r="E31" s="32">
        <f t="shared" si="7"/>
        <v>0</v>
      </c>
      <c r="F31" s="33"/>
      <c r="G31" s="34">
        <f t="shared" si="8"/>
        <v>1653.49</v>
      </c>
      <c r="H31" s="35">
        <f t="shared" si="9"/>
        <v>1653.49</v>
      </c>
      <c r="I31" s="36">
        <v>1653.49</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4</v>
      </c>
      <c r="AY31" s="39">
        <f t="shared" si="14"/>
        <v>0</v>
      </c>
      <c r="AZ31" s="32">
        <f t="shared" si="15"/>
        <v>1653.49</v>
      </c>
      <c r="BA31" s="32">
        <f t="shared" si="16"/>
        <v>1653.49</v>
      </c>
      <c r="BB31" s="32">
        <f t="shared" si="17"/>
        <v>1653.49</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v>5</v>
      </c>
      <c r="D32" s="1623" t="s">
        <v>3384</v>
      </c>
      <c r="E32" s="32">
        <f t="shared" si="7"/>
        <v>0</v>
      </c>
      <c r="F32" s="33"/>
      <c r="G32" s="34">
        <f t="shared" si="8"/>
        <v>1629.97</v>
      </c>
      <c r="H32" s="35">
        <f t="shared" si="9"/>
        <v>1629.97</v>
      </c>
      <c r="I32" s="36">
        <v>1629.97</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5</v>
      </c>
      <c r="AY32" s="39">
        <f t="shared" si="14"/>
        <v>0</v>
      </c>
      <c r="AZ32" s="32">
        <f t="shared" si="15"/>
        <v>1629.97</v>
      </c>
      <c r="BA32" s="32">
        <f t="shared" si="16"/>
        <v>1629.97</v>
      </c>
      <c r="BB32" s="32">
        <f t="shared" si="17"/>
        <v>1629.97</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v>6</v>
      </c>
      <c r="D33" s="1623" t="s">
        <v>3384</v>
      </c>
      <c r="E33" s="32">
        <f t="shared" si="7"/>
        <v>0</v>
      </c>
      <c r="F33" s="33"/>
      <c r="G33" s="34">
        <f t="shared" si="8"/>
        <v>1629.97</v>
      </c>
      <c r="H33" s="35">
        <f t="shared" si="9"/>
        <v>1629.97</v>
      </c>
      <c r="I33" s="36">
        <v>1629.97</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6</v>
      </c>
      <c r="AY33" s="39">
        <f t="shared" si="14"/>
        <v>0</v>
      </c>
      <c r="AZ33" s="32">
        <f t="shared" si="15"/>
        <v>1629.97</v>
      </c>
      <c r="BA33" s="32">
        <f t="shared" si="16"/>
        <v>1629.97</v>
      </c>
      <c r="BB33" s="32">
        <f t="shared" si="17"/>
        <v>1629.97</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v>7</v>
      </c>
      <c r="D34" s="1623" t="s">
        <v>3384</v>
      </c>
      <c r="E34" s="32">
        <f t="shared" si="7"/>
        <v>0</v>
      </c>
      <c r="F34" s="33"/>
      <c r="G34" s="34">
        <f t="shared" si="8"/>
        <v>2219.6</v>
      </c>
      <c r="H34" s="35">
        <f t="shared" si="9"/>
        <v>2219.6</v>
      </c>
      <c r="I34" s="36">
        <v>2219.6</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7</v>
      </c>
      <c r="AY34" s="39">
        <f t="shared" si="14"/>
        <v>0</v>
      </c>
      <c r="AZ34" s="32">
        <f t="shared" si="15"/>
        <v>2219.6</v>
      </c>
      <c r="BA34" s="32">
        <f t="shared" si="16"/>
        <v>2219.6</v>
      </c>
      <c r="BB34" s="32">
        <f t="shared" si="17"/>
        <v>2219.6</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v>9</v>
      </c>
      <c r="D35" s="1623" t="s">
        <v>3384</v>
      </c>
      <c r="E35" s="32">
        <f t="shared" si="7"/>
        <v>0</v>
      </c>
      <c r="F35" s="33"/>
      <c r="G35" s="34">
        <f t="shared" si="8"/>
        <v>1626.63</v>
      </c>
      <c r="H35" s="35">
        <f t="shared" si="9"/>
        <v>1626.63</v>
      </c>
      <c r="I35" s="36">
        <v>1626.63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9</v>
      </c>
      <c r="AY35" s="39">
        <f t="shared" si="14"/>
        <v>0</v>
      </c>
      <c r="AZ35" s="32">
        <f t="shared" si="15"/>
        <v>1626.63</v>
      </c>
      <c r="BA35" s="32">
        <f t="shared" si="16"/>
        <v>1626.63</v>
      </c>
      <c r="BB35" s="32">
        <f t="shared" si="17"/>
        <v>1626.63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v>10</v>
      </c>
      <c r="D36" s="1623" t="s">
        <v>3384</v>
      </c>
      <c r="E36" s="32">
        <f t="shared" si="7"/>
        <v>0</v>
      </c>
      <c r="F36" s="33"/>
      <c r="G36" s="34">
        <f t="shared" si="8"/>
        <v>1630.43</v>
      </c>
      <c r="H36" s="35">
        <f t="shared" si="9"/>
        <v>1630.43</v>
      </c>
      <c r="I36" s="36">
        <v>1630.43</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10</v>
      </c>
      <c r="AY36" s="39">
        <f t="shared" si="14"/>
        <v>0</v>
      </c>
      <c r="AZ36" s="32">
        <f t="shared" si="15"/>
        <v>1630.43</v>
      </c>
      <c r="BA36" s="32">
        <f t="shared" si="16"/>
        <v>1630.43</v>
      </c>
      <c r="BB36" s="32">
        <f t="shared" si="17"/>
        <v>1630.43</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v>11</v>
      </c>
      <c r="D37" s="1623" t="s">
        <v>3384</v>
      </c>
      <c r="E37" s="32">
        <f t="shared" si="7"/>
        <v>0</v>
      </c>
      <c r="F37" s="33"/>
      <c r="G37" s="34">
        <f t="shared" si="8"/>
        <v>1626.63</v>
      </c>
      <c r="H37" s="35">
        <f t="shared" si="9"/>
        <v>1626.63</v>
      </c>
      <c r="I37" s="36">
        <v>1626.63</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11</v>
      </c>
      <c r="AY37" s="39">
        <f t="shared" si="14"/>
        <v>0</v>
      </c>
      <c r="AZ37" s="32">
        <f t="shared" si="15"/>
        <v>1626.63</v>
      </c>
      <c r="BA37" s="32">
        <f t="shared" si="16"/>
        <v>1626.63</v>
      </c>
      <c r="BB37" s="32">
        <f t="shared" si="17"/>
        <v>1626.63</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v>22</v>
      </c>
      <c r="D38" s="1623" t="s">
        <v>3384</v>
      </c>
      <c r="E38" s="32">
        <f t="shared" si="7"/>
        <v>0</v>
      </c>
      <c r="F38" s="33"/>
      <c r="G38" s="34">
        <f t="shared" si="8"/>
        <v>1630.43</v>
      </c>
      <c r="H38" s="35">
        <f t="shared" si="9"/>
        <v>1630.43</v>
      </c>
      <c r="I38" s="36">
        <v>1630.43</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22</v>
      </c>
      <c r="AY38" s="39">
        <f t="shared" si="14"/>
        <v>0</v>
      </c>
      <c r="AZ38" s="32">
        <f t="shared" si="15"/>
        <v>1630.43</v>
      </c>
      <c r="BA38" s="32">
        <f t="shared" si="16"/>
        <v>1630.43</v>
      </c>
      <c r="BB38" s="32">
        <f t="shared" si="17"/>
        <v>1630.43</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v>21</v>
      </c>
      <c r="D39" s="1623" t="s">
        <v>3384</v>
      </c>
      <c r="E39" s="32">
        <f t="shared" si="7"/>
        <v>0</v>
      </c>
      <c r="F39" s="33"/>
      <c r="G39" s="34">
        <f t="shared" si="8"/>
        <v>1626.63</v>
      </c>
      <c r="H39" s="35">
        <f t="shared" si="9"/>
        <v>1626.63</v>
      </c>
      <c r="I39" s="36">
        <v>1626.63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21</v>
      </c>
      <c r="AY39" s="39">
        <f t="shared" si="14"/>
        <v>0</v>
      </c>
      <c r="AZ39" s="32">
        <f t="shared" si="15"/>
        <v>1626.63</v>
      </c>
      <c r="BA39" s="32">
        <f t="shared" si="16"/>
        <v>1626.63</v>
      </c>
      <c r="BB39" s="32">
        <f t="shared" si="17"/>
        <v>1626.63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v>20</v>
      </c>
      <c r="D40" s="1623" t="s">
        <v>3384</v>
      </c>
      <c r="E40" s="32">
        <f t="shared" si="7"/>
        <v>0</v>
      </c>
      <c r="F40" s="33"/>
      <c r="G40" s="34">
        <f t="shared" si="8"/>
        <v>2736.94</v>
      </c>
      <c r="H40" s="35">
        <f t="shared" si="9"/>
        <v>2736.94</v>
      </c>
      <c r="I40" s="36">
        <v>2736.94</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20</v>
      </c>
      <c r="AY40" s="39">
        <f t="shared" si="14"/>
        <v>0</v>
      </c>
      <c r="AZ40" s="32">
        <f t="shared" si="15"/>
        <v>2736.94</v>
      </c>
      <c r="BA40" s="32">
        <f t="shared" si="16"/>
        <v>2736.94</v>
      </c>
      <c r="BB40" s="32">
        <f t="shared" si="17"/>
        <v>2736.94</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v>19</v>
      </c>
      <c r="D41" s="1623" t="s">
        <v>3384</v>
      </c>
      <c r="E41" s="32">
        <f t="shared" si="7"/>
        <v>0</v>
      </c>
      <c r="F41" s="33"/>
      <c r="G41" s="34">
        <f t="shared" si="8"/>
        <v>2812</v>
      </c>
      <c r="H41" s="35">
        <f t="shared" si="9"/>
        <v>2812</v>
      </c>
      <c r="I41" s="36">
        <v>2812</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19</v>
      </c>
      <c r="AY41" s="39">
        <f t="shared" si="14"/>
        <v>0</v>
      </c>
      <c r="AZ41" s="32">
        <f t="shared" si="15"/>
        <v>2812</v>
      </c>
      <c r="BA41" s="32">
        <f t="shared" si="16"/>
        <v>2812</v>
      </c>
      <c r="BB41" s="32">
        <f t="shared" si="17"/>
        <v>2812</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v>18</v>
      </c>
      <c r="D42" s="1623" t="s">
        <v>3384</v>
      </c>
      <c r="E42" s="32">
        <f t="shared" si="7"/>
        <v>0</v>
      </c>
      <c r="F42" s="33"/>
      <c r="G42" s="34">
        <f t="shared" si="8"/>
        <v>1629.97</v>
      </c>
      <c r="H42" s="35">
        <f t="shared" si="9"/>
        <v>1629.97</v>
      </c>
      <c r="I42" s="36">
        <v>1629.97</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18</v>
      </c>
      <c r="AY42" s="39">
        <f t="shared" si="14"/>
        <v>0</v>
      </c>
      <c r="AZ42" s="32">
        <f t="shared" si="15"/>
        <v>1629.97</v>
      </c>
      <c r="BA42" s="32">
        <f t="shared" si="16"/>
        <v>1629.97</v>
      </c>
      <c r="BB42" s="32">
        <f t="shared" si="17"/>
        <v>1629.97</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v>17</v>
      </c>
      <c r="D43" s="1623" t="s">
        <v>3384</v>
      </c>
      <c r="E43" s="32">
        <f t="shared" si="7"/>
        <v>0</v>
      </c>
      <c r="F43" s="33"/>
      <c r="G43" s="34">
        <f t="shared" si="8"/>
        <v>1629.97</v>
      </c>
      <c r="H43" s="35">
        <f t="shared" si="9"/>
        <v>1629.97</v>
      </c>
      <c r="I43" s="36">
        <v>1629.97</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17</v>
      </c>
      <c r="AY43" s="39">
        <f t="shared" si="14"/>
        <v>0</v>
      </c>
      <c r="AZ43" s="32">
        <f t="shared" si="15"/>
        <v>1629.97</v>
      </c>
      <c r="BA43" s="32">
        <f t="shared" si="16"/>
        <v>1629.97</v>
      </c>
      <c r="BB43" s="32">
        <f t="shared" si="17"/>
        <v>1629.97</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v>16</v>
      </c>
      <c r="D44" s="1623" t="s">
        <v>3384</v>
      </c>
      <c r="E44" s="32">
        <f t="shared" si="7"/>
        <v>0</v>
      </c>
      <c r="F44" s="33"/>
      <c r="G44" s="34">
        <f t="shared" si="8"/>
        <v>1629.97</v>
      </c>
      <c r="H44" s="35">
        <f t="shared" si="9"/>
        <v>1629.97</v>
      </c>
      <c r="I44" s="36">
        <v>1629.97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16</v>
      </c>
      <c r="AY44" s="39">
        <f t="shared" si="14"/>
        <v>0</v>
      </c>
      <c r="AZ44" s="32">
        <f t="shared" si="15"/>
        <v>1629.97</v>
      </c>
      <c r="BA44" s="32">
        <f t="shared" si="16"/>
        <v>1629.97</v>
      </c>
      <c r="BB44" s="32">
        <f t="shared" si="17"/>
        <v>1629.97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v>15</v>
      </c>
      <c r="D45" s="1623" t="s">
        <v>3384</v>
      </c>
      <c r="E45" s="32">
        <f t="shared" si="7"/>
        <v>0</v>
      </c>
      <c r="F45" s="33"/>
      <c r="G45" s="34">
        <f t="shared" si="8"/>
        <v>1629.97</v>
      </c>
      <c r="H45" s="35">
        <f t="shared" si="9"/>
        <v>1629.97</v>
      </c>
      <c r="I45" s="36">
        <v>1629.97</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15</v>
      </c>
      <c r="AY45" s="39">
        <f t="shared" si="14"/>
        <v>0</v>
      </c>
      <c r="AZ45" s="32">
        <f t="shared" si="15"/>
        <v>1629.97</v>
      </c>
      <c r="BA45" s="32">
        <f t="shared" si="16"/>
        <v>1629.97</v>
      </c>
      <c r="BB45" s="32">
        <f t="shared" si="17"/>
        <v>1629.97</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v>14</v>
      </c>
      <c r="D46" s="1623" t="s">
        <v>3384</v>
      </c>
      <c r="E46" s="32">
        <f t="shared" si="7"/>
        <v>0</v>
      </c>
      <c r="F46" s="33"/>
      <c r="G46" s="34">
        <f t="shared" si="8"/>
        <v>2219.6</v>
      </c>
      <c r="H46" s="35">
        <f t="shared" si="9"/>
        <v>2219.6</v>
      </c>
      <c r="I46" s="36">
        <v>2219.6</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14</v>
      </c>
      <c r="AY46" s="39">
        <f t="shared" si="14"/>
        <v>0</v>
      </c>
      <c r="AZ46" s="32">
        <f t="shared" si="15"/>
        <v>2219.6</v>
      </c>
      <c r="BA46" s="32">
        <f t="shared" si="16"/>
        <v>2219.6</v>
      </c>
      <c r="BB46" s="32">
        <f t="shared" si="17"/>
        <v>2219.6</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v>13</v>
      </c>
      <c r="D47" s="1623" t="s">
        <v>3384</v>
      </c>
      <c r="E47" s="32">
        <f t="shared" si="7"/>
        <v>0</v>
      </c>
      <c r="F47" s="33"/>
      <c r="G47" s="34">
        <f t="shared" si="8"/>
        <v>2219.6</v>
      </c>
      <c r="H47" s="35">
        <f t="shared" si="9"/>
        <v>2219.6</v>
      </c>
      <c r="I47" s="36">
        <v>2219.6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13</v>
      </c>
      <c r="AY47" s="39">
        <f t="shared" si="14"/>
        <v>0</v>
      </c>
      <c r="AZ47" s="32">
        <f t="shared" si="15"/>
        <v>2219.6</v>
      </c>
      <c r="BA47" s="32">
        <f t="shared" si="16"/>
        <v>2219.6</v>
      </c>
      <c r="BB47" s="32">
        <f t="shared" si="17"/>
        <v>2219.6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v>12</v>
      </c>
      <c r="D48" s="1623" t="s">
        <v>3384</v>
      </c>
      <c r="E48" s="32">
        <f t="shared" si="7"/>
        <v>0</v>
      </c>
      <c r="F48" s="33"/>
      <c r="G48" s="34">
        <f t="shared" si="8"/>
        <v>1626.63</v>
      </c>
      <c r="H48" s="35">
        <f t="shared" si="9"/>
        <v>1626.63</v>
      </c>
      <c r="I48" s="36">
        <v>1626.63</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12</v>
      </c>
      <c r="AY48" s="39">
        <f t="shared" si="14"/>
        <v>0</v>
      </c>
      <c r="AZ48" s="32">
        <f t="shared" si="15"/>
        <v>1626.63</v>
      </c>
      <c r="BA48" s="32">
        <f t="shared" si="16"/>
        <v>1626.63</v>
      </c>
      <c r="BB48" s="32">
        <f t="shared" si="17"/>
        <v>1626.63</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8" sqref="E38"/>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38" t="s">
        <v>1131</v>
      </c>
      <c r="B2" s="3538"/>
      <c r="C2" s="3538"/>
      <c r="D2" s="794" t="s">
        <v>1107</v>
      </c>
      <c r="E2" s="1637" t="s">
        <v>1108</v>
      </c>
      <c r="F2" s="2657"/>
      <c r="G2" s="2648"/>
      <c r="H2" s="2649"/>
      <c r="I2" s="2323" t="s">
        <v>1132</v>
      </c>
      <c r="J2" s="2657"/>
      <c r="K2" s="2657"/>
      <c r="L2" s="2657"/>
      <c r="M2" s="2657"/>
      <c r="N2" s="2659"/>
      <c r="O2" s="2657"/>
      <c r="P2" s="2657"/>
    </row>
    <row r="3" spans="1:16" ht="15" thickBot="1">
      <c r="A3" s="3539" t="s">
        <v>1105</v>
      </c>
      <c r="B3" s="3539"/>
      <c r="C3" s="3539"/>
      <c r="D3" s="43">
        <f>'数据-基础表'!AY6</f>
        <v>0</v>
      </c>
      <c r="E3" s="43">
        <f>'数据-基础表'!AZ5</f>
        <v>78042.850000000006</v>
      </c>
      <c r="F3" s="2657"/>
      <c r="G3" s="1143"/>
      <c r="H3" s="1024" t="s">
        <v>1106</v>
      </c>
      <c r="I3" s="853" t="e">
        <f>ROUND('数据-基础表'!B3/'数据-基础表'!A3,2)</f>
        <v>#DIV/0!</v>
      </c>
      <c r="J3" s="2657"/>
      <c r="K3" s="2657"/>
      <c r="L3" s="2657"/>
      <c r="M3" s="2657"/>
      <c r="N3" s="2659"/>
      <c r="O3" s="2657"/>
      <c r="P3" s="2657"/>
    </row>
    <row r="4" spans="1:16" ht="14.4">
      <c r="A4" s="3540"/>
      <c r="B4" s="3541"/>
      <c r="C4" s="3542"/>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ht="14.4">
      <c r="A5" s="44" t="s">
        <v>1109</v>
      </c>
      <c r="B5" s="3543" t="s">
        <v>1110</v>
      </c>
      <c r="C5" s="3543"/>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3" t="s">
        <v>1111</v>
      </c>
      <c r="C6" s="3543"/>
      <c r="D6" s="45">
        <f>ROUND($D$3*E6/$E$3,2)</f>
        <v>0</v>
      </c>
      <c r="E6" s="46">
        <f>E3-E5</f>
        <v>78042.850000000006</v>
      </c>
      <c r="F6" s="2657"/>
      <c r="G6" s="2651" t="s">
        <v>1112</v>
      </c>
      <c r="H6" s="1144" t="s">
        <v>1113</v>
      </c>
      <c r="I6" s="2652" t="e">
        <f>ROUND(F31/D31,2)</f>
        <v>#DIV/0!</v>
      </c>
      <c r="J6" s="2657"/>
      <c r="K6" s="2657"/>
      <c r="L6" s="2657"/>
      <c r="M6" s="2657"/>
      <c r="N6" s="2657"/>
      <c r="O6" s="2657"/>
      <c r="P6" s="2657"/>
    </row>
    <row r="7" spans="1:16" ht="15" thickBot="1">
      <c r="A7" s="3535"/>
      <c r="B7" s="3536"/>
      <c r="C7" s="3537"/>
      <c r="D7" s="1639" t="s">
        <v>1107</v>
      </c>
      <c r="E7" s="1643" t="s">
        <v>1114</v>
      </c>
      <c r="F7" s="2657"/>
      <c r="G7" s="2653" t="s">
        <v>1115</v>
      </c>
      <c r="H7" s="2654"/>
      <c r="I7" s="2655">
        <v>1</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78042.850000000006</v>
      </c>
      <c r="F8" s="2657"/>
      <c r="G8" s="2658"/>
      <c r="H8" s="2658"/>
      <c r="I8" s="2657"/>
      <c r="J8" s="2657"/>
      <c r="K8" s="2657"/>
      <c r="L8" s="2657"/>
      <c r="M8" s="2657"/>
      <c r="N8" s="2657"/>
      <c r="O8" s="2657"/>
      <c r="P8" s="2657"/>
    </row>
    <row r="9" spans="1:16" ht="14.4">
      <c r="A9" s="1644"/>
      <c r="B9" s="1645"/>
      <c r="C9" s="45" t="s">
        <v>1119</v>
      </c>
      <c r="D9" s="45">
        <f t="shared" si="0"/>
        <v>0</v>
      </c>
      <c r="E9" s="49">
        <v>0</v>
      </c>
      <c r="F9" s="2657"/>
      <c r="G9" s="2658"/>
      <c r="H9" s="2658"/>
      <c r="I9" s="2657"/>
      <c r="J9" s="2657"/>
      <c r="K9" s="2657"/>
      <c r="L9" s="2657"/>
      <c r="M9" s="2657"/>
      <c r="N9" s="2657"/>
      <c r="O9" s="2657"/>
      <c r="P9" s="2657"/>
    </row>
    <row r="10" spans="1:16" ht="14.4">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2"/>
      <c r="B16" s="1645"/>
      <c r="C16" s="47" t="s">
        <v>1123</v>
      </c>
      <c r="D16" s="47">
        <f>SUM(D8:D15)</f>
        <v>0</v>
      </c>
      <c r="E16" s="50">
        <f>SUM(E8:E15)</f>
        <v>78042.850000000006</v>
      </c>
      <c r="F16" s="2657"/>
      <c r="G16" s="2658"/>
      <c r="H16" s="1646" t="s">
        <v>1135</v>
      </c>
      <c r="I16" s="1647"/>
      <c r="J16" s="1137"/>
      <c r="K16" s="3532" t="s">
        <v>1135</v>
      </c>
      <c r="L16" s="3533"/>
      <c r="M16" s="3533"/>
      <c r="N16" s="3533"/>
      <c r="O16" s="3533"/>
      <c r="P16" s="3534"/>
    </row>
    <row r="17" spans="1:19" ht="14.4">
      <c r="A17" s="1648" t="s">
        <v>1136</v>
      </c>
      <c r="B17" s="1649" t="s">
        <v>1137</v>
      </c>
      <c r="C17" s="1650" t="s">
        <v>1138</v>
      </c>
      <c r="D17" s="1651" t="s">
        <v>1126</v>
      </c>
      <c r="E17" s="1652" t="s">
        <v>1127</v>
      </c>
      <c r="F17" s="1653"/>
      <c r="G17" s="1654"/>
      <c r="H17" s="1655" t="s">
        <v>1139</v>
      </c>
      <c r="I17" s="1656" t="s">
        <v>1124</v>
      </c>
      <c r="J17" s="1137"/>
      <c r="K17" s="3529" t="s">
        <v>1140</v>
      </c>
      <c r="L17" s="3530"/>
      <c r="M17" s="3531"/>
      <c r="N17" s="3529" t="s">
        <v>1141</v>
      </c>
      <c r="O17" s="3530"/>
      <c r="P17" s="3531"/>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15" t="s">
        <v>3386</v>
      </c>
      <c r="D19" s="45">
        <f>ROUND($D$3*E19/$E$3,2)</f>
        <v>0</v>
      </c>
      <c r="E19" s="53">
        <f t="shared" ref="E19:E26" si="1">SUM(F19:G19)</f>
        <v>78042.850000000006</v>
      </c>
      <c r="F19" s="2793">
        <f>'数据-基础表'!I5</f>
        <v>78042.850000000006</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78042.850000000006</v>
      </c>
    </row>
    <row r="20" spans="1:19" ht="14.4">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ht="14.4">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ht="14.4">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1154</v>
      </c>
      <c r="D27" s="1138">
        <f>SUM(D19:D26)</f>
        <v>0</v>
      </c>
      <c r="E27" s="1139">
        <f>IF(SUM(E19:E26)='数据-基础表'!BA5,SUM(E19:E26),IF(F27="地上面积有误","面积有误","地下面积有误"))</f>
        <v>78042.850000000006</v>
      </c>
      <c r="F27" s="1138">
        <f>IF(SUM(F19:F26)=E8,SUM(F19:F26),"地上面积有误")</f>
        <v>78042.850000000006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78042.850000000006</v>
      </c>
    </row>
    <row r="28" spans="1:19" ht="14.4">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 thickBot="1">
      <c r="A31" s="1674"/>
      <c r="B31" s="1675"/>
      <c r="C31" s="833" t="s">
        <v>1158</v>
      </c>
      <c r="D31" s="674">
        <f>D27+D30</f>
        <v>0</v>
      </c>
      <c r="E31" s="674">
        <f>E27+E30</f>
        <v>78042.850000000006</v>
      </c>
      <c r="F31" s="675">
        <f>F27+F30</f>
        <v>78042.850000000006</v>
      </c>
      <c r="G31" s="676">
        <f>G27+G30</f>
        <v>0</v>
      </c>
      <c r="H31" s="2657"/>
      <c r="I31" s="2657"/>
      <c r="J31" s="2657"/>
      <c r="K31" s="2657"/>
      <c r="L31" s="2657"/>
      <c r="M31" s="2657"/>
      <c r="N31" s="2657"/>
      <c r="O31" s="2657"/>
      <c r="P31" s="2657"/>
    </row>
    <row r="32" spans="1:19" ht="14.4">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F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 thickBot="1">
      <c r="A2" s="1681" t="s">
        <v>1161</v>
      </c>
      <c r="B2" s="1043">
        <f>项目基本情况!D3</f>
        <v>45159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工业厂房</v>
      </c>
      <c r="B6" s="1711" t="str">
        <f>IF(A6=0,"","经营性")</f>
        <v>经营性</v>
      </c>
      <c r="C6" s="1712" t="s">
        <v>3</v>
      </c>
      <c r="D6" s="856">
        <f>SUMIF(项目基本情况!C$12:I$12,C6,项目基本情况!C$14:I$14)</f>
        <v>50</v>
      </c>
      <c r="E6" s="855">
        <f>IF(B6="","",SUMIF(项目基本情况!C$12:I$12,C6,项目基本情况!C$13:I$13))</f>
        <v>59374</v>
      </c>
      <c r="F6" s="64">
        <f>SUMIF(项目基本情况!C$12:I$12,C6,项目基本情况!C$15:I$15)</f>
        <v>38.94</v>
      </c>
      <c r="G6" s="65">
        <f>IF(ISERROR(ROUND(POWER(1+H6,D6-F6)*(POWER(1+H6,F6)-1)/(POWER(1+H6,D6)-1),3)),0,ROUND(POWER(1+H6,D6-F6)*(POWER(1+H6,F6)-1)/(POWER(1+H6,D6)-1),3))</f>
        <v>0.93200000000000005</v>
      </c>
      <c r="H6" s="730">
        <v>0.05</v>
      </c>
      <c r="I6" s="730">
        <v>5.5E-2</v>
      </c>
      <c r="J6" s="66">
        <v>7.0000000000000007E-2</v>
      </c>
      <c r="K6" s="1028">
        <f>SUMIF('数据-汇总表'!C$19:C$33,A6,'数据-汇总表'!E$19:E$33)</f>
        <v>78042.850000000006</v>
      </c>
      <c r="L6" s="731">
        <v>3500</v>
      </c>
      <c r="M6" s="67">
        <f t="shared" ref="M6:M14" si="0">ROUND(K6*L6/10000,0)</f>
        <v>27315</v>
      </c>
      <c r="N6" s="729">
        <f>N21</f>
        <v>0.95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1.45</v>
      </c>
      <c r="V6" s="70">
        <v>0.02</v>
      </c>
      <c r="W6" s="70">
        <v>0.15</v>
      </c>
      <c r="X6" s="1038"/>
      <c r="Y6" s="71">
        <f>N6</f>
        <v>0.95</v>
      </c>
      <c r="Z6" s="72"/>
      <c r="AA6" s="66"/>
      <c r="AB6" s="66"/>
      <c r="AC6" s="1038"/>
      <c r="AD6" s="73"/>
      <c r="AE6" s="1039">
        <f ca="1">IF(AN6="",0,SUMIF(INDIRECT("'"&amp;AN6&amp;"'"&amp;"!E:E"),$AE$5,INDIRECT("'"&amp;AN6&amp;"'"&amp;"!F:F")))</f>
        <v>38.94</v>
      </c>
      <c r="AF6" s="1346"/>
      <c r="AG6" s="138">
        <f>IF(AF6="",0,AE6-AF6)</f>
        <v>0</v>
      </c>
      <c r="AH6" s="74"/>
      <c r="AI6" s="76">
        <v>365</v>
      </c>
      <c r="AJ6" s="77"/>
      <c r="AK6" s="3801">
        <v>8.0000000000000002E-3</v>
      </c>
      <c r="AL6" s="79">
        <v>1E-3</v>
      </c>
      <c r="AM6" s="80">
        <v>0.01</v>
      </c>
      <c r="AN6" s="1713" t="s">
        <v>3390</v>
      </c>
      <c r="AO6" s="52">
        <f ca="1">SUMIF(INDIRECT("'"&amp;AN6&amp;"'"&amp;"!A:A"),"总价",INDIRECT("'"&amp;AN6&amp;"'"&amp;"!B:B"))</f>
        <v>54103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f>ROUND(SUMPRODUCT(G6:G13,K6:K13)/SUMPRODUCT((G6:G13&gt;0)*(K6:K13)),3)</f>
        <v>0.93200000000000005</v>
      </c>
      <c r="H16" s="90">
        <f>ROUND(SUMPRODUCT(H6:H13,K6:K13)/SUMPRODUCT((H6:H13&gt;0)*(K6:K13)),3)</f>
        <v>0.05</v>
      </c>
      <c r="I16" s="91"/>
      <c r="J16" s="91"/>
      <c r="K16" s="92">
        <f>SUM(K6:K15)</f>
        <v>78042.850000000006</v>
      </c>
      <c r="L16" s="93">
        <f>ROUND(M16*10000/SUM(K6:K14),0)</f>
        <v>3500</v>
      </c>
      <c r="M16" s="93">
        <f>SUM(M6:M14)</f>
        <v>27315</v>
      </c>
      <c r="N16" s="94">
        <f>ROUND(SUMPRODUCT(M6:M14,N6:N14)/M16,3)</f>
        <v>0.95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1" t="s">
        <v>1212</v>
      </c>
      <c r="B20" s="104">
        <v>1.5</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2" t="s">
        <v>1213</v>
      </c>
      <c r="B21" s="104">
        <v>1.5</v>
      </c>
      <c r="C21" s="2671"/>
      <c r="D21" s="2674"/>
      <c r="E21" s="2671"/>
      <c r="F21" s="2671"/>
      <c r="G21" s="2671"/>
      <c r="H21" s="2671"/>
      <c r="I21" s="2671"/>
      <c r="J21" s="2671"/>
      <c r="K21" s="2670"/>
      <c r="L21" s="2670"/>
      <c r="M21" s="3448" t="s">
        <v>3388</v>
      </c>
      <c r="N21" s="2669">
        <f>ROUND(1-(2023-2020)/60,2)</f>
        <v>0.95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1" t="s">
        <v>1214</v>
      </c>
      <c r="B22" s="105">
        <f>B19+B20</f>
        <v>1.5</v>
      </c>
      <c r="C22" s="2671"/>
      <c r="D22" s="2674"/>
      <c r="E22" s="2671"/>
      <c r="F22" s="2671"/>
      <c r="G22" s="2671"/>
      <c r="H22" s="2671"/>
      <c r="I22" s="2671"/>
      <c r="J22" s="2671"/>
      <c r="K22" s="2670"/>
      <c r="L22" s="2670"/>
      <c r="M22" s="3448" t="s">
        <v>3389</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2" t="s">
        <v>1215</v>
      </c>
      <c r="B23" s="105">
        <f>B19+B21</f>
        <v>1.5</v>
      </c>
      <c r="C23" s="2671"/>
      <c r="D23" s="2674"/>
      <c r="E23" s="2671"/>
      <c r="F23" s="2671"/>
      <c r="G23" s="2671"/>
      <c r="H23" s="2671"/>
      <c r="I23" s="2671"/>
      <c r="J23" s="2671"/>
      <c r="K23" s="2670"/>
      <c r="L23" s="2670"/>
      <c r="M23" s="2669"/>
      <c r="N23" s="2669">
        <f>(N21+N22)/2</f>
        <v>0.92500000000000004</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8.8">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150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7"/>
    <col min="30" max="16384" width="9" style="1684"/>
  </cols>
  <sheetData>
    <row r="1" spans="1:29" s="2455" customFormat="1" ht="18" thickBot="1">
      <c r="A1" s="3544" t="s">
        <v>2285</v>
      </c>
      <c r="B1" s="3545"/>
      <c r="C1" s="3545"/>
      <c r="D1" s="3545"/>
      <c r="E1" s="3545"/>
      <c r="F1" s="3545"/>
      <c r="G1" s="354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7.200000000000003">
      <c r="A4" s="2440"/>
      <c r="B4" s="323" t="s">
        <v>2253</v>
      </c>
      <c r="C4" s="2466" t="s">
        <v>2254</v>
      </c>
      <c r="D4" s="2463"/>
      <c r="E4" s="2467"/>
      <c r="F4" s="1371" t="s">
        <v>2255</v>
      </c>
      <c r="G4" s="2468" t="s">
        <v>2256</v>
      </c>
      <c r="H4" s="797"/>
      <c r="I4" s="797"/>
      <c r="J4" s="797"/>
      <c r="K4" s="797"/>
      <c r="L4" s="797"/>
      <c r="M4" s="797"/>
      <c r="N4" s="797"/>
      <c r="O4" s="797"/>
      <c r="P4" s="797"/>
      <c r="Q4" s="797"/>
      <c r="R4" s="797"/>
    </row>
    <row r="5" spans="1:29" ht="37.200000000000003">
      <c r="A5" s="2440"/>
      <c r="B5" s="323" t="s">
        <v>2257</v>
      </c>
      <c r="C5" s="2466" t="s">
        <v>2258</v>
      </c>
      <c r="D5" s="2463"/>
      <c r="E5" s="2467"/>
      <c r="F5" s="323" t="s">
        <v>2259</v>
      </c>
      <c r="G5" s="2468" t="s">
        <v>2260</v>
      </c>
      <c r="H5" s="797"/>
      <c r="I5" s="797"/>
      <c r="J5" s="797"/>
      <c r="K5" s="797"/>
      <c r="L5" s="797"/>
      <c r="M5" s="797"/>
      <c r="N5" s="797"/>
      <c r="O5" s="797"/>
      <c r="P5" s="797"/>
      <c r="Q5" s="797"/>
      <c r="R5" s="797"/>
    </row>
    <row r="6" spans="1:29" ht="48">
      <c r="A6" s="2440"/>
      <c r="B6" s="323" t="s">
        <v>2261</v>
      </c>
      <c r="C6" s="2468" t="s">
        <v>2256</v>
      </c>
      <c r="D6" s="2463"/>
      <c r="E6" s="2467"/>
      <c r="F6" s="323" t="s">
        <v>2262</v>
      </c>
      <c r="G6" s="2468" t="s">
        <v>2263</v>
      </c>
      <c r="H6" s="797"/>
      <c r="I6" s="797"/>
      <c r="J6" s="797"/>
      <c r="K6" s="797"/>
      <c r="L6" s="797"/>
      <c r="M6" s="797"/>
      <c r="N6" s="797"/>
      <c r="O6" s="797"/>
      <c r="P6" s="797"/>
      <c r="Q6" s="797"/>
      <c r="R6" s="797"/>
    </row>
    <row r="7" spans="1:29" ht="36.6"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ht="24">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4.4"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2286</v>
      </c>
      <c r="B13" s="2482"/>
      <c r="C13" s="2482"/>
      <c r="D13" s="2480"/>
      <c r="E13" s="2482"/>
      <c r="F13" s="2482"/>
      <c r="G13" s="2482"/>
    </row>
    <row r="14" spans="1:29" ht="14.4" thickBot="1">
      <c r="A14" s="2492"/>
      <c r="B14" s="2492"/>
      <c r="C14" s="2493" t="s">
        <v>2269</v>
      </c>
      <c r="D14" s="2463"/>
      <c r="E14" s="2494"/>
      <c r="F14" s="2494"/>
      <c r="G14" s="2458" t="s">
        <v>2270</v>
      </c>
    </row>
    <row r="15" spans="1:29" ht="52.8">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9.6">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9.6">
      <c r="A17" s="2444"/>
      <c r="B17" s="2498" t="s">
        <v>2257</v>
      </c>
      <c r="C17" s="2499" t="str">
        <f>C5</f>
        <v>估价对象位于XX商圈，周边办公楼项目较多，入驻率高，办公集聚程度较好</v>
      </c>
      <c r="D17" s="2469"/>
      <c r="E17" s="2445"/>
      <c r="F17" s="2500" t="s">
        <v>2274</v>
      </c>
      <c r="G17" s="2502"/>
    </row>
    <row r="18" spans="1:18" ht="52.8">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6.4">
      <c r="A19" s="2444"/>
      <c r="B19" s="2500" t="s">
        <v>2275</v>
      </c>
      <c r="C19" s="2502"/>
      <c r="D19" s="2463"/>
      <c r="E19" s="2445"/>
      <c r="F19" s="323" t="s">
        <v>2259</v>
      </c>
      <c r="G19" s="2501" t="str">
        <f>G5</f>
        <v>估价对象所在区域公共配套设施齐备情况</v>
      </c>
    </row>
    <row r="20" spans="1:18" ht="26.4">
      <c r="A20" s="2444"/>
      <c r="B20" s="2500" t="s">
        <v>2276</v>
      </c>
      <c r="C20" s="2499" t="str">
        <f>C9</f>
        <v>区域自然环境：；人文环境；综合评价环境状况一般</v>
      </c>
      <c r="D20" s="2469"/>
      <c r="E20" s="2445"/>
      <c r="F20" s="323" t="s">
        <v>2262</v>
      </c>
      <c r="G20" s="2501" t="str">
        <f>G6</f>
        <v>估价对象所在区域基础设施水平</v>
      </c>
    </row>
    <row r="21" spans="1:18" ht="26.4">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4.4"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4.4"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24" sqref="J24"/>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78042.850000000006</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45159</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63139</v>
      </c>
      <c r="C5" s="2510">
        <f ca="1">IF(B5=D14,结果表!H102,ROUND(B5*10000/$B$1,0))</f>
        <v>8090</v>
      </c>
      <c r="D5" s="2510" t="e">
        <f ca="1">ROUND(B5*10000/$B$2,0)</f>
        <v>#DIV/0!</v>
      </c>
      <c r="E5" s="2684"/>
      <c r="F5" s="2685"/>
      <c r="G5" s="2685"/>
      <c r="H5" s="2686"/>
      <c r="I5" s="2686"/>
      <c r="J5" s="2686"/>
      <c r="K5" s="2686"/>
    </row>
    <row r="6" spans="1:11" ht="15.6">
      <c r="A6" s="2510" t="s">
        <v>656</v>
      </c>
      <c r="B6" s="2510">
        <f ca="1">SUM(G14:G23)</f>
        <v>63139</v>
      </c>
      <c r="C6" s="2510">
        <f ca="1">IF(B6=G14,结果表!H108,ROUND(B6*10000/$B$1,0))</f>
        <v>8090</v>
      </c>
      <c r="D6" s="2510" t="e">
        <f ca="1">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3360</v>
      </c>
      <c r="D10" s="2510" t="s">
        <v>3361</v>
      </c>
      <c r="E10" s="3439"/>
      <c r="F10" s="3443" t="s">
        <v>3362</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'数据-基础表'!B3</f>
        <v>78042.850000000006</v>
      </c>
      <c r="C14" s="2516"/>
      <c r="D14" s="2516">
        <f ca="1">结果表!H101</f>
        <v>63139</v>
      </c>
      <c r="E14" s="2516">
        <f ca="1">ROUND(D14*10000/B14,0)</f>
        <v>8090</v>
      </c>
      <c r="F14" s="2516" t="e">
        <f ca="1">ROUND(D14*10000/C14,0)</f>
        <v>#DIV/0!</v>
      </c>
      <c r="G14" s="2516">
        <f ca="1">D14</f>
        <v>63139</v>
      </c>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5.6">
      <c r="A16" s="2515" t="s">
        <v>648</v>
      </c>
      <c r="B16" s="2517"/>
      <c r="C16" s="2517"/>
      <c r="D16" s="2517"/>
      <c r="E16" s="2516" t="e">
        <f t="shared" si="0"/>
        <v>#DIV/0!</v>
      </c>
      <c r="F16" s="2516" t="e">
        <f t="shared" si="1"/>
        <v>#DIV/0!</v>
      </c>
      <c r="G16" s="1329"/>
      <c r="H16" s="1329"/>
      <c r="I16" s="2517"/>
      <c r="J16" s="2686"/>
      <c r="K16" s="2686"/>
    </row>
    <row r="17" spans="1:11" ht="15.6">
      <c r="A17" s="2515" t="s">
        <v>647</v>
      </c>
      <c r="B17" s="2517"/>
      <c r="C17" s="2517"/>
      <c r="D17" s="2517"/>
      <c r="E17" s="2516" t="e">
        <f t="shared" si="0"/>
        <v>#DIV/0!</v>
      </c>
      <c r="F17" s="2516" t="e">
        <f t="shared" si="1"/>
        <v>#DIV/0!</v>
      </c>
      <c r="G17" s="1329"/>
      <c r="H17" s="1329"/>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80" zoomScaleNormal="100" zoomScaleSheetLayoutView="80" zoomScalePageLayoutView="80" workbookViewId="0">
      <selection activeCell="D123" sqref="D123:I123"/>
    </sheetView>
  </sheetViews>
  <sheetFormatPr defaultColWidth="12.6640625" defaultRowHeight="21.75" customHeight="1"/>
  <cols>
    <col min="1" max="2" width="12.6640625" style="1751"/>
    <col min="3" max="4" width="12.6640625" style="1751" customWidth="1"/>
    <col min="5" max="9" width="12.6640625" style="1751"/>
    <col min="10" max="11" width="12.6640625" style="723" customWidth="1"/>
    <col min="12" max="12" width="12.6640625" style="723"/>
    <col min="13" max="13" width="14.109375" style="723" bestFit="1" customWidth="1"/>
    <col min="14" max="26" width="12.6640625" style="723"/>
    <col min="27" max="35" width="12.6640625" style="1750"/>
    <col min="36" max="16384" width="12.6640625" style="1751"/>
  </cols>
  <sheetData>
    <row r="1" spans="1:12" ht="21.75" customHeight="1" thickBot="1">
      <c r="A1" s="1635" t="s">
        <v>1262</v>
      </c>
      <c r="B1" s="1745"/>
      <c r="C1" s="1746" t="s">
        <v>3385</v>
      </c>
      <c r="D1" s="1745"/>
      <c r="E1" s="1745"/>
      <c r="F1" s="1747" t="s">
        <v>1263</v>
      </c>
      <c r="G1" s="1559" t="s">
        <v>3408</v>
      </c>
      <c r="H1" s="1748" t="str">
        <f>IF(G1="现房","——","估价对象范围")</f>
        <v>——</v>
      </c>
      <c r="I1" s="1749" t="s">
        <v>3409</v>
      </c>
    </row>
    <row r="2" spans="1:12" ht="21.75" customHeight="1" thickBot="1">
      <c r="A2" s="3580" t="str">
        <f>项目基本情况!S2</f>
        <v>北京市房地产</v>
      </c>
      <c r="B2" s="3581"/>
      <c r="C2" s="3581"/>
      <c r="D2" s="3581"/>
      <c r="E2" s="3581"/>
      <c r="F2" s="3581"/>
      <c r="G2" s="3581"/>
      <c r="H2" s="3581"/>
      <c r="I2" s="3582"/>
    </row>
    <row r="3" spans="1:12" ht="13.2">
      <c r="A3" s="3584" t="s">
        <v>1264</v>
      </c>
      <c r="B3" s="3585"/>
      <c r="C3" s="3585"/>
      <c r="D3" s="3585"/>
      <c r="E3" s="3585"/>
      <c r="F3" s="3585"/>
      <c r="G3" s="3585"/>
      <c r="H3" s="3585"/>
      <c r="I3" s="3585"/>
    </row>
    <row r="4" spans="1:12" ht="14.4">
      <c r="A4" s="1752" t="s">
        <v>1265</v>
      </c>
      <c r="B4" s="1753" t="s">
        <v>1266</v>
      </c>
      <c r="C4" s="1754" t="s">
        <v>3436</v>
      </c>
      <c r="D4" s="1754" t="s">
        <v>3390</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0" t="s">
        <v>1268</v>
      </c>
      <c r="B5" s="3547">
        <v>25</v>
      </c>
      <c r="C5" s="3563"/>
      <c r="D5" s="3583"/>
      <c r="E5" s="131" t="s">
        <v>1269</v>
      </c>
      <c r="F5" s="1755"/>
      <c r="G5" s="1755"/>
      <c r="H5" s="1755"/>
      <c r="I5" s="1371"/>
    </row>
    <row r="6" spans="1:12" ht="13.2">
      <c r="A6" s="3560"/>
      <c r="B6" s="3547"/>
      <c r="C6" s="3564"/>
      <c r="D6" s="3583"/>
      <c r="E6" s="131" t="s">
        <v>1270</v>
      </c>
      <c r="F6" s="1755"/>
      <c r="G6" s="1755"/>
      <c r="H6" s="1755"/>
      <c r="I6" s="1371"/>
    </row>
    <row r="7" spans="1:12" ht="13.2">
      <c r="A7" s="3560"/>
      <c r="B7" s="3547"/>
      <c r="C7" s="3565"/>
      <c r="D7" s="3583"/>
      <c r="E7" s="131" t="s">
        <v>1271</v>
      </c>
      <c r="F7" s="1755"/>
      <c r="G7" s="1755"/>
      <c r="H7" s="1755"/>
      <c r="I7" s="1371"/>
    </row>
    <row r="8" spans="1:12" ht="13.2">
      <c r="A8" s="3560" t="s">
        <v>1272</v>
      </c>
      <c r="B8" s="3547">
        <v>15</v>
      </c>
      <c r="C8" s="3563"/>
      <c r="D8" s="3583"/>
      <c r="E8" s="131" t="s">
        <v>1273</v>
      </c>
      <c r="F8" s="1755"/>
      <c r="G8" s="1755"/>
      <c r="H8" s="1755"/>
      <c r="I8" s="1371"/>
    </row>
    <row r="9" spans="1:12" ht="13.2">
      <c r="A9" s="3560"/>
      <c r="B9" s="3547"/>
      <c r="C9" s="3565"/>
      <c r="D9" s="3583"/>
      <c r="E9" s="131" t="s">
        <v>1274</v>
      </c>
      <c r="F9" s="1755"/>
      <c r="G9" s="1755"/>
      <c r="H9" s="1755"/>
      <c r="I9" s="1371"/>
    </row>
    <row r="10" spans="1:12" ht="13.2">
      <c r="A10" s="3560" t="s">
        <v>1275</v>
      </c>
      <c r="B10" s="3547">
        <v>15</v>
      </c>
      <c r="C10" s="3563"/>
      <c r="D10" s="3583"/>
      <c r="E10" s="131" t="s">
        <v>1276</v>
      </c>
      <c r="F10" s="1755"/>
      <c r="G10" s="1755"/>
      <c r="H10" s="1755"/>
      <c r="I10" s="1371"/>
    </row>
    <row r="11" spans="1:12" ht="13.2">
      <c r="A11" s="3560"/>
      <c r="B11" s="3547"/>
      <c r="C11" s="3565"/>
      <c r="D11" s="3583"/>
      <c r="E11" s="131" t="s">
        <v>1277</v>
      </c>
      <c r="F11" s="1755"/>
      <c r="G11" s="1755"/>
      <c r="H11" s="1755"/>
      <c r="I11" s="1371"/>
    </row>
    <row r="12" spans="1:12" ht="13.2">
      <c r="A12" s="3560" t="s">
        <v>1278</v>
      </c>
      <c r="B12" s="3547">
        <v>15</v>
      </c>
      <c r="C12" s="3563"/>
      <c r="D12" s="3583"/>
      <c r="E12" s="131" t="s">
        <v>1279</v>
      </c>
      <c r="F12" s="1755"/>
      <c r="G12" s="1755"/>
      <c r="H12" s="1755"/>
      <c r="I12" s="1371"/>
    </row>
    <row r="13" spans="1:12" ht="13.2">
      <c r="A13" s="3560"/>
      <c r="B13" s="3547"/>
      <c r="C13" s="3565"/>
      <c r="D13" s="3583"/>
      <c r="E13" s="131" t="s">
        <v>1280</v>
      </c>
      <c r="F13" s="1755"/>
      <c r="G13" s="1755"/>
      <c r="H13" s="1755"/>
      <c r="I13" s="1371"/>
    </row>
    <row r="14" spans="1:12" ht="13.2">
      <c r="A14" s="3560" t="s">
        <v>1281</v>
      </c>
      <c r="B14" s="3547">
        <v>30</v>
      </c>
      <c r="C14" s="3797">
        <v>45</v>
      </c>
      <c r="D14" s="3798">
        <v>55</v>
      </c>
      <c r="E14" s="131" t="s">
        <v>1282</v>
      </c>
      <c r="F14" s="1755"/>
      <c r="G14" s="1755"/>
      <c r="H14" s="1755"/>
      <c r="I14" s="1371"/>
    </row>
    <row r="15" spans="1:12" ht="13.2">
      <c r="A15" s="3560"/>
      <c r="B15" s="3547"/>
      <c r="C15" s="3799"/>
      <c r="D15" s="3798"/>
      <c r="E15" s="131" t="s">
        <v>1283</v>
      </c>
      <c r="F15" s="1755"/>
      <c r="G15" s="1755"/>
      <c r="H15" s="1755"/>
      <c r="I15" s="1371"/>
    </row>
    <row r="16" spans="1:12" ht="13.2">
      <c r="A16" s="3560"/>
      <c r="B16" s="3547"/>
      <c r="C16" s="3800"/>
      <c r="D16" s="3798"/>
      <c r="E16" s="131" t="s">
        <v>1284</v>
      </c>
      <c r="F16" s="1755"/>
      <c r="G16" s="1755"/>
      <c r="H16" s="1755"/>
      <c r="I16" s="1371"/>
    </row>
    <row r="17" spans="1:36" ht="14.4">
      <c r="A17" s="1756" t="s">
        <v>1285</v>
      </c>
      <c r="B17" s="56"/>
      <c r="C17" s="132">
        <f>SUM(C5:C16)</f>
        <v>45</v>
      </c>
      <c r="D17" s="132">
        <f>SUM(D5:D16)</f>
        <v>55</v>
      </c>
      <c r="E17" s="129"/>
      <c r="F17" s="129"/>
      <c r="G17" s="129"/>
      <c r="H17" s="129"/>
      <c r="I17" s="129"/>
      <c r="K17" s="302"/>
      <c r="L17" s="302" t="s">
        <v>1286</v>
      </c>
      <c r="M17" s="302" t="s">
        <v>1287</v>
      </c>
    </row>
    <row r="18" spans="1:36" ht="31.95" customHeight="1" thickBot="1">
      <c r="A18" s="1757" t="s">
        <v>1288</v>
      </c>
      <c r="B18" s="1758"/>
      <c r="C18" s="133">
        <f>ROUND(C17/SUM(C17:D17),2)</f>
        <v>0.45</v>
      </c>
      <c r="D18" s="133">
        <f>1-C18</f>
        <v>0.55000000000000004</v>
      </c>
      <c r="E18" s="3570" t="s">
        <v>2130</v>
      </c>
      <c r="F18" s="3571"/>
      <c r="G18" s="3571"/>
      <c r="H18" s="3571"/>
      <c r="I18" s="3571"/>
      <c r="K18" s="302" t="s">
        <v>1289</v>
      </c>
      <c r="L18" s="302">
        <f>IF(C1="",'数据-汇总表'!E3,SUMIF(项目类型,C1,'数据-汇总表'!E17:E26)+SUMIF(项目类型,C1,'数据-汇总表'!I17:I26))</f>
        <v>78042.850000000006</v>
      </c>
      <c r="M18" s="302">
        <f>IF(C1="",'数据-汇总表'!E3,SUMIF(项目类型,C1,'数据-汇总表'!E17:E26))</f>
        <v>78042.850000000006</v>
      </c>
    </row>
    <row r="19" spans="1:36" ht="14.4">
      <c r="A19" s="1759" t="s">
        <v>1290</v>
      </c>
      <c r="B19" s="1760" t="s">
        <v>1291</v>
      </c>
      <c r="C19" s="134">
        <f ca="1">SUMIF(INDIRECT("'"&amp;C4&amp;"'"&amp;"!A:A"),结果表!B19,INDIRECT("'"&amp;C4&amp;"'"&amp;"!B:B"))</f>
        <v>74183</v>
      </c>
      <c r="D19" s="135">
        <f ca="1">SUMIF(INDIRECT("'"&amp;D4&amp;"'"&amp;"!A:A"),结果表!B19,INDIRECT("'"&amp;D4&amp;"'"&amp;"!B:B"))</f>
        <v>54103</v>
      </c>
      <c r="E19" s="1759" t="s">
        <v>1292</v>
      </c>
      <c r="F19" s="1760" t="s">
        <v>1291</v>
      </c>
      <c r="G19" s="136">
        <f ca="1">ROUND(C19*$C$18+D19*$D$18,0)</f>
        <v>63139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2"/>
      <c r="B20" s="1024" t="s">
        <v>1295</v>
      </c>
      <c r="C20" s="137">
        <f ca="1">SUMIF(INDIRECT("'"&amp;C4&amp;"'"&amp;"!A:A"),结果表!B20,INDIRECT("'"&amp;C4&amp;"'"&amp;"!B:B"))</f>
        <v>9505</v>
      </c>
      <c r="D20" s="138">
        <f ca="1">SUMIF(INDIRECT("'"&amp;D4&amp;"'"&amp;"!A:A"),结果表!B20,INDIRECT("'"&amp;D4&amp;"'"&amp;"!B:B"))</f>
        <v>6932</v>
      </c>
      <c r="E20" s="1762"/>
      <c r="F20" s="1024" t="s">
        <v>1295</v>
      </c>
      <c r="G20" s="139">
        <f ca="1">ROUND(C20*$C$18+D20*$D$18,0)</f>
        <v>8090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0.37114392917213457</v>
      </c>
      <c r="E22" s="129"/>
      <c r="F22" s="129"/>
      <c r="G22" s="129"/>
      <c r="H22" s="129"/>
      <c r="I22" s="129"/>
    </row>
    <row r="23" spans="1:36" ht="13.8" thickBot="1">
      <c r="A23" s="1745"/>
      <c r="B23" s="1745"/>
      <c r="C23" s="1745"/>
      <c r="D23" s="1745"/>
      <c r="E23" s="129"/>
      <c r="F23" s="129"/>
      <c r="G23" s="129"/>
      <c r="H23" s="129"/>
      <c r="I23" s="129"/>
    </row>
    <row r="24" spans="1:36" ht="14.4">
      <c r="A24" s="3554" t="s">
        <v>1299</v>
      </c>
      <c r="B24" s="1760" t="s">
        <v>1291</v>
      </c>
      <c r="C24" s="136">
        <f>IF(B30=0,0,D30)</f>
        <v>0</v>
      </c>
      <c r="D24" s="1767"/>
      <c r="E24" s="129"/>
      <c r="F24" s="129"/>
      <c r="G24" s="129"/>
      <c r="H24" s="129"/>
      <c r="I24" s="129"/>
    </row>
    <row r="25" spans="1:36" ht="14.4">
      <c r="A25" s="355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63139</v>
      </c>
      <c r="D32" s="1773" t="s">
        <v>3513</v>
      </c>
      <c r="E32" s="129"/>
      <c r="F32" s="129"/>
      <c r="G32" s="129"/>
      <c r="H32" s="129"/>
      <c r="I32" s="129"/>
    </row>
    <row r="33" spans="1:15" ht="14.4">
      <c r="A33" s="784" t="s">
        <v>1306</v>
      </c>
      <c r="B33" s="1774"/>
      <c r="C33" s="1775" t="s">
        <v>3512</v>
      </c>
      <c r="D33" s="1776" t="s">
        <v>3390</v>
      </c>
      <c r="E33" s="1777" t="s">
        <v>1307</v>
      </c>
      <c r="F33" s="1778" t="str">
        <f>IF(D32="楼面单价","取值（单价）","取值（总价）")</f>
        <v>取值（总价）</v>
      </c>
      <c r="G33" s="129"/>
      <c r="H33" s="129"/>
      <c r="I33" s="129"/>
    </row>
    <row r="34" spans="1:15" ht="14.4">
      <c r="A34" s="1779"/>
      <c r="B34" s="1780" t="s">
        <v>1308</v>
      </c>
      <c r="C34" s="148">
        <f ca="1">IF(C33="自定义",F34,C32-C35)</f>
        <v>-1326</v>
      </c>
      <c r="D34" s="859">
        <f ca="1">IF(C33="自定义",ROUND(C34/C32,3),IF(C33="收益比率",SUMIF(INDIRECT("'"&amp;D33&amp;"'"&amp;"!b:b"),"土地收益比率",INDIRECT("'"&amp;D33&amp;"'"&amp;"!c:c")),SUMIF(INDIRECT("'"&amp;D33&amp;"'"&amp;"!b:b"),"土地成本比率",INDIRECT("'"&amp;D33&amp;"'"&amp;"!c:c"))))</f>
        <v>-2.0999999999999908E-2</v>
      </c>
      <c r="E34" s="1781" t="s">
        <v>1309</v>
      </c>
      <c r="F34" s="1328"/>
      <c r="G34" s="129"/>
      <c r="H34" s="129"/>
      <c r="I34" s="129"/>
    </row>
    <row r="35" spans="1:15" ht="15" thickBot="1">
      <c r="A35" s="1782"/>
      <c r="B35" s="1783" t="s">
        <v>1310</v>
      </c>
      <c r="C35" s="1168">
        <f ca="1">IF(C33="自定义",F35,ROUND(C32*D35,0))</f>
        <v>64465</v>
      </c>
      <c r="D35" s="1169">
        <f ca="1">IF(C33="自定义",ROUND(C35/C32,3),IF(C33="收益比率",SUMIF(INDIRECT("'"&amp;D33&amp;"'"&amp;"!b:b"),"建筑物收益比率",INDIRECT("'"&amp;D33&amp;"'"&amp;"!c:c")),SUMIF(INDIRECT("'"&amp;D33&amp;"'"&amp;"!b:b"),"建筑物成本比率",INDIRECT("'"&amp;D33&amp;"'"&amp;"!c:c"))))</f>
        <v>1.0209999999999999</v>
      </c>
      <c r="E35" s="1784" t="s">
        <v>1311</v>
      </c>
      <c r="F35" s="154"/>
      <c r="G35" s="129"/>
      <c r="H35" s="129"/>
      <c r="I35" s="129"/>
    </row>
    <row r="36" spans="1:15" ht="15" thickBot="1">
      <c r="A36" s="3574" t="s">
        <v>1312</v>
      </c>
      <c r="B36" s="1785" t="s">
        <v>1313</v>
      </c>
      <c r="C36" s="145"/>
      <c r="D36" s="1786"/>
      <c r="E36" s="1787"/>
      <c r="F36" s="1788"/>
      <c r="G36" s="129"/>
      <c r="H36" s="129"/>
      <c r="I36" s="129"/>
    </row>
    <row r="37" spans="1:15" ht="15" thickBot="1">
      <c r="A37" s="3575"/>
      <c r="B37" s="1672" t="s">
        <v>1314</v>
      </c>
      <c r="C37" s="147"/>
      <c r="D37" s="1137"/>
      <c r="E37" s="1137"/>
      <c r="F37" s="1788"/>
      <c r="G37" s="129"/>
      <c r="H37" s="129"/>
      <c r="I37" s="129"/>
    </row>
    <row r="38" spans="1:15" ht="15" thickBot="1">
      <c r="A38" s="3576"/>
      <c r="B38" s="1789" t="s">
        <v>1315</v>
      </c>
      <c r="C38" s="672"/>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1" t="s">
        <v>1326</v>
      </c>
      <c r="B45" s="3552"/>
      <c r="C45" s="3553"/>
      <c r="D45" s="155">
        <f ca="1">ROUND(H101*F45,0)</f>
        <v>63139</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4"/>
      <c r="I46" s="159"/>
      <c r="J46" s="2521">
        <v>1</v>
      </c>
      <c r="K46" s="3610" t="s">
        <v>1331</v>
      </c>
      <c r="L46" s="3610"/>
      <c r="M46" s="3630"/>
      <c r="N46" s="3630"/>
      <c r="O46" s="3630"/>
    </row>
    <row r="47" spans="1:15" ht="12" customHeight="1">
      <c r="A47" s="160" t="s">
        <v>1332</v>
      </c>
      <c r="B47" s="161"/>
      <c r="C47" s="162"/>
      <c r="D47" s="1085" t="s">
        <v>1333</v>
      </c>
      <c r="E47" s="302" t="s">
        <v>1334</v>
      </c>
      <c r="F47" s="163" t="s">
        <v>1335</v>
      </c>
      <c r="G47" s="2544" t="s">
        <v>1336</v>
      </c>
      <c r="H47" s="2545"/>
      <c r="I47" s="159"/>
      <c r="J47" s="2521">
        <v>2</v>
      </c>
      <c r="K47" s="3610" t="s">
        <v>1337</v>
      </c>
      <c r="L47" s="3610"/>
      <c r="M47" s="3631">
        <f>'数据-取费表'!B2</f>
        <v>45159</v>
      </c>
      <c r="N47" s="3631"/>
      <c r="O47" s="3631"/>
    </row>
    <row r="48" spans="1:15" ht="26.4">
      <c r="A48" s="3579" t="s">
        <v>1338</v>
      </c>
      <c r="B48" s="3562"/>
      <c r="C48" s="3562"/>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10" t="s">
        <v>1340</v>
      </c>
      <c r="L48" s="3610"/>
      <c r="M48" s="3632">
        <f ca="1">H101</f>
        <v>63139</v>
      </c>
      <c r="N48" s="3632"/>
      <c r="O48" s="3632"/>
    </row>
    <row r="49" spans="1:35" ht="25.5" customHeight="1">
      <c r="A49" s="2331" t="s">
        <v>1341</v>
      </c>
      <c r="B49" s="3546" t="s">
        <v>1342</v>
      </c>
      <c r="C49" s="3546"/>
      <c r="D49" s="1588">
        <v>0</v>
      </c>
      <c r="E49" s="324" t="s">
        <v>1343</v>
      </c>
      <c r="F49" s="2422" t="s">
        <v>28</v>
      </c>
      <c r="G49" s="3616"/>
      <c r="H49" s="2308" t="s">
        <v>2133</v>
      </c>
      <c r="I49" s="2309"/>
      <c r="J49" s="2521">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2549"/>
      <c r="B50" s="3546" t="s">
        <v>1344</v>
      </c>
      <c r="C50" s="3546"/>
      <c r="D50" s="2550"/>
      <c r="E50" s="332"/>
      <c r="F50" s="2422"/>
      <c r="G50" s="3617"/>
      <c r="H50" s="2310" t="s">
        <v>2134</v>
      </c>
      <c r="I50" s="2309"/>
      <c r="J50" s="3629" t="s">
        <v>1345</v>
      </c>
      <c r="K50" s="3629"/>
      <c r="L50" s="3629"/>
      <c r="M50" s="3629"/>
      <c r="N50" s="3629"/>
      <c r="O50" s="3629"/>
    </row>
    <row r="51" spans="1:35" ht="20.399999999999999" customHeight="1">
      <c r="A51" s="2551"/>
      <c r="B51" s="3546" t="s">
        <v>1346</v>
      </c>
      <c r="C51" s="3546"/>
      <c r="D51" s="1085"/>
      <c r="E51" s="327"/>
      <c r="F51" s="2422"/>
      <c r="G51" s="3618"/>
      <c r="H51" s="2310" t="s">
        <v>2135</v>
      </c>
      <c r="I51" s="2309"/>
      <c r="J51" s="2522" t="s">
        <v>1347</v>
      </c>
      <c r="K51" s="3610" t="s">
        <v>1348</v>
      </c>
      <c r="L51" s="3610"/>
      <c r="M51" s="2522" t="s">
        <v>1349</v>
      </c>
      <c r="N51" s="2522" t="s">
        <v>1350</v>
      </c>
      <c r="O51" s="2522" t="s">
        <v>1351</v>
      </c>
    </row>
    <row r="52" spans="1:35" ht="24" customHeight="1">
      <c r="A52" s="2333" t="s">
        <v>1352</v>
      </c>
      <c r="B52" s="3546" t="s">
        <v>1353</v>
      </c>
      <c r="C52" s="3546"/>
      <c r="D52" s="1085">
        <f ca="1">ROUND(D45*'数据-取费表'!B41/(1+'数据-取费表'!C42),0)</f>
        <v>3307</v>
      </c>
      <c r="E52" s="2332" t="s">
        <v>1354</v>
      </c>
      <c r="F52" s="2552">
        <f>'数据-取费表'!B41</f>
        <v>5.5000000000000007E-2</v>
      </c>
      <c r="G52" s="2553"/>
      <c r="H52" s="2542"/>
      <c r="I52" s="1805"/>
      <c r="J52" s="2521">
        <v>1</v>
      </c>
      <c r="K52" s="3611" t="s">
        <v>1355</v>
      </c>
      <c r="L52" s="3611"/>
      <c r="M52" s="2523" t="b">
        <f>D48</f>
        <v>0</v>
      </c>
      <c r="N52" s="2521" t="str">
        <f>E48</f>
        <v>销售额×税（费）率</v>
      </c>
      <c r="O52" s="2524">
        <f>F48</f>
        <v>5.5000000000000007E-2</v>
      </c>
    </row>
    <row r="53" spans="1:35" ht="12" customHeight="1">
      <c r="A53" s="2333" t="s">
        <v>1356</v>
      </c>
      <c r="B53" s="3572" t="s">
        <v>2290</v>
      </c>
      <c r="C53" s="3573"/>
      <c r="D53" s="1085">
        <f ca="1">ROUND(D45*'数据-取费表'!B41/(1+'数据-取费表'!C42),0)</f>
        <v>3307</v>
      </c>
      <c r="E53" s="2332" t="s">
        <v>1354</v>
      </c>
      <c r="F53" s="2552">
        <f>'数据-取费表'!B41</f>
        <v>5.5000000000000007E-2</v>
      </c>
      <c r="G53" s="2553"/>
      <c r="H53" s="2542"/>
      <c r="I53" s="1805"/>
      <c r="J53" s="2521">
        <v>2</v>
      </c>
      <c r="K53" s="3611" t="s">
        <v>1357</v>
      </c>
      <c r="L53" s="3611"/>
      <c r="M53" s="2523">
        <f t="shared" ref="M53:O54" ca="1" si="0">D55</f>
        <v>32</v>
      </c>
      <c r="N53" s="2521" t="str">
        <f t="shared" si="0"/>
        <v>销售额×税（费）率</v>
      </c>
      <c r="O53" s="2524" t="str">
        <f t="shared" si="0"/>
        <v>免征</v>
      </c>
    </row>
    <row r="54" spans="1:35" ht="12" customHeight="1">
      <c r="A54" s="2333" t="s">
        <v>1358</v>
      </c>
      <c r="B54" s="3572" t="s">
        <v>2291</v>
      </c>
      <c r="C54" s="3573"/>
      <c r="D54" s="1085">
        <f ca="1">C68</f>
        <v>3307</v>
      </c>
      <c r="E54" s="327" t="s">
        <v>1359</v>
      </c>
      <c r="F54" s="2552">
        <f>'数据-取费表'!B41</f>
        <v>5.5000000000000007E-2</v>
      </c>
      <c r="G54" s="2553"/>
      <c r="H54" s="2554"/>
      <c r="I54" s="1805"/>
      <c r="J54" s="2521">
        <v>3</v>
      </c>
      <c r="K54" s="3611" t="s">
        <v>1360</v>
      </c>
      <c r="L54" s="3611"/>
      <c r="M54" s="2523">
        <f t="shared" ca="1" si="0"/>
        <v>35793</v>
      </c>
      <c r="N54" s="2521" t="str">
        <f t="shared" si="0"/>
        <v>增值额×税（费）率</v>
      </c>
      <c r="O54" s="2525" t="str">
        <f t="shared" si="0"/>
        <v>免征</v>
      </c>
    </row>
    <row r="55" spans="1:35" ht="24" customHeight="1">
      <c r="A55" s="3561" t="s">
        <v>1361</v>
      </c>
      <c r="B55" s="3562"/>
      <c r="C55" s="3562"/>
      <c r="D55" s="2322">
        <f ca="1">IF(H55="个人住宅",0,ROUND(D45*I55,0))</f>
        <v>32</v>
      </c>
      <c r="E55" s="2332" t="s">
        <v>1362</v>
      </c>
      <c r="F55" s="2552" t="str">
        <f>IF(H55="正常",I55,"免征")</f>
        <v>免征</v>
      </c>
      <c r="G55" s="2553"/>
      <c r="H55" s="2548"/>
      <c r="I55" s="165">
        <f>'数据-取费表'!B49</f>
        <v>5.0000000000000001E-4</v>
      </c>
      <c r="J55" s="2521">
        <f>IF(H59="非个人房产","",4)</f>
        <v>4</v>
      </c>
      <c r="K55" s="3611" t="str">
        <f>IF(H59="非个人房产","——","个人所得税")</f>
        <v>个人所得税</v>
      </c>
      <c r="L55" s="3611"/>
      <c r="M55" s="2526">
        <f ca="1">D59</f>
        <v>601</v>
      </c>
      <c r="N55" s="2038" t="str">
        <f>E59</f>
        <v>差额计税</v>
      </c>
      <c r="O55" s="2527">
        <f>F59</f>
        <v>0.01</v>
      </c>
    </row>
    <row r="56" spans="1:35" ht="25.2">
      <c r="A56" s="3561" t="s">
        <v>1363</v>
      </c>
      <c r="B56" s="3562"/>
      <c r="C56" s="3562"/>
      <c r="D56" s="2322">
        <f ca="1">IF(H56="个人住宅",D57,D58)</f>
        <v>35793</v>
      </c>
      <c r="E56" s="2332" t="s">
        <v>1364</v>
      </c>
      <c r="F56" s="2552" t="str">
        <f>IF(H56="正常",F58,"免征")</f>
        <v>免征</v>
      </c>
      <c r="G56" s="2555" t="s">
        <v>1365</v>
      </c>
      <c r="H56" s="2556"/>
      <c r="I56" s="1806"/>
      <c r="J56" s="2521" t="str">
        <f>IF(项目基本情况!K6="上海银行",IF(J55="",4,J55+1),"")</f>
        <v/>
      </c>
      <c r="K56" s="3634" t="str">
        <f>IF(项目基本情况!K6="上海银行","其他处置费用","")</f>
        <v/>
      </c>
      <c r="L56" s="3635"/>
      <c r="M56" s="2523" t="str">
        <f>IF(项目基本情况!K6="上海银行",M69,"")</f>
        <v/>
      </c>
      <c r="N56" s="3634" t="str">
        <f>IF(项目基本情况!K6="上海银行","包含处置中涉及的律师、诉讼、拍卖、评估等费用","")</f>
        <v/>
      </c>
      <c r="O56" s="3637"/>
    </row>
    <row r="57" spans="1:35" ht="13.2">
      <c r="A57" s="2333" t="s">
        <v>1341</v>
      </c>
      <c r="B57" s="3572" t="s">
        <v>1366</v>
      </c>
      <c r="C57" s="3573"/>
      <c r="D57" s="1588">
        <v>0</v>
      </c>
      <c r="E57" s="324" t="s">
        <v>1343</v>
      </c>
      <c r="F57" s="302"/>
      <c r="G57" s="2553"/>
      <c r="H57" s="2557"/>
      <c r="I57" s="1806"/>
      <c r="J57" s="3611">
        <f>IF(AND(J55="",J56=""),4,IF(项目基本情况!K6="上海银行",结果表!J56+1,结果表!J55+1))</f>
        <v>5</v>
      </c>
      <c r="K57" s="3611" t="s">
        <v>1367</v>
      </c>
      <c r="L57" s="2528" t="s">
        <v>1368</v>
      </c>
      <c r="M57" s="2529"/>
      <c r="N57" s="2530">
        <f ca="1">SUMIF(M52:M56,"&lt;9e307")</f>
        <v>36426</v>
      </c>
      <c r="O57" s="2531"/>
      <c r="P57" s="2688" t="e">
        <f ca="1">N57/M49</f>
        <v>#VALUE!</v>
      </c>
    </row>
    <row r="58" spans="1:35" ht="25.2">
      <c r="A58" s="2333" t="s">
        <v>1352</v>
      </c>
      <c r="B58" s="3572" t="s">
        <v>1369</v>
      </c>
      <c r="C58" s="3546"/>
      <c r="D58" s="2322">
        <f ca="1">IF(H58="转让取得",C81,C97)</f>
        <v>35793</v>
      </c>
      <c r="E58" s="2332" t="s">
        <v>1364</v>
      </c>
      <c r="F58" s="302" t="s">
        <v>28</v>
      </c>
      <c r="G58" s="2553"/>
      <c r="H58" s="2556"/>
      <c r="I58" s="1806"/>
      <c r="J58" s="3611"/>
      <c r="K58" s="3611"/>
      <c r="L58" s="2528" t="s">
        <v>1370</v>
      </c>
      <c r="M58" s="2532"/>
      <c r="N58" s="2533" t="str">
        <f ca="1">NUMBERSTRING(INT(N57*10000),2)&amp;"元整"</f>
        <v>叁亿陆仟肆佰贰拾陆万元整</v>
      </c>
      <c r="O58" s="2534"/>
    </row>
    <row r="59" spans="1:35" ht="24.6" thickBot="1">
      <c r="A59" s="3614" t="s">
        <v>1371</v>
      </c>
      <c r="B59" s="3615"/>
      <c r="C59" s="3615"/>
      <c r="D59" s="2558">
        <f ca="1">IF(H59="非个人房产","——",IF(H59="个人住宅（满五唯一有凭证）",0,IF(H59="个人其他（无凭证）",ROUND(D45*F59,0),ROUND(C67*F59,0))))</f>
        <v>601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2">
        <f>J57+1</f>
        <v>6</v>
      </c>
      <c r="K59" s="3611" t="s">
        <v>1372</v>
      </c>
      <c r="L59" s="2521" t="s">
        <v>1368</v>
      </c>
      <c r="M59" s="2535"/>
      <c r="N59" s="2536" t="e">
        <f ca="1">M49-N57</f>
        <v>#VALUE!</v>
      </c>
      <c r="O59" s="2537"/>
    </row>
    <row r="60" spans="1:35" ht="12" customHeight="1">
      <c r="A60" s="1807"/>
      <c r="B60" s="1745"/>
      <c r="C60" s="1745"/>
      <c r="D60" s="1745"/>
      <c r="E60" s="1576"/>
      <c r="F60" s="1806"/>
      <c r="G60" s="1806"/>
      <c r="H60" s="1808"/>
      <c r="I60" s="129"/>
      <c r="J60" s="3613"/>
      <c r="K60" s="3611"/>
      <c r="L60" s="2528" t="s">
        <v>1370</v>
      </c>
      <c r="M60" s="2532"/>
      <c r="N60" s="2533" t="e">
        <f ca="1">NUMBERSTRING(INT(N59*10000),2)&amp;"元整"</f>
        <v>#VALUE!</v>
      </c>
      <c r="O60" s="2534"/>
    </row>
    <row r="61" spans="1:35" ht="13.8" thickBot="1">
      <c r="A61" s="3559" t="s">
        <v>1373</v>
      </c>
      <c r="B61" s="3559"/>
      <c r="C61" s="3559"/>
      <c r="D61" s="3559"/>
      <c r="E61" s="3559"/>
      <c r="F61" s="1806"/>
      <c r="G61" s="1806"/>
      <c r="H61" s="1808"/>
      <c r="I61" s="129"/>
      <c r="J61" s="2521">
        <f>J59+1</f>
        <v>7</v>
      </c>
      <c r="K61" s="3611" t="s">
        <v>1374</v>
      </c>
      <c r="L61" s="3611"/>
      <c r="M61" s="2538"/>
      <c r="N61" s="2539" t="e">
        <f ca="1">ROUND(N59*10000/'数据-汇总表'!E3,0)</f>
        <v>#VALUE!</v>
      </c>
      <c r="O61" s="2540"/>
    </row>
    <row r="62" spans="1:35" ht="13.2">
      <c r="A62" s="3577" t="s">
        <v>1375</v>
      </c>
      <c r="B62" s="3578"/>
      <c r="C62" s="2019"/>
      <c r="D62" s="2019" t="s">
        <v>1376</v>
      </c>
      <c r="E62" s="166" t="s">
        <v>1377</v>
      </c>
      <c r="F62" s="1806"/>
      <c r="G62" s="1806"/>
      <c r="H62" s="1808"/>
      <c r="I62" s="129"/>
    </row>
    <row r="63" spans="1:35" ht="13.2">
      <c r="A63" s="173" t="s">
        <v>330</v>
      </c>
      <c r="B63" s="167" t="s">
        <v>1378</v>
      </c>
      <c r="C63" s="2562">
        <f ca="1">ROUND((C64+C65)/(1+'数据-取费表'!C42),0)</f>
        <v>60132</v>
      </c>
      <c r="D63" s="167"/>
      <c r="E63" s="168"/>
      <c r="F63" s="1806"/>
      <c r="G63" s="1806"/>
      <c r="H63" s="1808"/>
      <c r="I63" s="129"/>
      <c r="J63" s="3636"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63139</v>
      </c>
      <c r="D64" s="170" t="s">
        <v>26</v>
      </c>
      <c r="E64" s="172"/>
      <c r="F64" s="1806"/>
      <c r="G64" s="1806"/>
      <c r="H64" s="1808"/>
      <c r="I64" s="129"/>
      <c r="J64" s="3636"/>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6"/>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6"/>
      <c r="K66" s="1330" t="s">
        <v>1387</v>
      </c>
      <c r="L66" s="1330" t="e">
        <f>M49*0.5%</f>
        <v>#VALUE!</v>
      </c>
      <c r="M66" s="302" t="e">
        <f>IF(L66&gt;0.5,0.5,ROUND(L66,0))</f>
        <v>#VALUE!</v>
      </c>
      <c r="N66" s="2542" t="s">
        <v>1388</v>
      </c>
      <c r="Z66" s="1750"/>
      <c r="AI66" s="1751"/>
    </row>
    <row r="67" spans="1:35" ht="14.25" customHeight="1">
      <c r="A67" s="173" t="s">
        <v>328</v>
      </c>
      <c r="B67" s="174" t="s">
        <v>1389</v>
      </c>
      <c r="C67" s="2566">
        <f ca="1">C63-C66</f>
        <v>60132</v>
      </c>
      <c r="D67" s="170" t="s">
        <v>26</v>
      </c>
      <c r="E67" s="172"/>
      <c r="F67" s="1806"/>
      <c r="G67" s="1806"/>
      <c r="H67" s="1808"/>
      <c r="I67" s="129"/>
      <c r="J67" s="3636"/>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3307</v>
      </c>
      <c r="D68" s="2568">
        <f>'数据-取费表'!B41</f>
        <v>5.5000000000000007E-2</v>
      </c>
      <c r="E68" s="178"/>
      <c r="F68" s="1806"/>
      <c r="G68" s="1806"/>
      <c r="H68" s="1808"/>
      <c r="I68" s="129"/>
      <c r="J68" s="3636"/>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6"/>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4.4" thickBot="1">
      <c r="A70" s="3598" t="s">
        <v>1394</v>
      </c>
      <c r="B70" s="3599"/>
      <c r="C70" s="3599"/>
      <c r="D70" s="3599"/>
      <c r="E70" s="3599"/>
      <c r="F70" s="3599"/>
      <c r="G70" s="3599"/>
      <c r="H70" s="3599"/>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77" t="s">
        <v>1375</v>
      </c>
      <c r="B71" s="357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6">
        <f ca="1">ROUND(D45/(1+'数据-取费表'!C42),0)</f>
        <v>60132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6">
        <f ca="1">C74+C78</f>
        <v>301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2" t="s">
        <v>1402</v>
      </c>
      <c r="F76" s="3546"/>
      <c r="G76" s="3546"/>
      <c r="H76" s="359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301</v>
      </c>
      <c r="D78" s="2575">
        <f>'数据-取费表'!B43</f>
        <v>5.000000000000001E-3</v>
      </c>
      <c r="E78" s="3556" t="s">
        <v>1406</v>
      </c>
      <c r="F78" s="3557"/>
      <c r="G78" s="3557"/>
      <c r="H78" s="356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6">
        <f ca="1">C72-C73</f>
        <v>59831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198.77408637873754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7">
        <f ca="1">ROUND(IF(C79&lt;=0,0,IF(C80&gt;=200%,C79*60%-C73*35%,IF(C80&gt;=100%,C79*50%-C73*15%,IF(C80&gt;=50%,C79*40%-C73*5%,IF(C80&lt;50%,C79*30%,0))))),0)</f>
        <v>35793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598" t="s">
        <v>1410</v>
      </c>
      <c r="B83" s="3599"/>
      <c r="C83" s="3599"/>
      <c r="D83" s="3599"/>
      <c r="E83" s="3599"/>
      <c r="F83" s="3599"/>
      <c r="G83" s="3599"/>
      <c r="H83" s="359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77" t="s">
        <v>1375</v>
      </c>
      <c r="B84" s="357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6">
        <f ca="1">ROUND(D45/(1+'数据-取费表'!C42),0)</f>
        <v>60132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6">
        <f ca="1">IF(H88="仅含出让金",C87+C90+C91+C92+C93+C94,C87+C91+C92+C93+C94)</f>
        <v>301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80"/>
      <c r="D90" s="2575"/>
      <c r="E90" s="193" t="str">
        <f>IF(H88="-","土地取得成本中已包含该笔费用"," ")</f>
        <v xml:space="preserve"> </v>
      </c>
      <c r="F90" s="2325"/>
      <c r="G90" s="3638" t="s">
        <v>2128</v>
      </c>
      <c r="H90" s="363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6" t="s">
        <v>1419</v>
      </c>
      <c r="F91" s="3557"/>
      <c r="G91" s="355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6" t="s">
        <v>1422</v>
      </c>
      <c r="F92" s="3557"/>
      <c r="G92" s="3557"/>
      <c r="H92" s="356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301</v>
      </c>
      <c r="D93" s="2575">
        <f>'数据-取费表'!B43</f>
        <v>5.000000000000001E-3</v>
      </c>
      <c r="E93" s="3556" t="s">
        <v>1406</v>
      </c>
      <c r="F93" s="3557"/>
      <c r="G93" s="3557"/>
      <c r="H93" s="356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7" t="s">
        <v>1426</v>
      </c>
      <c r="F94" s="3568"/>
      <c r="G94" s="3568"/>
      <c r="H94" s="356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6">
        <f ca="1">ROUND(C85-C86,0)</f>
        <v>59831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198.77408637873754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7">
        <f ca="1">ROUND(IF(C95&lt;=0,0,IF(C96&gt;=200%,C95*60%-C86*35%,IF(C96&gt;=100%,C95*50%-C86*15%,IF(C96&gt;=50%,C95*40%-C86*5%,IF(C96&lt;50%,C95*30%,0))))),0)</f>
        <v>35793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3" t="str">
        <f>C4</f>
        <v>典型户型修正</v>
      </c>
      <c r="D101" s="2584" t="str">
        <f>D4</f>
        <v>收益法</v>
      </c>
      <c r="E101" s="3633" t="s">
        <v>1431</v>
      </c>
      <c r="F101" s="3590"/>
      <c r="G101" s="1825" t="s">
        <v>1432</v>
      </c>
      <c r="H101" s="2593">
        <f ca="1">H118</f>
        <v>63139</v>
      </c>
      <c r="I101" s="129"/>
    </row>
    <row r="102" spans="1:35" ht="18.75" customHeight="1">
      <c r="A102" s="3592" t="s">
        <v>1433</v>
      </c>
      <c r="B102" s="2582" t="s">
        <v>1432</v>
      </c>
      <c r="C102" s="2583">
        <f ca="1">IF(D32="楼面单价",ROUND(C19,0),C19)</f>
        <v>74183</v>
      </c>
      <c r="D102" s="2584">
        <f ca="1">IF(D32="楼面单价",ROUND(D19,0),D19)</f>
        <v>54103</v>
      </c>
      <c r="E102" s="3633"/>
      <c r="F102" s="3590"/>
      <c r="G102" s="1825" t="s">
        <v>1434</v>
      </c>
      <c r="H102" s="2553">
        <f ca="1">I118</f>
        <v>8090</v>
      </c>
      <c r="I102" s="129"/>
    </row>
    <row r="103" spans="1:35" ht="42.75" customHeight="1">
      <c r="A103" s="3592"/>
      <c r="B103" s="2582" t="s">
        <v>1434</v>
      </c>
      <c r="C103" s="2585">
        <f ca="1">C20</f>
        <v>9505</v>
      </c>
      <c r="D103" s="2586">
        <f ca="1">D20</f>
        <v>6932</v>
      </c>
      <c r="E103" s="3627" t="s">
        <v>1435</v>
      </c>
      <c r="F103" s="3628"/>
      <c r="G103" s="1826" t="s">
        <v>1436</v>
      </c>
      <c r="H103" s="2593">
        <f>IF(D36="正常操作",H104+H105+H106,H105+H106)</f>
        <v>0</v>
      </c>
      <c r="I103" s="129"/>
    </row>
    <row r="104" spans="1:35" ht="18.75" customHeight="1">
      <c r="A104" s="3592" t="s">
        <v>1437</v>
      </c>
      <c r="B104" s="2587" t="s">
        <v>1432</v>
      </c>
      <c r="C104" s="2588">
        <f ca="1">H118</f>
        <v>63139</v>
      </c>
      <c r="D104" s="2589"/>
      <c r="E104" s="1672" t="s">
        <v>1438</v>
      </c>
      <c r="F104" s="1664"/>
      <c r="G104" s="1826" t="s">
        <v>1436</v>
      </c>
      <c r="H104" s="2594">
        <f>IF(D36="同一抵押权人同一抵押物续贷",C36&amp;"（续贷，未扣减，详见特别提示）",C36)</f>
        <v>0</v>
      </c>
      <c r="I104" s="129"/>
    </row>
    <row r="105" spans="1:35" ht="18.75" customHeight="1" thickBot="1">
      <c r="A105" s="3593"/>
      <c r="B105" s="2590" t="s">
        <v>1434</v>
      </c>
      <c r="C105" s="2591">
        <f ca="1">I118</f>
        <v>8090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90"/>
      <c r="G107" s="1825" t="s">
        <v>1432</v>
      </c>
      <c r="H107" s="2593">
        <f ca="1">IF(E107="——","——",H101-H103)</f>
        <v>63139</v>
      </c>
      <c r="I107" s="129"/>
    </row>
    <row r="108" spans="1:35" ht="18.75" customHeight="1">
      <c r="A108" s="129"/>
      <c r="B108" s="129"/>
      <c r="C108" s="129"/>
      <c r="D108" s="129"/>
      <c r="E108" s="3589"/>
      <c r="F108" s="3590"/>
      <c r="G108" s="1825" t="s">
        <v>1434</v>
      </c>
      <c r="H108" s="2553">
        <f ca="1">IF(H107=H101,H102,ROUND(H107*10000/'数据-汇总表'!E3,0))</f>
        <v>8090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5" t="s">
        <v>1432</v>
      </c>
      <c r="H109" s="2596" t="str">
        <f>IF(E109="——","——",H101-H105-H106)</f>
        <v>——</v>
      </c>
      <c r="I109" s="129"/>
    </row>
    <row r="110" spans="1:35" ht="18.75" customHeight="1">
      <c r="A110" s="129"/>
      <c r="B110" s="129"/>
      <c r="C110" s="129"/>
      <c r="D110" s="129"/>
      <c r="E110" s="3589"/>
      <c r="F110" s="3590"/>
      <c r="G110" s="1825" t="s">
        <v>1434</v>
      </c>
      <c r="H110" s="2553"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5" t="s">
        <v>1432</v>
      </c>
      <c r="H111" s="2593" t="str">
        <f>IF(E111="——","——",N59)</f>
        <v>——</v>
      </c>
      <c r="I111" s="129"/>
    </row>
    <row r="112" spans="1:35" ht="18.75" customHeight="1" thickBot="1">
      <c r="A112" s="129"/>
      <c r="B112" s="129"/>
      <c r="C112" s="129"/>
      <c r="D112" s="129"/>
      <c r="E112" s="3622"/>
      <c r="F112" s="3623"/>
      <c r="G112" s="1828" t="s">
        <v>1434</v>
      </c>
      <c r="H112" s="2597" t="str">
        <f>IF(E111="——","——",N61)</f>
        <v>——</v>
      </c>
      <c r="I112" s="129"/>
    </row>
    <row r="113" spans="1:27" ht="18.75" customHeight="1">
      <c r="A113" s="129"/>
      <c r="B113" s="129"/>
      <c r="C113" s="129"/>
      <c r="D113" s="129"/>
      <c r="E113" s="3594" t="s">
        <v>1440</v>
      </c>
      <c r="F113" s="3594"/>
      <c r="G113" s="3594"/>
      <c r="H113" s="3594"/>
      <c r="I113" s="129"/>
    </row>
    <row r="114" spans="1:27" ht="3.75" customHeight="1">
      <c r="A114" s="1745"/>
      <c r="B114" s="1745"/>
      <c r="C114" s="1745"/>
      <c r="D114" s="1745"/>
      <c r="E114" s="1807"/>
      <c r="F114" s="1807"/>
      <c r="G114" s="1807"/>
      <c r="H114" s="1807"/>
      <c r="I114" s="1745"/>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78042.850000000006</v>
      </c>
      <c r="C118" s="2327">
        <f>M19</f>
        <v>0</v>
      </c>
      <c r="D118" s="2327">
        <f ca="1">ROUND(IF(D32="总价",C34,E118*B118/10000),0)</f>
        <v>-1326</v>
      </c>
      <c r="E118" s="2327">
        <f ca="1">ROUND(IF(C33="自定义",IF(D32="楼面单价",C34,D118*10000/B118),I118-G118),0)</f>
        <v>-170</v>
      </c>
      <c r="F118" s="2327">
        <f ca="1">ROUND(IF(D32="总价",C35,G118*B118/10000),0)</f>
        <v>64465</v>
      </c>
      <c r="G118" s="2327">
        <f ca="1">ROUND(IF(D32="楼面单价",C35,F118*10000/B118),0)</f>
        <v>8260</v>
      </c>
      <c r="H118" s="2327">
        <f ca="1">ROUND(IF(D32="总价",C32,I118*B118/10000),0)</f>
        <v>63139</v>
      </c>
      <c r="I118" s="2327">
        <f ca="1">ROUND(IF(D32="楼面单价",C32,H118*10000/B118),0)</f>
        <v>8090</v>
      </c>
    </row>
    <row r="119" spans="1:27" ht="18.75" customHeight="1">
      <c r="A119" s="3560" t="s">
        <v>1452</v>
      </c>
      <c r="B119" s="3560"/>
      <c r="C119" s="3560"/>
      <c r="D119" s="3600" t="e">
        <f ca="1">NUMBERSTRING(INT(D118*10000),2)&amp;"元整"</f>
        <v>#NUM!</v>
      </c>
      <c r="E119" s="3602"/>
      <c r="F119" s="3600" t="str">
        <f ca="1">NUMBERSTRING(INT(F118*10000),2)&amp;"元整"</f>
        <v>陆亿肆仟肆佰陆拾伍万元整</v>
      </c>
      <c r="G119" s="3602"/>
      <c r="H119" s="3600" t="str">
        <f ca="1">NUMBERSTRING(INT(H118*10000),2)&amp;"元整"</f>
        <v>陆亿叁仟壹佰叁拾玖万元整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0" t="s">
        <v>1452</v>
      </c>
      <c r="B121" s="3601"/>
      <c r="C121" s="3602"/>
      <c r="D121" s="3600" t="str">
        <f>IF(D120=0,"零元整",NUMBERSTRING(INT(D120*10000),2)&amp;"元整")</f>
        <v>零元整</v>
      </c>
      <c r="E121" s="3601"/>
      <c r="F121" s="3601"/>
      <c r="G121" s="3601"/>
      <c r="H121" s="3601"/>
      <c r="I121" s="3602"/>
      <c r="AA121" s="723"/>
    </row>
    <row r="122" spans="1:27" ht="18.75" customHeight="1">
      <c r="A122" s="3591" t="str">
        <f>IF(项目基本情况!B9="房地产市场价值","",MID(E107,3,LEN(E107)-2))</f>
        <v>房地产抵押价值</v>
      </c>
      <c r="B122" s="3591"/>
      <c r="C122" s="3591"/>
      <c r="D122" s="3624">
        <f ca="1">H107</f>
        <v>63139</v>
      </c>
      <c r="E122" s="3625"/>
      <c r="F122" s="3625"/>
      <c r="G122" s="3625"/>
      <c r="H122" s="3625"/>
      <c r="I122" s="3626"/>
      <c r="AA122" s="723"/>
    </row>
    <row r="123" spans="1:27" ht="18.75" customHeight="1">
      <c r="A123" s="3560" t="s">
        <v>1452</v>
      </c>
      <c r="B123" s="3560"/>
      <c r="C123" s="3560"/>
      <c r="D123" s="3600" t="str">
        <f ca="1">NUMBERSTRING(INT(D122*10000),2)&amp;"元整"</f>
        <v>陆亿叁仟壹佰叁拾玖万元整</v>
      </c>
      <c r="E123" s="3601"/>
      <c r="F123" s="3601"/>
      <c r="G123" s="3601"/>
      <c r="H123" s="3601"/>
      <c r="I123" s="3602"/>
      <c r="AA123" s="723"/>
    </row>
    <row r="124" spans="1:27" ht="18.75" customHeight="1">
      <c r="A124" s="3591" t="str">
        <f>IF(项目基本情况!B9="房地产市场价值","",MID(E109,3,LEN(E109)-2))</f>
        <v/>
      </c>
      <c r="B124" s="3591"/>
      <c r="C124" s="3591"/>
      <c r="D124" s="3624" t="str">
        <f>H109</f>
        <v>——</v>
      </c>
      <c r="E124" s="3625"/>
      <c r="F124" s="3625"/>
      <c r="G124" s="3625"/>
      <c r="H124" s="3625"/>
      <c r="I124" s="3626"/>
      <c r="AA124" s="723"/>
    </row>
    <row r="125" spans="1:27" ht="18.75" customHeight="1">
      <c r="A125" s="3560" t="s">
        <v>1452</v>
      </c>
      <c r="B125" s="3560"/>
      <c r="C125" s="3560"/>
      <c r="D125" s="3600" t="e">
        <f>NUMBERSTRING(INT(D124*10000),2)&amp;"元整"</f>
        <v>#VALUE!</v>
      </c>
      <c r="E125" s="3601"/>
      <c r="F125" s="3601"/>
      <c r="G125" s="3601"/>
      <c r="H125" s="3601"/>
      <c r="I125" s="3602"/>
      <c r="AA125" s="723"/>
    </row>
    <row r="126" spans="1:27" ht="18.75" customHeight="1">
      <c r="A126" s="3591" t="str">
        <f>IF(项目基本情况!B9="房地产市场价值","",MID(E111,3,LEN(E111)-2))</f>
        <v/>
      </c>
      <c r="B126" s="3591"/>
      <c r="C126" s="3591"/>
      <c r="D126" s="3624" t="str">
        <f>H111</f>
        <v>——</v>
      </c>
      <c r="E126" s="3625"/>
      <c r="F126" s="3625"/>
      <c r="G126" s="3625"/>
      <c r="H126" s="3625"/>
      <c r="I126" s="3626"/>
      <c r="AA126" s="723"/>
    </row>
    <row r="127" spans="1:27" ht="18.75" customHeight="1">
      <c r="A127" s="3560" t="s">
        <v>1452</v>
      </c>
      <c r="B127" s="3560"/>
      <c r="C127" s="3560"/>
      <c r="D127" s="3600" t="e">
        <f>NUMBERSTRING(INT(D126*10000),2)&amp;"元整"</f>
        <v>#VALUE!</v>
      </c>
      <c r="E127" s="3601"/>
      <c r="F127" s="3601"/>
      <c r="G127" s="3601"/>
      <c r="H127" s="3601"/>
      <c r="I127" s="3602"/>
      <c r="AA127" s="723"/>
    </row>
    <row r="128" spans="1:27" ht="21.75" customHeight="1">
      <c r="A128" s="3607" t="s">
        <v>1453</v>
      </c>
      <c r="B128" s="3607"/>
      <c r="C128" s="3607"/>
      <c r="D128" s="3607"/>
      <c r="E128" s="3607"/>
      <c r="F128" s="3607"/>
      <c r="G128" s="3607"/>
      <c r="H128" s="3607"/>
      <c r="I128" s="360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57" t="str">
        <f>项目基本情况!B1</f>
        <v>北京市房地产抵押价值预评估</v>
      </c>
      <c r="C37" s="3457"/>
      <c r="D37" s="3457"/>
      <c r="E37" s="3457"/>
      <c r="F37" s="3457"/>
      <c r="G37" s="3457"/>
      <c r="H37" s="3457"/>
      <c r="I37" s="345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t="s">
        <v>3385</v>
      </c>
      <c r="C1" s="198"/>
      <c r="D1" s="198"/>
      <c r="E1" s="198"/>
      <c r="F1" s="198"/>
      <c r="G1" s="1124">
        <f>MATCH(B1,'数据-取费表'!A6:A16,0)+5</f>
        <v>6</v>
      </c>
    </row>
    <row r="2" spans="1:9" s="200" customFormat="1" ht="18" customHeight="1">
      <c r="A2" s="201" t="s">
        <v>1462</v>
      </c>
      <c r="B2" s="202">
        <f ca="1">IF(D2="——",C52,C52-E2)</f>
        <v>45606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5844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6401</v>
      </c>
      <c r="D5" s="211" t="s">
        <v>1469</v>
      </c>
      <c r="E5" s="212" t="s">
        <v>1470</v>
      </c>
      <c r="F5" s="212" t="s">
        <v>1471</v>
      </c>
      <c r="G5" s="213"/>
    </row>
    <row r="6" spans="1:9" s="214" customFormat="1" ht="13.5" customHeight="1">
      <c r="A6" s="776" t="s">
        <v>1472</v>
      </c>
      <c r="B6" s="215" t="s">
        <v>1473</v>
      </c>
      <c r="C6" s="216">
        <f>基准地价修正!B2</f>
        <v>6212</v>
      </c>
      <c r="D6" s="217"/>
      <c r="E6" s="218"/>
      <c r="F6" s="218"/>
      <c r="G6" s="219"/>
    </row>
    <row r="7" spans="1:9" s="214" customFormat="1" ht="13.5" customHeight="1">
      <c r="A7" s="776" t="s">
        <v>1474</v>
      </c>
      <c r="B7" s="215" t="s">
        <v>1475</v>
      </c>
      <c r="C7" s="220">
        <f>ROUND(C6*F7,0)</f>
        <v>189</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3406</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1171</v>
      </c>
      <c r="D10" s="843">
        <f ca="1">IF(B1="",'数据-汇总表'!E6,IF(INDIRECT("'数据-取费表'!c"&amp;$G$1)="住宅",INDIRECT("'数据-取费表'!s"&amp;$G$1),INDIRECT("'数据-取费表'!k"&amp;$G$1)+INDIRECT("'数据-取费表'!s"&amp;$G$1)))</f>
        <v>78042.850000000006</v>
      </c>
      <c r="E10" s="225">
        <f>'数据-取费表'!B28</f>
        <v>150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78042.850000000006</v>
      </c>
      <c r="E19" s="211">
        <f>'数据-取费表'!B31</f>
        <v>200</v>
      </c>
      <c r="F19" s="231"/>
      <c r="G19" s="1854" t="s">
        <v>3407</v>
      </c>
    </row>
    <row r="20" spans="1:7" s="214" customFormat="1" ht="13.5" customHeight="1">
      <c r="A20" s="255" t="s">
        <v>1493</v>
      </c>
      <c r="B20" s="210" t="s">
        <v>1494</v>
      </c>
      <c r="C20" s="232">
        <f>ROUND((C5+C19)*F20,0)</f>
        <v>128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337</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334</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3</v>
      </c>
      <c r="D25" s="238"/>
      <c r="E25" s="241"/>
      <c r="F25" s="239"/>
      <c r="G25" s="242" t="s">
        <v>1510</v>
      </c>
    </row>
    <row r="26" spans="1:7" s="214" customFormat="1">
      <c r="A26" s="778"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979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979</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8489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30105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27315</v>
      </c>
      <c r="D34" s="217"/>
      <c r="E34" s="220"/>
      <c r="F34" s="257">
        <f ca="1">IF('数据-取费表'!B24=0,1,IF(B1="",'数据-取费表'!N16,INDIRECT("'数据-取费表'!n"&amp;$G$1)))</f>
        <v>1</v>
      </c>
      <c r="G34" s="219" t="s">
        <v>1526</v>
      </c>
    </row>
    <row r="35" spans="1:7" ht="13.5" customHeight="1">
      <c r="A35" s="778" t="s">
        <v>351</v>
      </c>
      <c r="B35" s="215" t="s">
        <v>1527</v>
      </c>
      <c r="C35" s="220">
        <f ca="1">ROUND(C34*F35,0)</f>
        <v>819</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1561</v>
      </c>
      <c r="D37" s="217">
        <f ca="1">D19</f>
        <v>78042.850000000006</v>
      </c>
      <c r="E37" s="249">
        <f>'数据-取费表'!B35</f>
        <v>200</v>
      </c>
      <c r="F37" s="259"/>
      <c r="G37" s="261" t="s">
        <v>1532</v>
      </c>
    </row>
    <row r="38" spans="1:7" ht="13.5" customHeight="1">
      <c r="A38" s="778" t="s">
        <v>354</v>
      </c>
      <c r="B38" s="215" t="s">
        <v>1533</v>
      </c>
      <c r="C38" s="220">
        <f ca="1">ROUND(C34*F38,0)</f>
        <v>410</v>
      </c>
      <c r="D38" s="220"/>
      <c r="E38" s="220"/>
      <c r="F38" s="259">
        <f>'数据-取费表'!B36</f>
        <v>1.4999999999999999E-2</v>
      </c>
      <c r="G38" s="219" t="s">
        <v>1528</v>
      </c>
    </row>
    <row r="39" spans="1:7" s="214" customFormat="1" ht="13.5" customHeight="1">
      <c r="A39" s="255" t="s">
        <v>1534</v>
      </c>
      <c r="B39" s="210" t="s">
        <v>1535</v>
      </c>
      <c r="C39" s="232">
        <f ca="1">ROUND(C33*F20,0)</f>
        <v>602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792</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776</v>
      </c>
      <c r="D42" s="238"/>
      <c r="E42" s="238"/>
      <c r="F42" s="239"/>
      <c r="G42" s="3640" t="s">
        <v>1544</v>
      </c>
    </row>
    <row r="43" spans="1:7" ht="13.5" customHeight="1">
      <c r="A43" s="778" t="s">
        <v>347</v>
      </c>
      <c r="B43" s="215" t="s">
        <v>1545</v>
      </c>
      <c r="C43" s="238">
        <f ca="1">ROUND(IF('数据-取费表'!B22&lt;=1,C39*F22*'数据-取费表'!B21/2,C39*(POWER((1+F22),'数据-取费表'!B21/2)-1)),0)</f>
        <v>16</v>
      </c>
      <c r="D43" s="238"/>
      <c r="E43" s="238"/>
      <c r="F43" s="239"/>
      <c r="G43" s="3641"/>
    </row>
    <row r="44" spans="1:7" ht="13.5" customHeight="1">
      <c r="A44" s="778" t="s">
        <v>348</v>
      </c>
      <c r="B44" s="215" t="s">
        <v>1546</v>
      </c>
      <c r="C44" s="238">
        <f ca="1">ROUND(IF('数据-取费表'!B22&lt;=1,C40*F22*'数据-取费表'!B21/2,C40*(POWER((1+F22),'数据-取费表'!B21/2)-1)),4)</f>
        <v>5.0000000000000001E-4</v>
      </c>
      <c r="D44" s="238"/>
      <c r="E44" s="238"/>
      <c r="F44" s="239"/>
      <c r="G44" s="3642"/>
    </row>
    <row r="45" spans="1:7" s="214" customFormat="1" ht="13.5" customHeight="1">
      <c r="A45" s="255" t="s">
        <v>1547</v>
      </c>
      <c r="B45" s="244" t="s">
        <v>1513</v>
      </c>
      <c r="C45" s="245">
        <f ca="1">C46</f>
        <v>4606</v>
      </c>
      <c r="D45" s="235">
        <f ca="1">C47</f>
        <v>3.0000000000000001E-3</v>
      </c>
      <c r="E45" s="236" t="s">
        <v>1539</v>
      </c>
      <c r="F45" s="246">
        <f ca="1">F27</f>
        <v>0.15</v>
      </c>
      <c r="G45" s="247" t="s">
        <v>1548</v>
      </c>
    </row>
    <row r="46" spans="1:7" s="214" customFormat="1" ht="13.5" customHeight="1">
      <c r="A46" s="778" t="s">
        <v>346</v>
      </c>
      <c r="B46" s="248" t="s">
        <v>1549</v>
      </c>
      <c r="C46" s="249">
        <f ca="1">ROUND((C33+C39)*F27,0)</f>
        <v>4606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39070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37117</v>
      </c>
      <c r="D51" s="232"/>
      <c r="E51" s="232"/>
      <c r="F51" s="264"/>
      <c r="G51" s="234" t="s">
        <v>1560</v>
      </c>
    </row>
    <row r="52" spans="1:7" s="208" customFormat="1" ht="16.8" thickBot="1">
      <c r="A52" s="265" t="s">
        <v>1561</v>
      </c>
      <c r="B52" s="266"/>
      <c r="C52" s="267">
        <f ca="1">C31+C51</f>
        <v>45606</v>
      </c>
      <c r="D52" s="266"/>
      <c r="E52" s="266"/>
      <c r="F52" s="266"/>
      <c r="G52" s="268"/>
    </row>
    <row r="55" spans="1:7" ht="15">
      <c r="B55" s="270" t="s">
        <v>1562</v>
      </c>
      <c r="C55" s="271"/>
    </row>
    <row r="56" spans="1:7">
      <c r="B56" s="273" t="s">
        <v>802</v>
      </c>
      <c r="C56" s="275">
        <f ca="1">1-C57</f>
        <v>0.18600000000000005</v>
      </c>
    </row>
    <row r="57" spans="1:7">
      <c r="B57" s="273" t="s">
        <v>803</v>
      </c>
      <c r="C57" s="274">
        <f ca="1">ROUND(C51/C52,3)</f>
        <v>0.81399999999999995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40739.285799999998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5220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11706428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11706428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11706428</v>
      </c>
      <c r="D10" s="843">
        <f ca="1">IF(B1="",'数据-汇总表'!E6,IF(INDIRECT("'数据-取费表'!c"&amp;$G$1)="住宅",INDIRECT("'数据-取费表'!s"&amp;$G$1),INDIRECT("'数据-取费表'!k"&amp;$G$1)+INDIRECT("'数据-取费表'!s"&amp;$G$1)))</f>
        <v>78042.850000000006</v>
      </c>
      <c r="E10" s="225">
        <f>'数据-取费表'!B28</f>
        <v>150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15608570</v>
      </c>
      <c r="D19" s="847">
        <f ca="1">D9+D10</f>
        <v>78042.850000000006</v>
      </c>
      <c r="E19" s="211">
        <f>'数据-取费表'!B31</f>
        <v>200</v>
      </c>
      <c r="F19" s="231"/>
      <c r="G19" s="1854"/>
    </row>
    <row r="20" spans="1:7" s="214" customFormat="1" ht="13.5" customHeight="1">
      <c r="A20" s="255" t="s">
        <v>1574</v>
      </c>
      <c r="B20" s="210" t="s">
        <v>1575</v>
      </c>
      <c r="C20" s="232">
        <f ca="1">ROUND((C5+C19)*F20,0)</f>
        <v>546300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1439749</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611003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814671</v>
      </c>
      <c r="D24" s="238"/>
      <c r="E24" s="238"/>
      <c r="F24" s="239"/>
      <c r="G24" s="240" t="s">
        <v>1586</v>
      </c>
    </row>
    <row r="25" spans="1:7" s="214" customFormat="1" ht="24">
      <c r="A25" s="778" t="s">
        <v>1476</v>
      </c>
      <c r="B25" s="215" t="s">
        <v>1587</v>
      </c>
      <c r="C25" s="1126">
        <f ca="1">ROUND(IF('数据-取费表'!B22&lt;=1,C20*F22*'数据-取费表'!B22/2,C20*(POWER((1+F22),'数据-取费表'!B22/2)-1)),0)</f>
        <v>14075</v>
      </c>
      <c r="D25" s="238"/>
      <c r="E25" s="241"/>
      <c r="F25" s="239"/>
      <c r="G25" s="242" t="s">
        <v>1588</v>
      </c>
    </row>
    <row r="26" spans="1:7" s="214" customFormat="1">
      <c r="A26" s="778"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4179195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4179195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36230107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301050294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273149975</v>
      </c>
      <c r="D34" s="217"/>
      <c r="E34" s="220"/>
      <c r="F34" s="257"/>
      <c r="G34" s="219"/>
    </row>
    <row r="35" spans="1:7" ht="13.5" customHeight="1">
      <c r="A35" s="778" t="s">
        <v>351</v>
      </c>
      <c r="B35" s="215" t="s">
        <v>1527</v>
      </c>
      <c r="C35" s="220">
        <f ca="1">ROUND(C34*F35,0)</f>
        <v>8194499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15608570</v>
      </c>
      <c r="D37" s="217">
        <f ca="1">D19</f>
        <v>78042.850000000006</v>
      </c>
      <c r="E37" s="249">
        <f>'数据-取费表'!B35</f>
        <v>200</v>
      </c>
      <c r="F37" s="259"/>
      <c r="G37" s="261"/>
    </row>
    <row r="38" spans="1:7" ht="13.5" customHeight="1">
      <c r="A38" s="778" t="s">
        <v>354</v>
      </c>
      <c r="B38" s="215" t="s">
        <v>1533</v>
      </c>
      <c r="C38" s="220">
        <f ca="1">ROUND(C34*F38,0)</f>
        <v>4097250</v>
      </c>
      <c r="D38" s="220"/>
      <c r="E38" s="220"/>
      <c r="F38" s="259">
        <f>'数据-取费表'!B36</f>
        <v>1.4999999999999999E-2</v>
      </c>
      <c r="G38" s="219" t="s">
        <v>1528</v>
      </c>
    </row>
    <row r="39" spans="1:7" s="214" customFormat="1" ht="13.5" customHeight="1">
      <c r="A39" s="255" t="s">
        <v>1534</v>
      </c>
      <c r="B39" s="210" t="s">
        <v>1535</v>
      </c>
      <c r="C39" s="232">
        <f ca="1">ROUND(C33*F20,0)</f>
        <v>6021006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7911688</v>
      </c>
      <c r="D41" s="235">
        <f ca="1">C44</f>
        <v>5.0000000000000001E-4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7756557</v>
      </c>
      <c r="D42" s="238"/>
      <c r="E42" s="238"/>
      <c r="F42" s="239"/>
      <c r="G42" s="3640" t="s">
        <v>1591</v>
      </c>
    </row>
    <row r="43" spans="1:7" ht="13.5" customHeight="1">
      <c r="A43" s="778" t="s">
        <v>347</v>
      </c>
      <c r="B43" s="215" t="s">
        <v>1545</v>
      </c>
      <c r="C43" s="238">
        <f ca="1">ROUND(IF('数据-取费表'!B22&lt;=1,C39*F22*'数据-取费表'!B20/2,C39*(POWER((1+F22),'数据-取费表'!B20/2)-1)),0)</f>
        <v>155131</v>
      </c>
      <c r="D43" s="238"/>
      <c r="E43" s="238"/>
      <c r="F43" s="239"/>
      <c r="G43" s="3641"/>
    </row>
    <row r="44" spans="1:7" ht="13.5" customHeight="1">
      <c r="A44" s="778" t="s">
        <v>348</v>
      </c>
      <c r="B44" s="215" t="s">
        <v>1546</v>
      </c>
      <c r="C44" s="238">
        <f ca="1">ROUND(IF('数据-取费表'!B22&lt;=1,C40*F22*'数据-取费表'!B20/2,C40*(POWER((1+F22),'数据-取费表'!B20/2)-1)),4)</f>
        <v>5.0000000000000001E-4</v>
      </c>
      <c r="D44" s="238"/>
      <c r="E44" s="238"/>
      <c r="F44" s="239"/>
      <c r="G44" s="3642"/>
    </row>
    <row r="45" spans="1:7" s="214" customFormat="1" ht="13.5" customHeight="1">
      <c r="A45" s="255" t="s">
        <v>1547</v>
      </c>
      <c r="B45" s="244" t="s">
        <v>1513</v>
      </c>
      <c r="C45" s="245">
        <f ca="1">C46</f>
        <v>46060695</v>
      </c>
      <c r="D45" s="235">
        <f ca="1">C47</f>
        <v>3.0000000000000001E-3</v>
      </c>
      <c r="E45" s="236" t="s">
        <v>1539</v>
      </c>
      <c r="F45" s="246">
        <f ca="1">F27</f>
        <v>0.15</v>
      </c>
      <c r="G45" s="247" t="s">
        <v>1548</v>
      </c>
    </row>
    <row r="46" spans="1:7" s="214" customFormat="1" ht="13.5" customHeight="1">
      <c r="A46" s="778" t="s">
        <v>346</v>
      </c>
      <c r="B46" s="248" t="s">
        <v>1549</v>
      </c>
      <c r="C46" s="249">
        <f ca="1">ROUND((C33+C39)*F27,0)</f>
        <v>46060695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390697633</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371162751</v>
      </c>
      <c r="D51" s="232"/>
      <c r="E51" s="232"/>
      <c r="F51" s="264"/>
      <c r="G51" s="234" t="s">
        <v>1560</v>
      </c>
    </row>
    <row r="52" spans="1:7" s="208" customFormat="1" ht="16.8" thickBot="1">
      <c r="A52" s="265" t="s">
        <v>1561</v>
      </c>
      <c r="B52" s="266"/>
      <c r="C52" s="267">
        <f ca="1">C31+C51</f>
        <v>407392858</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9"/>
      <c r="C1" s="1190"/>
      <c r="D1" s="1188"/>
      <c r="E1" s="2804"/>
      <c r="F1" s="2804"/>
      <c r="G1" s="2669"/>
      <c r="H1" s="2804"/>
      <c r="I1" s="2804"/>
      <c r="J1" s="2804"/>
      <c r="K1" s="2805">
        <f>MATCH(C1,'数据-取费表'!A6:A16,0)+5</f>
        <v>7</v>
      </c>
    </row>
    <row r="2" spans="1:33" ht="18" customHeight="1">
      <c r="A2" s="201" t="s">
        <v>1462</v>
      </c>
      <c r="B2" s="204">
        <f ca="1">C32</f>
        <v>-1334</v>
      </c>
      <c r="C2" s="276" t="s">
        <v>1595</v>
      </c>
      <c r="D2" s="276"/>
      <c r="E2" s="2804"/>
      <c r="F2" s="2804"/>
      <c r="G2" s="2804"/>
      <c r="H2" s="2804"/>
      <c r="I2" s="2804"/>
      <c r="J2" s="2804"/>
      <c r="K2" s="2804"/>
    </row>
    <row r="3" spans="1:33" ht="18" customHeight="1" thickBot="1">
      <c r="A3" s="203" t="s">
        <v>1464</v>
      </c>
      <c r="B3" s="204">
        <f ca="1">ROUND(B2*10000/IF(C1="",'数据-汇总表'!E3,INDIRECT("'数据-取费表'!K"&amp;$K$1)),0)</f>
        <v>-171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78042.850000000006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78042.850000000006</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1171</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1171</v>
      </c>
      <c r="D20" s="844">
        <f ca="1">IF(C1="",'数据-汇总表'!E6,IF(INDIRECT("'数据-取费表'!c"&amp;$K$1)="住宅",INDIRECT("'数据-取费表'!s"&amp;$K$1),INDIRECT("'数据-取费表'!k"&amp;$K$1)+INDIRECT("'数据-取费表'!s"&amp;$K$1)))</f>
        <v>78042.850000000006</v>
      </c>
      <c r="E20" s="21">
        <f>'数据-取费表'!B28</f>
        <v>150</v>
      </c>
      <c r="F20" s="802"/>
      <c r="G20" s="12"/>
      <c r="H20" s="807"/>
      <c r="I20" s="807"/>
      <c r="J20" s="807"/>
      <c r="K20" s="808"/>
    </row>
    <row r="21" spans="1:33" s="801" customFormat="1" ht="13.5" customHeight="1">
      <c r="A21" s="788" t="s">
        <v>357</v>
      </c>
      <c r="B21" s="811" t="s">
        <v>1628</v>
      </c>
      <c r="C21" s="812">
        <f ca="1">C16+C17+C18</f>
        <v>1171</v>
      </c>
      <c r="D21" s="813"/>
      <c r="E21" s="281"/>
      <c r="F21" s="281"/>
      <c r="G21" s="131" t="s">
        <v>1629</v>
      </c>
      <c r="H21" s="805"/>
      <c r="I21" s="805"/>
      <c r="J21" s="805"/>
      <c r="K21" s="806"/>
    </row>
    <row r="22" spans="1:33" s="801" customFormat="1" ht="13.5" customHeight="1">
      <c r="A22" s="788" t="s">
        <v>1601</v>
      </c>
      <c r="B22" s="811" t="s">
        <v>1630</v>
      </c>
      <c r="C22" s="812">
        <f ca="1">ROUND(C21*F22,0)</f>
        <v>23</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179</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179</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-1334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Normal="60" zoomScaleSheetLayoutView="100" workbookViewId="0">
      <selection activeCell="C42" sqref="C4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1826</v>
      </c>
      <c r="C1" s="1222" t="s">
        <v>1662</v>
      </c>
      <c r="D1" s="1223" t="s">
        <v>3385</v>
      </c>
      <c r="E1" s="3431" t="s">
        <v>3412</v>
      </c>
      <c r="F1" s="1877" t="s">
        <v>3413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IF(E1="项目模式",IF(C2="——",ROUND(C43*D3/10000,0),ROUND(C43*D3/10000,0)-D2),IF(E1="单套模式",IF(C2="——",ROUND(C43*D3/10000,4),ROUND(C43*D3/10000,4)-D2)))</f>
        <v>76263</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9772</v>
      </c>
      <c r="C3" s="354" t="s">
        <v>1768</v>
      </c>
      <c r="D3" s="353">
        <f>IF(D1="",'数据-汇总表'!E3,SUMIF('数据-汇总表'!$C19:$C33,D1,'数据-汇总表'!$E19:$E33))</f>
        <v>78042.850000000006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1769</v>
      </c>
      <c r="B4" s="356"/>
      <c r="C4" s="3656" t="s">
        <v>1770</v>
      </c>
      <c r="D4" s="3657"/>
      <c r="E4" s="3658" t="s">
        <v>1771</v>
      </c>
      <c r="F4" s="3659"/>
      <c r="G4" s="3656" t="s">
        <v>1772</v>
      </c>
      <c r="H4" s="3657"/>
      <c r="I4" s="3656" t="s">
        <v>1773</v>
      </c>
      <c r="J4" s="3657"/>
      <c r="K4" s="559" t="s">
        <v>1774</v>
      </c>
      <c r="L4" s="911"/>
      <c r="M4" s="912"/>
      <c r="N4" s="912"/>
      <c r="O4" s="912"/>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c r="A5" s="358"/>
      <c r="B5" s="359"/>
      <c r="C5" s="3680" t="s">
        <v>1673</v>
      </c>
      <c r="D5" s="3676"/>
      <c r="E5" s="3675" t="s">
        <v>3414</v>
      </c>
      <c r="F5" s="3676"/>
      <c r="G5" s="3675" t="s">
        <v>3414</v>
      </c>
      <c r="H5" s="3676"/>
      <c r="I5" s="3675" t="s">
        <v>3414</v>
      </c>
      <c r="J5" s="3676"/>
      <c r="K5" s="559"/>
      <c r="L5" s="911"/>
      <c r="M5" s="912"/>
      <c r="N5" s="912"/>
      <c r="O5" s="912"/>
      <c r="P5" s="3662"/>
      <c r="Q5" s="3663"/>
      <c r="R5" s="3668"/>
      <c r="S5" s="3669"/>
      <c r="T5" s="3668"/>
      <c r="U5" s="3669"/>
      <c r="V5" s="3672"/>
      <c r="W5" s="3672"/>
      <c r="X5" s="1353"/>
      <c r="Y5" s="3668"/>
      <c r="Z5" s="3669"/>
      <c r="AA5" s="3654"/>
      <c r="AB5" s="3654"/>
      <c r="AC5" s="3654"/>
    </row>
    <row r="6" spans="1:29" ht="15" thickBot="1">
      <c r="A6" s="360"/>
      <c r="B6" s="361"/>
      <c r="C6" s="3673" t="s">
        <v>1677</v>
      </c>
      <c r="D6" s="3674"/>
      <c r="E6" s="3681" t="s">
        <v>1677</v>
      </c>
      <c r="F6" s="3682"/>
      <c r="G6" s="3673" t="s">
        <v>1677</v>
      </c>
      <c r="H6" s="3674"/>
      <c r="I6" s="3673" t="s">
        <v>1677</v>
      </c>
      <c r="J6" s="3674"/>
      <c r="K6" s="559" t="s">
        <v>1678</v>
      </c>
      <c r="L6" s="911"/>
      <c r="M6" s="912"/>
      <c r="N6" s="912"/>
      <c r="O6" s="912"/>
      <c r="P6" s="3664"/>
      <c r="Q6" s="3665"/>
      <c r="R6" s="3668"/>
      <c r="S6" s="3669"/>
      <c r="T6" s="3670"/>
      <c r="U6" s="3671"/>
      <c r="V6" s="3672"/>
      <c r="W6" s="3672"/>
      <c r="X6" s="1353"/>
      <c r="Y6" s="3670"/>
      <c r="Z6" s="3671"/>
      <c r="AA6" s="3655"/>
      <c r="AB6" s="3655"/>
      <c r="AC6" s="3655"/>
    </row>
    <row r="7" spans="1:29" s="108" customFormat="1" ht="15" thickBot="1">
      <c r="A7" s="362" t="s">
        <v>1679</v>
      </c>
      <c r="B7" s="363"/>
      <c r="C7" s="364">
        <f>'数据-取费表'!B2</f>
        <v>45159</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77" t="s">
        <v>1680</v>
      </c>
      <c r="Q7" s="3679"/>
      <c r="R7" s="699" t="s">
        <v>14</v>
      </c>
      <c r="S7" s="700">
        <f t="shared" ref="S7:S15" si="0">F7</f>
        <v>100</v>
      </c>
      <c r="T7" s="699" t="s">
        <v>14</v>
      </c>
      <c r="U7" s="700">
        <f t="shared" ref="U7:U15" si="1">H7</f>
        <v>100</v>
      </c>
      <c r="V7" s="699" t="s">
        <v>14</v>
      </c>
      <c r="W7" s="700">
        <f t="shared" ref="W7:W15" si="2">J7</f>
        <v>100</v>
      </c>
      <c r="X7" s="701"/>
      <c r="Y7" s="3677" t="s">
        <v>1680</v>
      </c>
      <c r="Z7" s="3678"/>
      <c r="AA7" s="702">
        <f>D7/F7</f>
        <v>1</v>
      </c>
      <c r="AB7" s="702">
        <f>D7/H7</f>
        <v>1</v>
      </c>
      <c r="AC7" s="702">
        <f>D7/J7</f>
        <v>1</v>
      </c>
    </row>
    <row r="8" spans="1:29" s="108" customFormat="1" ht="15" thickBot="1">
      <c r="A8" s="362" t="s">
        <v>1681</v>
      </c>
      <c r="B8" s="363"/>
      <c r="C8" s="368" t="s">
        <v>3418</v>
      </c>
      <c r="D8" s="365">
        <v>100</v>
      </c>
      <c r="E8" s="368" t="s">
        <v>3416</v>
      </c>
      <c r="F8" s="367">
        <f>SUMIF(55:55,E8,56:56)-SUMIF(55:55,C8,56:56)+100</f>
        <v>103</v>
      </c>
      <c r="G8" s="368" t="s">
        <v>3416</v>
      </c>
      <c r="H8" s="365">
        <f>SUMIF(55:55,G8,56:56)-SUMIF(55:55,C8,56:56)+100</f>
        <v>103</v>
      </c>
      <c r="I8" s="368" t="s">
        <v>3416</v>
      </c>
      <c r="J8" s="365">
        <f>SUMIF(55:55,I8,56:56)-SUMIF(55:55,C8,56:56)+100</f>
        <v>103</v>
      </c>
      <c r="K8" s="560"/>
      <c r="L8" s="913"/>
      <c r="M8" s="914"/>
      <c r="N8" s="914"/>
      <c r="O8" s="914"/>
      <c r="P8" s="3677" t="s">
        <v>1683</v>
      </c>
      <c r="Q8" s="3678"/>
      <c r="R8" s="699" t="s">
        <v>14</v>
      </c>
      <c r="S8" s="700">
        <f t="shared" si="0"/>
        <v>103</v>
      </c>
      <c r="T8" s="699" t="s">
        <v>14</v>
      </c>
      <c r="U8" s="700">
        <f t="shared" si="1"/>
        <v>103</v>
      </c>
      <c r="V8" s="699" t="s">
        <v>14</v>
      </c>
      <c r="W8" s="700">
        <f t="shared" si="2"/>
        <v>103</v>
      </c>
      <c r="X8" s="701"/>
      <c r="Y8" s="3677" t="s">
        <v>1683</v>
      </c>
      <c r="Z8" s="3678"/>
      <c r="AA8" s="702">
        <f t="shared" ref="AA8:AA40" si="3">D8/F8</f>
        <v>0.970873786407767</v>
      </c>
      <c r="AB8" s="702">
        <f t="shared" ref="AB8:AB40" si="4">D8/H8</f>
        <v>0.970873786407767</v>
      </c>
      <c r="AC8" s="702">
        <f t="shared" ref="AC8:AC40" si="5">D8/J8</f>
        <v>0.970873786407767</v>
      </c>
    </row>
    <row r="9" spans="1:29" s="108" customFormat="1" ht="14.4">
      <c r="A9" s="369" t="s">
        <v>1684</v>
      </c>
      <c r="B9" s="63" t="s">
        <v>1685</v>
      </c>
      <c r="C9" s="3451" t="s">
        <v>3415</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48" t="s">
        <v>1691</v>
      </c>
      <c r="Q15" s="1350" t="str">
        <f t="shared" si="6"/>
        <v>产业集聚程度</v>
      </c>
      <c r="R15" s="703" t="s">
        <v>14</v>
      </c>
      <c r="S15" s="704">
        <f t="shared" si="0"/>
        <v>103</v>
      </c>
      <c r="T15" s="703" t="s">
        <v>14</v>
      </c>
      <c r="U15" s="704">
        <f t="shared" si="1"/>
        <v>103</v>
      </c>
      <c r="V15" s="703" t="s">
        <v>14</v>
      </c>
      <c r="W15" s="704">
        <f t="shared" si="2"/>
        <v>103</v>
      </c>
      <c r="X15" s="1353"/>
      <c r="Y15" s="3648"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3405</v>
      </c>
      <c r="D16" s="399"/>
      <c r="E16" s="398" t="s">
        <v>3403</v>
      </c>
      <c r="F16" s="400"/>
      <c r="G16" s="398" t="s">
        <v>3403</v>
      </c>
      <c r="H16" s="401"/>
      <c r="I16" s="398" t="s">
        <v>3403</v>
      </c>
      <c r="J16" s="399"/>
      <c r="K16" s="564"/>
      <c r="L16" s="921"/>
      <c r="M16" s="912"/>
      <c r="N16" s="912"/>
      <c r="O16" s="920"/>
      <c r="P16" s="3649"/>
      <c r="Q16" s="1350"/>
      <c r="R16" s="703"/>
      <c r="S16" s="704"/>
      <c r="T16" s="703"/>
      <c r="U16" s="704"/>
      <c r="V16" s="703"/>
      <c r="W16" s="704"/>
      <c r="X16" s="1353"/>
      <c r="Y16" s="3649"/>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49"/>
      <c r="Q17" s="1350" t="str">
        <f>B17</f>
        <v>交通便捷度</v>
      </c>
      <c r="R17" s="703" t="s">
        <v>14</v>
      </c>
      <c r="S17" s="704">
        <f>F17</f>
        <v>102</v>
      </c>
      <c r="T17" s="703" t="s">
        <v>14</v>
      </c>
      <c r="U17" s="704">
        <f>H17</f>
        <v>102</v>
      </c>
      <c r="V17" s="703" t="s">
        <v>14</v>
      </c>
      <c r="W17" s="704">
        <f>J17</f>
        <v>102</v>
      </c>
      <c r="X17" s="1353"/>
      <c r="Y17" s="3649"/>
      <c r="Z17" s="1354" t="str">
        <f>Q17</f>
        <v>交通便捷度</v>
      </c>
      <c r="AA17" s="1351">
        <f t="shared" si="3"/>
        <v>0.98039215686274506</v>
      </c>
      <c r="AB17" s="1351">
        <f t="shared" si="4"/>
        <v>0.98039215686274506</v>
      </c>
      <c r="AC17" s="1351">
        <f t="shared" si="5"/>
        <v>0.98039215686274506</v>
      </c>
    </row>
    <row r="18" spans="1:29" ht="15">
      <c r="A18" s="379"/>
      <c r="B18" s="407"/>
      <c r="C18" s="1899" t="s">
        <v>3404</v>
      </c>
      <c r="D18" s="401"/>
      <c r="E18" s="1901" t="s">
        <v>3405</v>
      </c>
      <c r="F18" s="404"/>
      <c r="G18" s="1901" t="s">
        <v>3405</v>
      </c>
      <c r="H18" s="399"/>
      <c r="I18" s="1901" t="s">
        <v>3405</v>
      </c>
      <c r="J18" s="399"/>
      <c r="K18" s="564"/>
      <c r="L18" s="921"/>
      <c r="M18" s="912"/>
      <c r="N18" s="912"/>
      <c r="O18" s="920"/>
      <c r="P18" s="3649"/>
      <c r="Q18" s="1350"/>
      <c r="R18" s="703"/>
      <c r="S18" s="704"/>
      <c r="T18" s="703"/>
      <c r="U18" s="704"/>
      <c r="V18" s="703"/>
      <c r="W18" s="704"/>
      <c r="X18" s="1353"/>
      <c r="Y18" s="3649"/>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49"/>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1901" t="s">
        <v>3405</v>
      </c>
      <c r="D20" s="399"/>
      <c r="E20" s="1901" t="s">
        <v>3405</v>
      </c>
      <c r="F20" s="400"/>
      <c r="G20" s="1901" t="s">
        <v>3405</v>
      </c>
      <c r="H20" s="399"/>
      <c r="I20" s="1901" t="s">
        <v>3405</v>
      </c>
      <c r="J20" s="399"/>
      <c r="K20" s="564"/>
      <c r="L20" s="921"/>
      <c r="M20" s="912"/>
      <c r="N20" s="912"/>
      <c r="O20" s="920"/>
      <c r="P20" s="3649"/>
      <c r="Q20" s="1350"/>
      <c r="R20" s="703"/>
      <c r="S20" s="704"/>
      <c r="T20" s="703"/>
      <c r="U20" s="704"/>
      <c r="V20" s="703"/>
      <c r="W20" s="704"/>
      <c r="X20" s="1353"/>
      <c r="Y20" s="3649"/>
      <c r="Z20" s="1354"/>
      <c r="AA20" s="1351">
        <v>1</v>
      </c>
      <c r="AB20" s="1351">
        <v>1</v>
      </c>
      <c r="AC20" s="1351">
        <v>1</v>
      </c>
    </row>
    <row r="21" spans="1:29" ht="41.4">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49"/>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t="s">
        <v>3419</v>
      </c>
      <c r="D22" s="399"/>
      <c r="E22" s="1899" t="s">
        <v>3419</v>
      </c>
      <c r="F22" s="400"/>
      <c r="G22" s="1899" t="s">
        <v>3419</v>
      </c>
      <c r="H22" s="399"/>
      <c r="I22" s="1899" t="s">
        <v>3419</v>
      </c>
      <c r="J22" s="399"/>
      <c r="K22" s="1128"/>
      <c r="L22" s="921"/>
      <c r="M22" s="912"/>
      <c r="N22" s="912"/>
      <c r="O22" s="920"/>
      <c r="P22" s="3649"/>
      <c r="Q22" s="1350"/>
      <c r="R22" s="703"/>
      <c r="S22" s="704"/>
      <c r="T22" s="703"/>
      <c r="U22" s="704"/>
      <c r="V22" s="703"/>
      <c r="W22" s="704"/>
      <c r="X22" s="1353"/>
      <c r="Y22" s="3649"/>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49"/>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351">
        <f t="shared" si="5"/>
        <v>1</v>
      </c>
    </row>
    <row r="24" spans="1:29" ht="15">
      <c r="A24" s="379"/>
      <c r="B24" s="1129"/>
      <c r="C24" s="398" t="s">
        <v>3405</v>
      </c>
      <c r="D24" s="399"/>
      <c r="E24" s="398" t="s">
        <v>3405</v>
      </c>
      <c r="F24" s="400"/>
      <c r="G24" s="398" t="s">
        <v>3405</v>
      </c>
      <c r="H24" s="399"/>
      <c r="I24" s="398" t="s">
        <v>3405</v>
      </c>
      <c r="J24" s="399"/>
      <c r="K24" s="564"/>
      <c r="L24" s="921"/>
      <c r="M24" s="912"/>
      <c r="N24" s="912"/>
      <c r="O24" s="920"/>
      <c r="P24" s="3649"/>
      <c r="Q24" s="1350"/>
      <c r="R24" s="703"/>
      <c r="S24" s="704"/>
      <c r="T24" s="703"/>
      <c r="U24" s="704"/>
      <c r="V24" s="703"/>
      <c r="W24" s="704"/>
      <c r="X24" s="1353"/>
      <c r="Y24" s="3649"/>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49"/>
      <c r="Q25" s="1350">
        <f>B25</f>
        <v>0</v>
      </c>
      <c r="R25" s="703" t="s">
        <v>14</v>
      </c>
      <c r="S25" s="704">
        <f>F25</f>
        <v>100</v>
      </c>
      <c r="T25" s="703" t="s">
        <v>14</v>
      </c>
      <c r="U25" s="704">
        <f>H25</f>
        <v>100</v>
      </c>
      <c r="V25" s="703" t="s">
        <v>14</v>
      </c>
      <c r="W25" s="704">
        <f>J25</f>
        <v>100</v>
      </c>
      <c r="X25" s="1353"/>
      <c r="Y25" s="3649"/>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49"/>
      <c r="Q26" s="1350">
        <f t="shared" ref="Q26:Q40" si="11">B26</f>
        <v>0</v>
      </c>
      <c r="R26" s="703" t="s">
        <v>14</v>
      </c>
      <c r="S26" s="704">
        <f>F26</f>
        <v>100</v>
      </c>
      <c r="T26" s="703" t="s">
        <v>14</v>
      </c>
      <c r="U26" s="704">
        <f>H26</f>
        <v>100</v>
      </c>
      <c r="V26" s="703" t="s">
        <v>14</v>
      </c>
      <c r="W26" s="704">
        <f>J26</f>
        <v>100</v>
      </c>
      <c r="X26" s="1353"/>
      <c r="Y26" s="3649"/>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49"/>
      <c r="Q27" s="1341">
        <f t="shared" si="11"/>
        <v>0</v>
      </c>
      <c r="R27" s="699" t="s">
        <v>14</v>
      </c>
      <c r="S27" s="700">
        <f>F27</f>
        <v>100</v>
      </c>
      <c r="T27" s="699" t="s">
        <v>14</v>
      </c>
      <c r="U27" s="700">
        <f>H27</f>
        <v>100</v>
      </c>
      <c r="V27" s="699" t="s">
        <v>14</v>
      </c>
      <c r="W27" s="700">
        <f>J27</f>
        <v>100</v>
      </c>
      <c r="X27" s="701"/>
      <c r="Y27" s="3649"/>
      <c r="Z27" s="52">
        <f>Q27</f>
        <v>0</v>
      </c>
      <c r="AA27" s="1351">
        <f>D27/F27</f>
        <v>1</v>
      </c>
      <c r="AB27" s="1351">
        <f>D27/H27</f>
        <v>1</v>
      </c>
      <c r="AC27" s="1351">
        <f>D27/J27</f>
        <v>1</v>
      </c>
    </row>
    <row r="28" spans="1:29" ht="15.6"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49"/>
      <c r="Q28" s="1350">
        <f t="shared" si="11"/>
        <v>0</v>
      </c>
      <c r="R28" s="703" t="s">
        <v>14</v>
      </c>
      <c r="S28" s="704">
        <f t="shared" ref="S28:S40" si="12">F28</f>
        <v>100</v>
      </c>
      <c r="T28" s="703" t="s">
        <v>14</v>
      </c>
      <c r="U28" s="704">
        <f t="shared" ref="U28:U40" si="13">H28</f>
        <v>100</v>
      </c>
      <c r="V28" s="703" t="s">
        <v>14</v>
      </c>
      <c r="W28" s="704">
        <f t="shared" ref="W28:W40" si="14">J28</f>
        <v>100</v>
      </c>
      <c r="X28" s="1353"/>
      <c r="Y28" s="3649"/>
      <c r="Z28" s="1354">
        <f t="shared" ref="Z28:Z40" si="15">Q28</f>
        <v>0</v>
      </c>
      <c r="AA28" s="1351">
        <f t="shared" si="3"/>
        <v>1</v>
      </c>
      <c r="AB28" s="1351">
        <f t="shared" si="4"/>
        <v>1</v>
      </c>
      <c r="AC28" s="1351">
        <f t="shared" si="5"/>
        <v>1</v>
      </c>
    </row>
    <row r="29" spans="1:29" ht="30">
      <c r="A29" s="417" t="s">
        <v>1694</v>
      </c>
      <c r="B29" s="63" t="s">
        <v>1817</v>
      </c>
      <c r="C29" s="1965" t="s">
        <v>3420</v>
      </c>
      <c r="D29" s="418">
        <v>100</v>
      </c>
      <c r="E29" s="1965" t="s">
        <v>3420</v>
      </c>
      <c r="F29" s="412">
        <f>SUMIF(88:88,E29,89:89)-SUMIF(88:88,C29,89:89)+100</f>
        <v>100</v>
      </c>
      <c r="G29" s="1965" t="s">
        <v>3420</v>
      </c>
      <c r="H29" s="386">
        <f>SUMIF(88:88,G29,89:89)-SUMIF(88:88,C29,89:89)+100</f>
        <v>100</v>
      </c>
      <c r="I29" s="1965" t="s">
        <v>3420</v>
      </c>
      <c r="J29" s="418">
        <f>SUMIF(88:88,I29,89:89)-SUMIF(88:88,C29,89:89)+100</f>
        <v>100</v>
      </c>
      <c r="K29" s="561">
        <v>3</v>
      </c>
      <c r="L29" s="921"/>
      <c r="M29" s="912"/>
      <c r="N29" s="912"/>
      <c r="O29" s="920"/>
      <c r="P29" s="3650" t="s">
        <v>1696</v>
      </c>
      <c r="Q29" s="1350" t="str">
        <f t="shared" si="11"/>
        <v>建筑类型</v>
      </c>
      <c r="R29" s="703" t="s">
        <v>14</v>
      </c>
      <c r="S29" s="704">
        <f t="shared" si="12"/>
        <v>100</v>
      </c>
      <c r="T29" s="703" t="s">
        <v>14</v>
      </c>
      <c r="U29" s="704">
        <f t="shared" si="13"/>
        <v>100</v>
      </c>
      <c r="V29" s="703" t="s">
        <v>14</v>
      </c>
      <c r="W29" s="704">
        <f t="shared" si="14"/>
        <v>100</v>
      </c>
      <c r="X29" s="1353"/>
      <c r="Y29" s="3651" t="s">
        <v>1696</v>
      </c>
      <c r="Z29" s="1354" t="str">
        <f t="shared" si="15"/>
        <v>建筑类型</v>
      </c>
      <c r="AA29" s="1351">
        <f t="shared" si="3"/>
        <v>1</v>
      </c>
      <c r="AB29" s="1351">
        <f t="shared" si="4"/>
        <v>1</v>
      </c>
      <c r="AC29" s="1351">
        <f t="shared" si="5"/>
        <v>1</v>
      </c>
    </row>
    <row r="30" spans="1:29" s="422" customFormat="1" ht="15">
      <c r="A30" s="419"/>
      <c r="B30" s="375" t="s">
        <v>1697</v>
      </c>
      <c r="C30" s="420">
        <f>Sheet1!F3</f>
        <v>1653.49</v>
      </c>
      <c r="D30" s="127">
        <v>100</v>
      </c>
      <c r="E30" s="381">
        <v>1340</v>
      </c>
      <c r="F30" s="376">
        <f>LOOKUP(E30,91:91,92:92)-LOOKUP(C30,91:91,92:92)+100</f>
        <v>102</v>
      </c>
      <c r="G30" s="380">
        <v>2195.38</v>
      </c>
      <c r="H30" s="127">
        <f>LOOKUP(G30,91:91,92:92)-LOOKUP(C30,91:91,92:92)+100</f>
        <v>98</v>
      </c>
      <c r="I30" s="380">
        <v>2400</v>
      </c>
      <c r="J30" s="127">
        <f>LOOKUP(I30,91:91,92:92)-LOOKUP(C30,91:91,92:92)+100</f>
        <v>98</v>
      </c>
      <c r="K30" s="562"/>
      <c r="L30" s="919"/>
      <c r="M30" s="922"/>
      <c r="N30" s="922"/>
      <c r="O30" s="923"/>
      <c r="P30" s="3651"/>
      <c r="Q30" s="705" t="str">
        <f t="shared" si="11"/>
        <v>项目建筑规模</v>
      </c>
      <c r="R30" s="706" t="s">
        <v>14</v>
      </c>
      <c r="S30" s="707">
        <f t="shared" si="12"/>
        <v>102</v>
      </c>
      <c r="T30" s="706" t="s">
        <v>14</v>
      </c>
      <c r="U30" s="707">
        <f t="shared" si="13"/>
        <v>98</v>
      </c>
      <c r="V30" s="706" t="s">
        <v>14</v>
      </c>
      <c r="W30" s="707">
        <f t="shared" si="14"/>
        <v>98</v>
      </c>
      <c r="X30" s="708"/>
      <c r="Y30" s="3651"/>
      <c r="Z30" s="709" t="str">
        <f t="shared" si="15"/>
        <v>项目建筑规模</v>
      </c>
      <c r="AA30" s="1351">
        <f t="shared" si="3"/>
        <v>0.98039215686274506</v>
      </c>
      <c r="AB30" s="1351">
        <f t="shared" si="4"/>
        <v>1.0204081632653061</v>
      </c>
      <c r="AC30" s="1351">
        <f t="shared" si="5"/>
        <v>1.0204081632653061</v>
      </c>
    </row>
    <row r="31" spans="1:29" ht="15">
      <c r="A31" s="423"/>
      <c r="B31" s="375" t="s">
        <v>1698</v>
      </c>
      <c r="C31" s="411" t="s">
        <v>3392</v>
      </c>
      <c r="D31" s="386">
        <v>100</v>
      </c>
      <c r="E31" s="411" t="s">
        <v>3392</v>
      </c>
      <c r="F31" s="412">
        <f>SUMIF(93:93,E31,94:94)-SUMIF(93:93,C31,94:94)+100</f>
        <v>100</v>
      </c>
      <c r="G31" s="411" t="s">
        <v>3392</v>
      </c>
      <c r="H31" s="386">
        <f>SUMIF(93:93,G31,94:94)-SUMIF(93:93,C31,94:94)+100</f>
        <v>100</v>
      </c>
      <c r="I31" s="411" t="s">
        <v>3392</v>
      </c>
      <c r="J31" s="386">
        <f>SUMIF(93:93,I31,94:94)-SUMIF(93:93,C31,94:94)+100</f>
        <v>100</v>
      </c>
      <c r="K31" s="561">
        <v>2</v>
      </c>
      <c r="L31" s="921"/>
      <c r="M31" s="912"/>
      <c r="N31" s="912"/>
      <c r="O31" s="920"/>
      <c r="P31" s="3651"/>
      <c r="Q31" s="1350" t="str">
        <f t="shared" si="11"/>
        <v>建筑结构</v>
      </c>
      <c r="R31" s="703" t="s">
        <v>14</v>
      </c>
      <c r="S31" s="704">
        <f t="shared" si="12"/>
        <v>100</v>
      </c>
      <c r="T31" s="703" t="s">
        <v>14</v>
      </c>
      <c r="U31" s="704">
        <f t="shared" si="13"/>
        <v>100</v>
      </c>
      <c r="V31" s="703" t="s">
        <v>14</v>
      </c>
      <c r="W31" s="704">
        <f t="shared" si="14"/>
        <v>100</v>
      </c>
      <c r="X31" s="1353"/>
      <c r="Y31" s="3651"/>
      <c r="Z31" s="1354" t="str">
        <f t="shared" si="15"/>
        <v>建筑结构</v>
      </c>
      <c r="AA31" s="1351">
        <f t="shared" si="3"/>
        <v>1</v>
      </c>
      <c r="AB31" s="1351">
        <f t="shared" si="4"/>
        <v>1</v>
      </c>
      <c r="AC31" s="1351">
        <f t="shared" si="5"/>
        <v>1</v>
      </c>
    </row>
    <row r="32" spans="1:29" ht="15">
      <c r="A32" s="423"/>
      <c r="B32" s="375" t="s">
        <v>1785</v>
      </c>
      <c r="C32" s="411" t="s">
        <v>3425</v>
      </c>
      <c r="D32" s="386">
        <v>100</v>
      </c>
      <c r="E32" s="411" t="s">
        <v>3425</v>
      </c>
      <c r="F32" s="412">
        <f>SUMIF(95:95,E32,96:96)-SUMIF(95:95,C32,96:96)+100</f>
        <v>100</v>
      </c>
      <c r="G32" s="411" t="s">
        <v>3425</v>
      </c>
      <c r="H32" s="386">
        <f>SUMIF(95:95,G32,96:96)-SUMIF(95:95,C32,96:96)+100</f>
        <v>100</v>
      </c>
      <c r="I32" s="411" t="s">
        <v>3425</v>
      </c>
      <c r="J32" s="386">
        <f>SUMIF(95:95,I32,96:96)-SUMIF(95:95,C32,96:96)+100</f>
        <v>100</v>
      </c>
      <c r="K32" s="561">
        <v>2</v>
      </c>
      <c r="L32" s="921"/>
      <c r="M32" s="912"/>
      <c r="N32" s="912"/>
      <c r="O32" s="920"/>
      <c r="P32" s="3651"/>
      <c r="Q32" s="1350" t="str">
        <f t="shared" si="11"/>
        <v>公共部分装修</v>
      </c>
      <c r="R32" s="703" t="s">
        <v>14</v>
      </c>
      <c r="S32" s="704">
        <f t="shared" si="12"/>
        <v>100</v>
      </c>
      <c r="T32" s="703" t="s">
        <v>14</v>
      </c>
      <c r="U32" s="704">
        <f t="shared" si="13"/>
        <v>100</v>
      </c>
      <c r="V32" s="703" t="s">
        <v>14</v>
      </c>
      <c r="W32" s="704">
        <f t="shared" si="14"/>
        <v>100</v>
      </c>
      <c r="X32" s="1353"/>
      <c r="Y32" s="3651"/>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1"/>
      <c r="Q33" s="1350" t="str">
        <f t="shared" si="11"/>
        <v>成新度</v>
      </c>
      <c r="R33" s="703" t="s">
        <v>14</v>
      </c>
      <c r="S33" s="704">
        <f t="shared" si="12"/>
        <v>100</v>
      </c>
      <c r="T33" s="703" t="s">
        <v>14</v>
      </c>
      <c r="U33" s="704">
        <f t="shared" si="13"/>
        <v>100</v>
      </c>
      <c r="V33" s="703" t="s">
        <v>14</v>
      </c>
      <c r="W33" s="704">
        <f t="shared" si="14"/>
        <v>100</v>
      </c>
      <c r="X33" s="1353"/>
      <c r="Y33" s="3651"/>
      <c r="Z33" s="1354" t="str">
        <f t="shared" si="15"/>
        <v>成新度</v>
      </c>
      <c r="AA33" s="1351">
        <f t="shared" si="3"/>
        <v>1</v>
      </c>
      <c r="AB33" s="1351">
        <f t="shared" si="4"/>
        <v>1</v>
      </c>
      <c r="AC33" s="1351">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v>2</v>
      </c>
      <c r="L34" s="913"/>
      <c r="M34" s="914"/>
      <c r="N34" s="914"/>
      <c r="O34" s="915"/>
      <c r="P34" s="3651"/>
      <c r="Q34" s="1341" t="str">
        <f t="shared" si="11"/>
        <v>物业管理</v>
      </c>
      <c r="R34" s="699" t="s">
        <v>14</v>
      </c>
      <c r="S34" s="700">
        <f t="shared" si="12"/>
        <v>100</v>
      </c>
      <c r="T34" s="699" t="s">
        <v>14</v>
      </c>
      <c r="U34" s="700">
        <f t="shared" si="13"/>
        <v>100</v>
      </c>
      <c r="V34" s="699" t="s">
        <v>14</v>
      </c>
      <c r="W34" s="700">
        <f t="shared" si="14"/>
        <v>100</v>
      </c>
      <c r="X34" s="701"/>
      <c r="Y34" s="3651"/>
      <c r="Z34" s="52" t="str">
        <f t="shared" si="15"/>
        <v>物业管理</v>
      </c>
      <c r="AA34" s="702">
        <f t="shared" si="3"/>
        <v>1</v>
      </c>
      <c r="AB34" s="702">
        <f t="shared" si="4"/>
        <v>1</v>
      </c>
      <c r="AC34" s="702">
        <f t="shared" si="5"/>
        <v>1</v>
      </c>
    </row>
    <row r="35" spans="1:29" ht="15">
      <c r="A35" s="423"/>
      <c r="B35" s="375" t="s">
        <v>1787</v>
      </c>
      <c r="C35" s="411" t="s">
        <v>3433</v>
      </c>
      <c r="D35" s="386">
        <v>100</v>
      </c>
      <c r="E35" s="411" t="s">
        <v>3433</v>
      </c>
      <c r="F35" s="412">
        <f>SUMIF(102:102,E35,103:103)-SUMIF(102:102,C35,103:103)+100</f>
        <v>100</v>
      </c>
      <c r="G35" s="411" t="s">
        <v>3433</v>
      </c>
      <c r="H35" s="386">
        <f>SUMIF(102:102,G35,103:103)-SUMIF(102:102,C35,103:103)+100</f>
        <v>100</v>
      </c>
      <c r="I35" s="411" t="s">
        <v>3433</v>
      </c>
      <c r="J35" s="386">
        <f>SUMIF(102:102,I35,103:103)-SUMIF(102:102,C35,103:103)+100</f>
        <v>100</v>
      </c>
      <c r="K35" s="561">
        <v>1</v>
      </c>
      <c r="L35" s="921"/>
      <c r="M35" s="912"/>
      <c r="N35" s="912"/>
      <c r="O35" s="920"/>
      <c r="P35" s="3651" t="s">
        <v>1696</v>
      </c>
      <c r="Q35" s="1350" t="str">
        <f t="shared" si="11"/>
        <v>市政基础设施</v>
      </c>
      <c r="R35" s="703" t="s">
        <v>14</v>
      </c>
      <c r="S35" s="704">
        <f t="shared" si="12"/>
        <v>100</v>
      </c>
      <c r="T35" s="703" t="s">
        <v>14</v>
      </c>
      <c r="U35" s="704">
        <f t="shared" si="13"/>
        <v>100</v>
      </c>
      <c r="V35" s="703" t="s">
        <v>14</v>
      </c>
      <c r="W35" s="704">
        <f t="shared" si="14"/>
        <v>100</v>
      </c>
      <c r="X35" s="1353"/>
      <c r="Y35" s="3651" t="s">
        <v>1696</v>
      </c>
      <c r="Z35" s="1354" t="str">
        <f t="shared" si="15"/>
        <v>市政基础设施</v>
      </c>
      <c r="AA35" s="1351">
        <f t="shared" si="3"/>
        <v>1</v>
      </c>
      <c r="AB35" s="1351">
        <f t="shared" si="4"/>
        <v>1</v>
      </c>
      <c r="AC35" s="1351">
        <f t="shared" si="5"/>
        <v>1</v>
      </c>
    </row>
    <row r="36" spans="1:29" ht="15">
      <c r="A36" s="423"/>
      <c r="B36" s="375" t="s">
        <v>1792</v>
      </c>
      <c r="C36" s="411" t="s">
        <v>3427</v>
      </c>
      <c r="D36" s="386">
        <v>100</v>
      </c>
      <c r="E36" s="411" t="s">
        <v>3427</v>
      </c>
      <c r="F36" s="412">
        <f>SUMIF(104:104,E36,105:105)-SUMIF(104:104,C36,105:105)+100</f>
        <v>100</v>
      </c>
      <c r="G36" s="411" t="s">
        <v>3423</v>
      </c>
      <c r="H36" s="386">
        <f>SUMIF(104:104,G36,105:105)-SUMIF(104:104,C36,105:105)+100</f>
        <v>104</v>
      </c>
      <c r="I36" s="411" t="s">
        <v>3427</v>
      </c>
      <c r="J36" s="386">
        <f>SUMIF(104:104,I36,105:105)-SUMIF(104:104,C36,105:105)+100</f>
        <v>100</v>
      </c>
      <c r="K36" s="561">
        <v>2</v>
      </c>
      <c r="L36" s="921"/>
      <c r="M36" s="912"/>
      <c r="N36" s="912"/>
      <c r="O36" s="920"/>
      <c r="P36" s="3651"/>
      <c r="Q36" s="1350" t="str">
        <f t="shared" si="11"/>
        <v>内部装修</v>
      </c>
      <c r="R36" s="703" t="s">
        <v>14</v>
      </c>
      <c r="S36" s="704">
        <f t="shared" si="12"/>
        <v>100</v>
      </c>
      <c r="T36" s="703" t="s">
        <v>14</v>
      </c>
      <c r="U36" s="704">
        <f t="shared" si="13"/>
        <v>104</v>
      </c>
      <c r="V36" s="703" t="s">
        <v>14</v>
      </c>
      <c r="W36" s="704">
        <f t="shared" si="14"/>
        <v>100</v>
      </c>
      <c r="X36" s="1353"/>
      <c r="Y36" s="3651"/>
      <c r="Z36" s="1354" t="str">
        <f t="shared" si="15"/>
        <v>内部装修</v>
      </c>
      <c r="AA36" s="1351">
        <f t="shared" si="3"/>
        <v>1</v>
      </c>
      <c r="AB36" s="1351">
        <f t="shared" si="4"/>
        <v>0.96153846153846156</v>
      </c>
      <c r="AC36" s="1351">
        <f t="shared" si="5"/>
        <v>1</v>
      </c>
    </row>
    <row r="37" spans="1:29" ht="15">
      <c r="A37" s="423"/>
      <c r="B37" s="375" t="s">
        <v>1828</v>
      </c>
      <c r="C37" s="565" t="s">
        <v>3403</v>
      </c>
      <c r="D37" s="386">
        <v>100</v>
      </c>
      <c r="E37" s="565" t="s">
        <v>3403</v>
      </c>
      <c r="F37" s="412">
        <f>SUMIF(106:106,E37,107:107)-SUMIF(106:106,C37,107:107)+100</f>
        <v>100</v>
      </c>
      <c r="G37" s="565" t="s">
        <v>3403</v>
      </c>
      <c r="H37" s="386">
        <f>SUMIF(106:106,G37,107:107)-SUMIF(106:106,C37,107:107)+100</f>
        <v>100</v>
      </c>
      <c r="I37" s="565" t="s">
        <v>3403</v>
      </c>
      <c r="J37" s="386">
        <f>SUMIF(106:106,I37,107:107)-SUMIF(106:106,C37,107:107)+100</f>
        <v>100</v>
      </c>
      <c r="K37" s="561">
        <v>2</v>
      </c>
      <c r="L37" s="921"/>
      <c r="M37" s="912"/>
      <c r="N37" s="912"/>
      <c r="O37" s="920"/>
      <c r="P37" s="3651"/>
      <c r="Q37" s="1350" t="str">
        <f t="shared" si="11"/>
        <v>内部装修状况</v>
      </c>
      <c r="R37" s="703" t="s">
        <v>14</v>
      </c>
      <c r="S37" s="704">
        <f t="shared" si="12"/>
        <v>100</v>
      </c>
      <c r="T37" s="703" t="s">
        <v>14</v>
      </c>
      <c r="U37" s="704">
        <f t="shared" si="13"/>
        <v>100</v>
      </c>
      <c r="V37" s="703" t="s">
        <v>14</v>
      </c>
      <c r="W37" s="704">
        <f t="shared" si="14"/>
        <v>100</v>
      </c>
      <c r="X37" s="1353"/>
      <c r="Y37" s="3651"/>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1"/>
      <c r="Q38" s="705">
        <f t="shared" si="11"/>
        <v>0</v>
      </c>
      <c r="R38" s="706" t="s">
        <v>14</v>
      </c>
      <c r="S38" s="707">
        <f t="shared" si="12"/>
        <v>100</v>
      </c>
      <c r="T38" s="706" t="s">
        <v>14</v>
      </c>
      <c r="U38" s="707">
        <f t="shared" si="13"/>
        <v>100</v>
      </c>
      <c r="V38" s="706" t="s">
        <v>14</v>
      </c>
      <c r="W38" s="707">
        <f t="shared" si="14"/>
        <v>100</v>
      </c>
      <c r="X38" s="708"/>
      <c r="Y38" s="3651"/>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1"/>
      <c r="Q39" s="1350">
        <f t="shared" si="11"/>
        <v>0</v>
      </c>
      <c r="R39" s="703" t="s">
        <v>14</v>
      </c>
      <c r="S39" s="704">
        <f t="shared" si="12"/>
        <v>100</v>
      </c>
      <c r="T39" s="703" t="s">
        <v>14</v>
      </c>
      <c r="U39" s="704">
        <f t="shared" si="13"/>
        <v>100</v>
      </c>
      <c r="V39" s="703" t="s">
        <v>14</v>
      </c>
      <c r="W39" s="704">
        <f t="shared" si="14"/>
        <v>100</v>
      </c>
      <c r="X39" s="1353"/>
      <c r="Y39" s="3651"/>
      <c r="Z39" s="1354">
        <f t="shared" si="15"/>
        <v>0</v>
      </c>
      <c r="AA39" s="1351">
        <f t="shared" si="3"/>
        <v>1</v>
      </c>
      <c r="AB39" s="1351">
        <f t="shared" si="4"/>
        <v>1</v>
      </c>
      <c r="AC39" s="1351">
        <f t="shared" si="5"/>
        <v>1</v>
      </c>
    </row>
    <row r="40" spans="1:29" ht="15.6"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2"/>
      <c r="Q40" s="1350">
        <f t="shared" si="11"/>
        <v>0</v>
      </c>
      <c r="R40" s="703" t="s">
        <v>14</v>
      </c>
      <c r="S40" s="704">
        <f t="shared" si="12"/>
        <v>100</v>
      </c>
      <c r="T40" s="703" t="s">
        <v>14</v>
      </c>
      <c r="U40" s="704">
        <f t="shared" si="13"/>
        <v>100</v>
      </c>
      <c r="V40" s="703" t="s">
        <v>14</v>
      </c>
      <c r="W40" s="704">
        <f t="shared" si="14"/>
        <v>100</v>
      </c>
      <c r="X40" s="1353"/>
      <c r="Y40" s="3652"/>
      <c r="Z40" s="1354">
        <f t="shared" si="15"/>
        <v>0</v>
      </c>
      <c r="AA40" s="1351">
        <f t="shared" si="3"/>
        <v>1</v>
      </c>
      <c r="AB40" s="1351">
        <f t="shared" si="4"/>
        <v>1</v>
      </c>
      <c r="AC40" s="1351">
        <f t="shared" si="5"/>
        <v>1</v>
      </c>
    </row>
    <row r="41" spans="1:29" ht="14.4">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 thickBot="1">
      <c r="A42" s="437" t="s">
        <v>1793</v>
      </c>
      <c r="B42" s="438"/>
      <c r="C42" s="1158">
        <f>R43</f>
        <v>9772</v>
      </c>
      <c r="D42" s="2315" t="s">
        <v>2137</v>
      </c>
      <c r="E42" s="1159">
        <f>R42</f>
        <v>10818</v>
      </c>
      <c r="F42" s="2316"/>
      <c r="G42" s="1158">
        <f>T42</f>
        <v>9067</v>
      </c>
      <c r="H42" s="2316"/>
      <c r="I42" s="1159">
        <f>V42</f>
        <v>9430</v>
      </c>
      <c r="J42" s="2316"/>
      <c r="K42" s="2318">
        <f>F42+H42+J42</f>
        <v>0</v>
      </c>
      <c r="L42" s="924"/>
      <c r="M42" s="925"/>
      <c r="N42" s="912"/>
      <c r="O42" s="925"/>
      <c r="P42" s="3643" t="str">
        <f>A42</f>
        <v>比较价值（元/平方米）</v>
      </c>
      <c r="Q42" s="3643"/>
      <c r="R42" s="3644">
        <f>IF(F1="售价",ROUND(PRODUCT(R41,AA7:AA40),0),ROUND(PRODUCT(R41,AA7:AA40),1))</f>
        <v>10818</v>
      </c>
      <c r="S42" s="3644"/>
      <c r="T42" s="3644">
        <f>IF(F1="售价",ROUND(PRODUCT(T41,AB7:AB40),0),ROUND(PRODUCT(T41,AB7:AB40),1))</f>
        <v>9067</v>
      </c>
      <c r="U42" s="3644"/>
      <c r="V42" s="3644">
        <f>IF(F1="售价",ROUND(PRODUCT(V41,AC7:AC40),0),ROUND(PRODUCT(V41,AC7:AC40),1))</f>
        <v>9430</v>
      </c>
      <c r="W42" s="3644"/>
      <c r="X42" s="688"/>
      <c r="Y42" s="688"/>
      <c r="Z42" s="688"/>
      <c r="AA42" s="688"/>
      <c r="AB42" s="688"/>
      <c r="AC42" s="688"/>
    </row>
    <row r="43" spans="1:29" ht="15" thickBot="1">
      <c r="A43" s="441" t="s">
        <v>1794</v>
      </c>
      <c r="B43" s="442"/>
      <c r="C43" s="1161">
        <f>R43</f>
        <v>9772</v>
      </c>
      <c r="D43" s="1161"/>
      <c r="E43" s="1161"/>
      <c r="F43" s="1161"/>
      <c r="G43" s="1161"/>
      <c r="H43" s="1161"/>
      <c r="I43" s="1161"/>
      <c r="J43" s="1161"/>
      <c r="K43" s="713"/>
      <c r="L43" s="924"/>
      <c r="M43" s="925"/>
      <c r="N43" s="925"/>
      <c r="O43" s="925"/>
      <c r="P43" s="3645" t="str">
        <f>A43</f>
        <v>估价对象XX用房的比较价值（楼面单价，元/平方米）</v>
      </c>
      <c r="Q43" s="3646"/>
      <c r="R43" s="3647">
        <f>IF(F1="售价",ROUND(IF(D42="简单平均",AVERAGE(R42:V42),R42*F42+T42*H42+V42*J42),0),ROUND(IF(D42="简单平均",AVERAGE(R42:V42),R42*F42+T42*H42+V42*J42),1))</f>
        <v>9772</v>
      </c>
      <c r="S43" s="3647"/>
      <c r="T43" s="3647"/>
      <c r="U43" s="3647"/>
      <c r="V43" s="3647"/>
      <c r="W43" s="364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f>IF(E41&lt;E42,E42/E41-1,E41/E42-1)</f>
        <v>0.10371602884082076</v>
      </c>
      <c r="F46" s="449" t="str">
        <f>IF(OR(E46&gt;=0.3,E46&lt;=-0.3),"超过30%","")</f>
        <v/>
      </c>
      <c r="G46" s="448">
        <f>IF(G41&lt;G42,G42/G41-1,G41/G42-1)</f>
        <v>0.10290062865335825</v>
      </c>
      <c r="H46" s="449" t="str">
        <f>IF(OR(G46&gt;=0.3,G46&lt;=-0.3),"超过30%","")</f>
        <v/>
      </c>
      <c r="I46" s="448">
        <f>IF(I41&lt;I42,I42/I41-1,I41/I42-1)</f>
        <v>6.0445387062566303E-2</v>
      </c>
      <c r="J46" s="449" t="str">
        <f>IF(OR(I46&gt;=0.3,I46&lt;=-0.3),"超过30%","")</f>
        <v/>
      </c>
      <c r="K46" s="2728"/>
      <c r="L46" s="887"/>
      <c r="M46" s="925"/>
      <c r="N46" s="925"/>
      <c r="O46" s="925"/>
    </row>
    <row r="47" spans="1:29" ht="13.5" customHeight="1">
      <c r="A47" s="2723"/>
      <c r="B47" s="2723"/>
      <c r="C47" s="446" t="s">
        <v>1796</v>
      </c>
      <c r="D47" s="450"/>
      <c r="E47" s="448">
        <f>IF(E42&lt;G42,G42/E42-1,E42/G42-1)</f>
        <v>0.19311790007720298</v>
      </c>
      <c r="F47" s="449" t="str">
        <f>IF(OR(E47&gt;=0.2,E47&lt;=-0.2),"超过20%","")</f>
        <v/>
      </c>
      <c r="G47" s="448">
        <f>IF(G42&lt;I42,I42/G42-1,G42/I42-1)</f>
        <v>4.0035292820116863E-2</v>
      </c>
      <c r="H47" s="449" t="str">
        <f>IF(OR(G47&gt;=0.2,G47&lt;=-0.2),"超过20%","")</f>
        <v/>
      </c>
      <c r="I47" s="448">
        <f>IF(I42&lt;E42,E42/I42-1,I42/E42-1)</f>
        <v>0.14718981972428424</v>
      </c>
      <c r="J47" s="449" t="str">
        <f>IF(OR(I47&gt;=0.2,I47&lt;=-0.2),"超过20%","")</f>
        <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2"/>
      <c r="Q51" s="453"/>
    </row>
    <row r="52" spans="1:17" s="457" customFormat="1" ht="14.4">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3452" t="s">
        <v>3417</v>
      </c>
      <c r="E55" s="472"/>
      <c r="F55" s="472"/>
      <c r="G55" s="472"/>
      <c r="H55" s="472"/>
      <c r="I55" s="472"/>
      <c r="J55" s="472"/>
      <c r="K55" s="472"/>
      <c r="L55" s="473"/>
      <c r="M55" s="474"/>
      <c r="N55" s="930"/>
      <c r="O55" s="930"/>
      <c r="P55" s="475"/>
      <c r="Q55" s="453"/>
    </row>
    <row r="56" spans="1:17" s="108" customFormat="1" ht="14.4" thickBot="1">
      <c r="A56" s="470"/>
      <c r="B56" s="459"/>
      <c r="C56" s="587">
        <v>100</v>
      </c>
      <c r="D56" s="461">
        <v>103</v>
      </c>
      <c r="E56" s="461"/>
      <c r="F56" s="461"/>
      <c r="G56" s="461"/>
      <c r="H56" s="461"/>
      <c r="I56" s="461"/>
      <c r="J56" s="461"/>
      <c r="K56" s="461"/>
      <c r="L56" s="461"/>
      <c r="M56" s="463"/>
      <c r="N56" s="930"/>
      <c r="O56" s="930"/>
      <c r="P56" s="453"/>
      <c r="Q56" s="453"/>
    </row>
    <row r="57" spans="1:17" ht="14.4">
      <c r="A57" s="476" t="s">
        <v>1719</v>
      </c>
      <c r="B57" s="477" t="s">
        <v>1685</v>
      </c>
      <c r="C57" s="478" t="str">
        <f>C9</f>
        <v>工业</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1688</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4.4"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4.4" thickTop="1">
      <c r="A80" s="528"/>
      <c r="B80" s="487">
        <f>B25</f>
        <v>0</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0</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0</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0</v>
      </c>
      <c r="C86" s="472"/>
      <c r="D86" s="472"/>
      <c r="E86" s="472"/>
      <c r="F86" s="472"/>
      <c r="G86" s="536"/>
      <c r="H86" s="536"/>
      <c r="I86" s="536"/>
      <c r="J86" s="536"/>
      <c r="K86" s="537"/>
      <c r="L86" s="538"/>
      <c r="M86" s="539"/>
      <c r="N86" s="931"/>
      <c r="O86" s="931"/>
      <c r="P86" s="42"/>
      <c r="Q86" s="453"/>
    </row>
    <row r="87" spans="1:17" ht="14.4" thickBot="1">
      <c r="A87" s="1926"/>
      <c r="B87" s="518"/>
      <c r="C87" s="519"/>
      <c r="D87" s="519"/>
      <c r="E87" s="519"/>
      <c r="F87" s="519"/>
      <c r="G87" s="540"/>
      <c r="H87" s="540"/>
      <c r="I87" s="540"/>
      <c r="J87" s="540"/>
      <c r="K87" s="540"/>
      <c r="L87" s="540"/>
      <c r="M87" s="541"/>
      <c r="N87" s="932"/>
      <c r="O87" s="932"/>
      <c r="P87" s="42"/>
      <c r="Q87" s="453"/>
    </row>
    <row r="88" spans="1:17" ht="14.4">
      <c r="A88" s="476" t="s">
        <v>1694</v>
      </c>
      <c r="B88" s="477" t="s">
        <v>1736</v>
      </c>
      <c r="C88" s="3453" t="s">
        <v>3421</v>
      </c>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8.2"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4.4"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3422</v>
      </c>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3424</v>
      </c>
      <c r="D95" s="3454" t="s">
        <v>3426</v>
      </c>
      <c r="E95" s="3454" t="s">
        <v>3428</v>
      </c>
      <c r="F95" s="3455" t="s">
        <v>3429</v>
      </c>
      <c r="G95" s="532"/>
      <c r="H95" s="532"/>
      <c r="I95" s="532"/>
      <c r="J95" s="532"/>
      <c r="K95" s="533"/>
      <c r="L95" s="534"/>
      <c r="M95" s="535"/>
      <c r="N95" s="931"/>
      <c r="O95" s="931"/>
      <c r="P95" s="42"/>
      <c r="Q95" s="453"/>
    </row>
    <row r="96" spans="1:17" ht="14.4"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4.4"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3431</v>
      </c>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3419</v>
      </c>
      <c r="D102" s="503" t="s">
        <v>3432</v>
      </c>
      <c r="E102" s="503" t="s">
        <v>3433</v>
      </c>
      <c r="F102" s="503" t="s">
        <v>3434</v>
      </c>
      <c r="G102" s="503" t="s">
        <v>3435</v>
      </c>
      <c r="H102" s="532"/>
      <c r="I102" s="532"/>
      <c r="J102" s="532"/>
      <c r="K102" s="533"/>
      <c r="L102" s="534"/>
      <c r="M102" s="535"/>
      <c r="N102" s="931"/>
      <c r="O102" s="931"/>
      <c r="P102" s="42"/>
      <c r="Q102" s="453"/>
    </row>
    <row r="103" spans="1:17" ht="14.4"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3424</v>
      </c>
      <c r="D104" s="3454" t="s">
        <v>3426</v>
      </c>
      <c r="E104" s="3454" t="s">
        <v>3428</v>
      </c>
      <c r="F104" s="3455" t="s">
        <v>3429</v>
      </c>
      <c r="G104" s="503"/>
      <c r="H104" s="532"/>
      <c r="I104" s="532"/>
      <c r="J104" s="532"/>
      <c r="K104" s="533"/>
      <c r="L104" s="534"/>
      <c r="M104" s="535"/>
      <c r="N104" s="931"/>
      <c r="O104" s="931"/>
      <c r="P104" s="42"/>
      <c r="Q104" s="453"/>
    </row>
    <row r="105" spans="1:17" ht="14.4"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4.4"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4.4"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0</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0</v>
      </c>
      <c r="C112" s="472"/>
      <c r="D112" s="472"/>
      <c r="E112" s="472"/>
      <c r="F112" s="472"/>
      <c r="G112" s="536"/>
      <c r="H112" s="536"/>
      <c r="I112" s="536"/>
      <c r="J112" s="536"/>
      <c r="K112" s="472"/>
      <c r="L112" s="473"/>
      <c r="M112" s="539"/>
      <c r="N112" s="931"/>
      <c r="O112" s="931"/>
      <c r="P112" s="42"/>
      <c r="Q112" s="453"/>
    </row>
    <row r="113" spans="1:17" ht="14.4"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D30" sqref="D30:D31"/>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78042.850000000006</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1" t="s">
        <v>1934</v>
      </c>
      <c r="B2" s="204">
        <f>C30</f>
        <v>6212</v>
      </c>
      <c r="C2" s="1997" t="s">
        <v>1935</v>
      </c>
      <c r="D2" s="1998" t="s">
        <v>1936</v>
      </c>
      <c r="E2" s="3420" t="s">
        <v>3</v>
      </c>
      <c r="F2" s="1998" t="s">
        <v>1937</v>
      </c>
      <c r="G2" s="1999" t="str">
        <f>IF(E2="商业",项目基本情况!B37,IF(E2="办公",项目基本情况!C37,IF(E2="住宅",项目基本情况!D37,IF(E2="工业",项目基本情况!E37,项目基本情况!F37))))</f>
        <v>九级</v>
      </c>
      <c r="H2" s="1998" t="s">
        <v>1938</v>
      </c>
      <c r="I2" s="1999" t="str">
        <f>IF(E2="商业",项目基本情况!B38,IF(E2="办公",项目基本情况!C38,IF(E2="住宅",项目基本情况!D38,IF(E2="工业",项目基本情况!E38,项目基本情况!F38))))</f>
        <v>Ⅸ-亦2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1227</v>
      </c>
      <c r="U2" s="1211"/>
      <c r="V2" s="3359">
        <f>ROUND(T2*U2/10000,0)</f>
        <v>0</v>
      </c>
      <c r="W2" s="1214"/>
      <c r="X2" s="1214"/>
      <c r="Y2" s="1214"/>
      <c r="Z2" s="1214"/>
      <c r="AA2" s="1214"/>
      <c r="AB2" s="1214"/>
      <c r="AC2" s="1215"/>
      <c r="AD2" s="1216"/>
      <c r="AE2" s="1216"/>
      <c r="AF2" s="1216"/>
      <c r="AG2" s="1216"/>
      <c r="AH2" s="1216"/>
      <c r="AI2" s="1216"/>
      <c r="AJ2" s="1217"/>
    </row>
    <row r="3" spans="1:36" ht="15.6">
      <c r="A3" s="203" t="s">
        <v>1940</v>
      </c>
      <c r="B3" s="204">
        <f>ROUND(B2*10000/D1,0)</f>
        <v>796</v>
      </c>
      <c r="C3" s="1997" t="s">
        <v>1941</v>
      </c>
      <c r="D3" s="1998" t="s">
        <v>1942</v>
      </c>
      <c r="E3" s="3418" t="s">
        <v>2482</v>
      </c>
      <c r="F3" s="2002" t="s">
        <v>3395</v>
      </c>
      <c r="G3" s="750">
        <f>IF(F3="宗地容积率",'数据-汇总表'!I4,IF(F3="估价对象容积率",'数据-汇总表'!I6,'数据-汇总表'!I7))</f>
        <v>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946</v>
      </c>
      <c r="U3" s="1211"/>
      <c r="V3" s="3359">
        <f t="shared" ref="V3:V16" si="1">ROUND(T3*U3/10000,0)</f>
        <v>0</v>
      </c>
      <c r="W3" s="1214"/>
      <c r="X3" s="1214"/>
      <c r="Y3" s="1214"/>
      <c r="Z3" s="1214"/>
      <c r="AA3" s="1214"/>
      <c r="AB3" s="1214"/>
      <c r="AC3" s="1215"/>
      <c r="AD3" s="1216"/>
      <c r="AE3" s="1216"/>
      <c r="AF3" s="1216"/>
      <c r="AG3" s="1216"/>
      <c r="AH3" s="1216"/>
      <c r="AI3" s="1216"/>
      <c r="AJ3" s="1217"/>
    </row>
    <row r="4" spans="1:36" ht="15.6">
      <c r="A4" s="3690"/>
      <c r="B4" s="3691"/>
      <c r="C4" s="3691"/>
      <c r="D4" s="3692"/>
      <c r="E4" s="3692"/>
      <c r="F4" s="3692"/>
      <c r="G4" s="3692"/>
      <c r="H4" s="3692"/>
      <c r="I4" s="3692"/>
      <c r="J4" s="369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771</v>
      </c>
      <c r="U4" s="1211"/>
      <c r="V4" s="3359">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1">
        <f>ROUND(IF(E2="商业",C6*C7*C17+C20,(IF(E2="住宅",C6*C13*C17+C20,IF(E2="办公",C6*C12*C17+C20,C6+C20)))),0)</f>
        <v>800</v>
      </c>
      <c r="D5" s="1337">
        <f>ROUND(C6*C17+C20,0)</f>
        <v>800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0.82299999999999995</v>
      </c>
      <c r="T5" s="3359">
        <f t="shared" si="0"/>
        <v>655</v>
      </c>
      <c r="U5" s="1211"/>
      <c r="V5" s="3359">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2">
        <f>SUMIF(L1:L12,G2,M1:M12)</f>
        <v>800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597</v>
      </c>
      <c r="U6" s="1211"/>
      <c r="V6" s="3359">
        <f t="shared" si="1"/>
        <v>0</v>
      </c>
      <c r="W6" s="1214"/>
      <c r="X6" s="1214"/>
      <c r="Y6" s="1214"/>
      <c r="Z6" s="1214"/>
      <c r="AA6" s="1214"/>
      <c r="AB6" s="1214"/>
      <c r="AC6" s="2009"/>
      <c r="AD6" s="2010"/>
      <c r="AE6" s="2010"/>
      <c r="AF6" s="2010"/>
      <c r="AG6" s="2010"/>
      <c r="AH6" s="2010"/>
      <c r="AI6" s="2010"/>
      <c r="AJ6" s="2011"/>
    </row>
    <row r="7" spans="1:36" ht="24.6" thickBot="1">
      <c r="A7" s="3302" t="s">
        <v>3242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九级</v>
      </c>
      <c r="Y7" s="1212" t="s">
        <v>1956</v>
      </c>
      <c r="Z7" s="1213">
        <f>G3</f>
        <v>1</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687" t="s">
        <v>1960</v>
      </c>
      <c r="X8" s="368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800</v>
      </c>
      <c r="N9" s="864">
        <f>SUMPRODUCT((因素修正幅度!B277:B326=I2)*(因素修正幅度!C3:G3=E2)*(因素修正幅度!C277:G326))</f>
        <v>0.14899999999999999</v>
      </c>
      <c r="O9" s="1117"/>
      <c r="P9" s="1117"/>
      <c r="Q9" s="1117"/>
      <c r="R9" s="1210">
        <v>8</v>
      </c>
      <c r="S9" s="1211"/>
      <c r="T9" s="3359">
        <f t="shared" si="0"/>
        <v>0</v>
      </c>
      <c r="U9" s="1211"/>
      <c r="V9" s="3359">
        <f t="shared" si="1"/>
        <v>0</v>
      </c>
      <c r="W9" s="3689"/>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68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8"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24.6"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24">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ht="24">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31"/>
      <c r="B18" s="3008"/>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4.4"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3.8">
      <c r="A20" s="3694" t="s">
        <v>3259</v>
      </c>
      <c r="B20" s="167" t="s">
        <v>1994</v>
      </c>
      <c r="C20" s="3323">
        <f>ROUND(IF(F21="与级别开发程度一致",0,(G21-E21)/C21),0)</f>
        <v>0</v>
      </c>
      <c r="D20" s="3339" t="s">
        <v>1998</v>
      </c>
      <c r="E20" s="3340"/>
      <c r="F20" s="3700" t="s">
        <v>1995</v>
      </c>
      <c r="G20" s="3701"/>
      <c r="H20" s="3324" t="s">
        <v>3396</v>
      </c>
      <c r="I20" s="3324" t="s">
        <v>3397</v>
      </c>
      <c r="J20" s="3325" t="s">
        <v>3398</v>
      </c>
      <c r="K20" s="2045" t="s">
        <v>3399</v>
      </c>
      <c r="L20" s="2045" t="s">
        <v>3400</v>
      </c>
      <c r="M20" s="2045" t="s">
        <v>3401</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4.4" thickBot="1">
      <c r="A21" s="3695"/>
      <c r="B21" s="2162" t="s">
        <v>1997</v>
      </c>
      <c r="C21" s="2163">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2154"/>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7"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2002</v>
      </c>
      <c r="E23" s="759">
        <v>44197</v>
      </c>
      <c r="F23" s="2052" t="s">
        <v>2003</v>
      </c>
      <c r="G23" s="760">
        <f>'数据-取费表'!B2</f>
        <v>45159</v>
      </c>
      <c r="H23" s="3341" t="s">
        <v>3402</v>
      </c>
      <c r="I23" s="3342">
        <f>IF(H23="季度增幅（自定义）",SUMIF(N25:N28,E2,O25:O28),"")</f>
        <v>0</v>
      </c>
      <c r="J23" s="3444" t="s">
        <v>3260</v>
      </c>
      <c r="K23" s="1123"/>
      <c r="L23" s="2053" t="s">
        <v>2004</v>
      </c>
      <c r="M23" s="1326">
        <f>ROUND(SUMIF(地价!B2:G2,E2,地价!B16:G16),0)</f>
        <v>318</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0.93169999999999997</v>
      </c>
      <c r="D24" s="2058" t="s">
        <v>2007</v>
      </c>
      <c r="E24" s="1333">
        <f>存贷款利率!E24/100</f>
        <v>4.3499999999999997E-2</v>
      </c>
      <c r="F24" s="2058" t="s">
        <v>1999</v>
      </c>
      <c r="G24" s="766">
        <f>SUMIF(M30:Q30,E2,M33:Q33)</f>
        <v>0.05</v>
      </c>
      <c r="H24" s="2058" t="s">
        <v>2008</v>
      </c>
      <c r="I24" s="767">
        <f>SUMIF('数据-取费表'!C6:C15,E2,'数据-取费表'!F6:F15)/COUNTIF('数据-取费表'!C6:C15,E2)</f>
        <v>38.94</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4.4">
      <c r="A25" s="2063" t="s">
        <v>366</v>
      </c>
      <c r="B25" s="2064" t="s">
        <v>3339</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43" t="s">
        <v>3261</v>
      </c>
      <c r="D26" s="1350">
        <f>IF(E26=G26,F26,IF(G3&lt;10,ROUND(F26+(H26-F26)*(G3-E26)/(G26-E26),4),"——"))</f>
        <v>1</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758">
        <f>SUMIF(A47:A101,E2,B47:B101)</f>
        <v>1.0044</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9">
        <f>IF(B25="容积率修正",E33+SUM(E37:E42),SUM(V2:V16)+SUM(E37:E42))</f>
        <v>6212</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5">
        <f>ROUND(C5*C22*C23*C24*C25*C28,0)</f>
        <v>796</v>
      </c>
      <c r="D33" s="2096">
        <f>'数据-基础表'!B3</f>
        <v>78042.850000000006</v>
      </c>
      <c r="E33" s="771">
        <f>ROUND(C33*D33/10000,0)</f>
        <v>6212</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7">
        <f>ROUND(IF(E2="工业",C33*M42,IF(B25="楼层修正",SUM(V2:V16)*M41*10000/D34,C33*M41)),0)</f>
        <v>119</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698"/>
      <c r="B37" s="2111" t="s">
        <v>2036</v>
      </c>
      <c r="C37" s="175">
        <f>ROUND(D5*C22*C23*C24*C28*F37,0)</f>
        <v>398</v>
      </c>
      <c r="D37" s="2096"/>
      <c r="E37" s="171">
        <f>ROUND(C37*D37/10000,0)</f>
        <v>0</v>
      </c>
      <c r="F37" s="171">
        <f>SUMIF(修正!A57:A68,G2,修正!B57:B68)</f>
        <v>0.5</v>
      </c>
      <c r="G37" s="171">
        <f>ROUND(IF(E2="工业",C37*$M$42,C37*$M$41),0)</f>
        <v>60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99"/>
      <c r="B38" s="2039" t="s">
        <v>2037</v>
      </c>
      <c r="C38" s="175">
        <f>ROUND(D5*C22*C23*C24*C28*F38,0)</f>
        <v>159</v>
      </c>
      <c r="D38" s="2096"/>
      <c r="E38" s="171">
        <f t="shared" ref="E38:E42" si="4">ROUND(C38*D38/10000,0)</f>
        <v>0</v>
      </c>
      <c r="F38" s="171">
        <f>SUMIF(修正!A57:A68,G2,修正!C57:C68)</f>
        <v>0.2</v>
      </c>
      <c r="G38" s="171">
        <f>ROUND(IF(E2="工业",C38*$M$42,C38*$M$41),0)</f>
        <v>24</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8" thickBot="1">
      <c r="A39" s="3699"/>
      <c r="B39" s="2039" t="s">
        <v>3263</v>
      </c>
      <c r="C39" s="175">
        <f>ROUND(D5*C22*C23*C24*C28*F39,0)</f>
        <v>159</v>
      </c>
      <c r="D39" s="2096"/>
      <c r="E39" s="171">
        <f t="shared" si="4"/>
        <v>0</v>
      </c>
      <c r="F39" s="171">
        <f>SUMIF(修正!A57:A68,G2,修正!D57:D68)</f>
        <v>0.2</v>
      </c>
      <c r="G39" s="171">
        <f>ROUND(IF(E2="工业",C39*$M$42,C39*$M$41),0)</f>
        <v>24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159</v>
      </c>
      <c r="D40" s="2096"/>
      <c r="E40" s="171">
        <f t="shared" si="4"/>
        <v>0</v>
      </c>
      <c r="F40" s="175">
        <f>SUMIF(修正!A57:A68,G2,修正!E57:E68)</f>
        <v>0.2</v>
      </c>
      <c r="G40" s="171">
        <f>ROUND(IF(E2="工业",C40*$M$42,C40*$M$41),0)</f>
        <v>24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7">
        <f>ROUND(D5*C22*C23*C44*C28*F42,0)</f>
        <v>0</v>
      </c>
      <c r="D42" s="2101"/>
      <c r="E42" s="187">
        <f t="shared" si="4"/>
        <v>0</v>
      </c>
      <c r="F42" s="765">
        <f>SUMIF(修正!A57:A68,G2,修正!G57:G68)</f>
        <v>0.1</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9.6"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hidden="1">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hidden="1">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9.6" hidden="1">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hidden="1">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hidden="1">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hidden="1">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hidden="1">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hidden="1">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hidden="1">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hidden="1"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2.8"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2.8"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48"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3.8"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6.4"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6.4"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36"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39.6"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36.6"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4.4">
      <c r="A81" s="2124" t="s">
        <v>2069</v>
      </c>
      <c r="B81" s="2125">
        <f>1+E83</f>
        <v>1.0044</v>
      </c>
      <c r="C81" s="739"/>
      <c r="D81" s="739"/>
      <c r="E81" s="740"/>
      <c r="F81" s="2127"/>
      <c r="G81" s="3"/>
      <c r="H81" s="3"/>
      <c r="I81" s="3"/>
      <c r="J81" s="4"/>
      <c r="K81" s="4"/>
      <c r="L81" s="4"/>
      <c r="M81" s="4"/>
      <c r="N81" s="4"/>
      <c r="Z81" s="1996"/>
      <c r="AA81" s="2051"/>
      <c r="AG81" s="1119"/>
      <c r="AK81" s="2051"/>
    </row>
    <row r="82" spans="1:37" ht="25.2">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9.6">
      <c r="A83" s="2128" t="s">
        <v>2070</v>
      </c>
      <c r="B83" s="2132" t="str">
        <f>估价对象房地状况!G15</f>
        <v>估价对象位于XX开发区，园区建设成熟度XX，产业集聚程度XX</v>
      </c>
      <c r="C83" s="2042" t="s">
        <v>3403</v>
      </c>
      <c r="D83" s="1063">
        <f t="shared" ref="D83:D90" si="22">SUMIF($J$82:$N$82,C83,J83:N83)</f>
        <v>1.9300000000000001E-2</v>
      </c>
      <c r="E83" s="742">
        <f>ROUND(SUM(D83:D90),4)</f>
        <v>4.4000000000000003E-3</v>
      </c>
      <c r="F83" s="1812">
        <f>IF(E2="工业",SUMIF(L1:L12,G2,N1:N12),"——")</f>
        <v>0.14899999999999999</v>
      </c>
      <c r="G83" s="1061">
        <v>1.9300000000000001E-2</v>
      </c>
      <c r="H83" s="1064">
        <f t="shared" ref="H83:H90" si="23">IFERROR(ROUNDDOWN($F$83*I83/2,4),"——")</f>
        <v>1.9300000000000001E-2</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t="s">
        <v>3404</v>
      </c>
      <c r="D84" s="1063">
        <f t="shared" si="22"/>
        <v>-2.23E-2</v>
      </c>
      <c r="E84" s="745"/>
      <c r="F84" s="1812"/>
      <c r="G84" s="1061">
        <v>2.23E-2</v>
      </c>
      <c r="H84" s="1064">
        <f t="shared" si="23"/>
        <v>2.23E-2</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48">
      <c r="A85" s="3367" t="s">
        <v>3274</v>
      </c>
      <c r="B85" s="2132">
        <f>估价对象房地状况!G17</f>
        <v>0</v>
      </c>
      <c r="C85" s="2042" t="s">
        <v>3403</v>
      </c>
      <c r="D85" s="1063">
        <f t="shared" si="22"/>
        <v>7.4000000000000003E-3</v>
      </c>
      <c r="E85" s="745"/>
      <c r="F85" s="1812"/>
      <c r="G85" s="1061">
        <v>7.4000000000000003E-3</v>
      </c>
      <c r="H85" s="1064">
        <f t="shared" si="23"/>
        <v>7.4000000000000003E-3</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3.8">
      <c r="A86" s="2128" t="s">
        <v>2067</v>
      </c>
      <c r="B86" s="2132">
        <f>估价对象房地状况!G22</f>
        <v>0</v>
      </c>
      <c r="C86" s="2042" t="s">
        <v>3405</v>
      </c>
      <c r="D86" s="1063">
        <f t="shared" si="22"/>
        <v>0</v>
      </c>
      <c r="E86" s="745"/>
      <c r="F86" s="1812"/>
      <c r="G86" s="1061">
        <v>3.7000000000000002E-3</v>
      </c>
      <c r="H86" s="1064">
        <f t="shared" si="23"/>
        <v>3.7000000000000002E-3</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6.4">
      <c r="A87" s="2128" t="s">
        <v>2059</v>
      </c>
      <c r="B87" s="1324" t="str">
        <f>估价对象房地状况!G19</f>
        <v>估价对象所在区域公共配套设施齐备情况</v>
      </c>
      <c r="C87" s="2042" t="s">
        <v>3404</v>
      </c>
      <c r="D87" s="1063">
        <f t="shared" si="22"/>
        <v>-4.4000000000000003E-3</v>
      </c>
      <c r="E87" s="745"/>
      <c r="F87" s="1812"/>
      <c r="G87" s="1061">
        <v>4.4000000000000003E-3</v>
      </c>
      <c r="H87" s="1064">
        <f t="shared" si="23"/>
        <v>4.4000000000000003E-3</v>
      </c>
      <c r="I87" s="3365">
        <v>0.06</v>
      </c>
      <c r="J87" s="1062">
        <f t="shared" si="24"/>
        <v>8.8000000000000005E-3</v>
      </c>
      <c r="K87" s="1062">
        <f t="shared" si="25"/>
        <v>4.4000000000000003E-3</v>
      </c>
      <c r="L87" s="1062">
        <v>0</v>
      </c>
      <c r="M87" s="1062">
        <f t="shared" si="26"/>
        <v>-4.4000000000000003E-3</v>
      </c>
      <c r="N87" s="1062">
        <f t="shared" si="26"/>
        <v>-8.8000000000000005E-3</v>
      </c>
    </row>
    <row r="88" spans="1:37" ht="26.4">
      <c r="A88" s="2128" t="s">
        <v>2060</v>
      </c>
      <c r="B88" s="1324" t="str">
        <f>估价对象房地状况!G20</f>
        <v>估价对象所在区域基础设施水平</v>
      </c>
      <c r="C88" s="2042" t="s">
        <v>3405</v>
      </c>
      <c r="D88" s="1063">
        <f t="shared" si="22"/>
        <v>0</v>
      </c>
      <c r="E88" s="745"/>
      <c r="F88" s="1812"/>
      <c r="G88" s="1061">
        <v>8.8999999999999999E-3</v>
      </c>
      <c r="H88" s="1064">
        <f t="shared" si="23"/>
        <v>8.8999999999999999E-3</v>
      </c>
      <c r="I88" s="3365">
        <v>0.12</v>
      </c>
      <c r="J88" s="1062">
        <f t="shared" si="24"/>
        <v>1.78E-2</v>
      </c>
      <c r="K88" s="1062">
        <f t="shared" si="25"/>
        <v>8.8999999999999999E-3</v>
      </c>
      <c r="L88" s="1062">
        <v>0</v>
      </c>
      <c r="M88" s="1062">
        <f t="shared" si="26"/>
        <v>-8.8999999999999999E-3</v>
      </c>
      <c r="N88" s="1062">
        <f t="shared" si="26"/>
        <v>-1.78E-2</v>
      </c>
    </row>
    <row r="89" spans="1:37" ht="36">
      <c r="A89" s="2128" t="s">
        <v>2057</v>
      </c>
      <c r="B89" s="2134" t="s">
        <v>2071</v>
      </c>
      <c r="C89" s="2042" t="s">
        <v>3403</v>
      </c>
      <c r="D89" s="1063">
        <f t="shared" si="22"/>
        <v>4.4000000000000003E-3</v>
      </c>
      <c r="E89" s="745"/>
      <c r="F89" s="1812"/>
      <c r="G89" s="1061">
        <v>4.4000000000000003E-3</v>
      </c>
      <c r="H89" s="1064">
        <f t="shared" si="23"/>
        <v>4.4000000000000003E-3</v>
      </c>
      <c r="I89" s="3365">
        <v>0.06</v>
      </c>
      <c r="J89" s="1062">
        <f t="shared" si="24"/>
        <v>8.8000000000000005E-3</v>
      </c>
      <c r="K89" s="1062">
        <f t="shared" si="25"/>
        <v>4.4000000000000003E-3</v>
      </c>
      <c r="L89" s="1062">
        <v>0</v>
      </c>
      <c r="M89" s="1062">
        <f t="shared" si="26"/>
        <v>-4.4000000000000003E-3</v>
      </c>
      <c r="N89" s="1062">
        <f t="shared" si="26"/>
        <v>-8.8000000000000005E-3</v>
      </c>
    </row>
    <row r="90" spans="1:37" ht="40.200000000000003" thickBot="1">
      <c r="A90" s="2136" t="s">
        <v>2072</v>
      </c>
      <c r="B90" s="2141" t="str">
        <f>估价对象房地状况!G18</f>
        <v>该园区内是否有污染型企业，绿化情况，卫生条件，整体环境状况判断</v>
      </c>
      <c r="C90" s="2042" t="s">
        <v>3405</v>
      </c>
      <c r="D90" s="1063">
        <f t="shared" si="22"/>
        <v>0</v>
      </c>
      <c r="E90" s="746"/>
      <c r="F90" s="1812"/>
      <c r="G90" s="1061">
        <v>3.7000000000000002E-3</v>
      </c>
      <c r="H90" s="1064">
        <f t="shared" si="23"/>
        <v>3.7000000000000002E-3</v>
      </c>
      <c r="I90" s="3366">
        <v>0.05</v>
      </c>
      <c r="J90" s="1062">
        <f t="shared" si="24"/>
        <v>7.4000000000000003E-3</v>
      </c>
      <c r="K90" s="1062">
        <f t="shared" si="25"/>
        <v>3.7000000000000002E-3</v>
      </c>
      <c r="L90" s="1062">
        <v>0</v>
      </c>
      <c r="M90" s="1062">
        <f t="shared" si="26"/>
        <v>-3.7000000000000002E-3</v>
      </c>
      <c r="N90" s="1062">
        <f t="shared" si="26"/>
        <v>-7.4000000000000003E-3</v>
      </c>
    </row>
    <row r="91" spans="1:37" ht="13.8">
      <c r="A91" s="3375" t="s">
        <v>2615</v>
      </c>
      <c r="B91" s="3376">
        <f>1+E93</f>
        <v>1</v>
      </c>
      <c r="C91" s="3369"/>
      <c r="D91" s="3370"/>
      <c r="E91" s="1812"/>
      <c r="F91" s="1812"/>
      <c r="G91" s="3371"/>
      <c r="H91" s="3372"/>
      <c r="I91" s="3373"/>
      <c r="J91" s="3374"/>
      <c r="K91" s="3374"/>
      <c r="L91" s="3374"/>
      <c r="M91" s="3374"/>
      <c r="N91" s="3374"/>
    </row>
    <row r="92" spans="1:37" ht="25.2">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36">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6.4">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6.4">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96" t="s">
        <v>3298</v>
      </c>
      <c r="B103" s="3696"/>
      <c r="C103" s="3696"/>
      <c r="D103" s="3696"/>
      <c r="E103" s="3696"/>
      <c r="F103" s="3696"/>
      <c r="G103" s="3696"/>
      <c r="H103" s="3696"/>
      <c r="I103" s="3696"/>
      <c r="J103" s="3696"/>
      <c r="K103" s="3388"/>
      <c r="L103" s="3388"/>
      <c r="M103" s="3388"/>
      <c r="N103" s="3388"/>
    </row>
    <row r="104" spans="1:14">
      <c r="A104" s="3697" t="s">
        <v>3299</v>
      </c>
      <c r="B104" s="3697" t="s">
        <v>3300</v>
      </c>
      <c r="C104" s="3389" t="s">
        <v>3301</v>
      </c>
      <c r="D104" s="3390"/>
      <c r="E104" s="3390"/>
      <c r="F104" s="3390"/>
      <c r="G104" s="3390"/>
      <c r="H104" s="3390"/>
      <c r="I104" s="3390"/>
      <c r="J104" s="3391"/>
      <c r="K104" s="3392"/>
      <c r="L104" s="3392"/>
      <c r="M104" s="3392"/>
      <c r="N104" s="3392"/>
    </row>
    <row r="105" spans="1:14">
      <c r="A105" s="3697"/>
      <c r="B105" s="3697"/>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683"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4"/>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8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86" t="s">
        <v>3315</v>
      </c>
      <c r="B113" s="3686"/>
      <c r="C113" s="3686"/>
      <c r="D113" s="3686"/>
      <c r="E113" s="3686"/>
      <c r="F113" s="3686"/>
      <c r="G113" s="3686"/>
      <c r="H113" s="3686"/>
      <c r="I113" s="3686"/>
      <c r="J113" s="368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3316</v>
      </c>
      <c r="B116" s="3414">
        <f>G3</f>
        <v>1</v>
      </c>
      <c r="C116" s="3398" t="s">
        <v>3317</v>
      </c>
      <c r="D116" s="3399">
        <f>SUMPRODUCT((A118:A122=F116)*(B117:M117=H116)*B118:M122)</f>
        <v>0.57150000000000001</v>
      </c>
      <c r="E116" s="1998" t="s">
        <v>3318</v>
      </c>
      <c r="F116" s="3400" t="str">
        <f>E2</f>
        <v>工业</v>
      </c>
      <c r="G116" s="1998" t="s">
        <v>3319</v>
      </c>
      <c r="H116" s="3400" t="str">
        <f>G2</f>
        <v>九级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8"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130" customWidth="1"/>
    <col min="2" max="2" width="9.21875" style="24" customWidth="1"/>
    <col min="3" max="3" width="6.77734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05" t="s">
        <v>2084</v>
      </c>
      <c r="D1" s="3706"/>
      <c r="E1" s="3706"/>
      <c r="F1" s="3706"/>
      <c r="G1" s="3706"/>
      <c r="H1" s="3706"/>
      <c r="I1" s="3706"/>
      <c r="J1" s="3706"/>
      <c r="K1" s="3706"/>
      <c r="L1" s="3706"/>
      <c r="M1" s="3706"/>
      <c r="N1" s="3706"/>
      <c r="O1" s="3706"/>
      <c r="P1" s="3706"/>
      <c r="Q1" s="3706"/>
      <c r="R1" s="3706"/>
      <c r="S1" s="3707"/>
      <c r="T1" s="981" t="s">
        <v>2085</v>
      </c>
    </row>
    <row r="2" spans="1:45" s="655" customFormat="1" ht="39.6">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8"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2" thickBot="1">
      <c r="A20" s="660" t="s">
        <v>2096</v>
      </c>
      <c r="B20" s="294">
        <f>IF(D20="——",S22,S22-F20)</f>
        <v>74183</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6">
      <c r="A21" s="660" t="s">
        <v>2098</v>
      </c>
      <c r="B21" s="294">
        <f>ROUND(B20*10000/B22,0)</f>
        <v>9505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78042.849999999977</v>
      </c>
      <c r="C22" s="3702" t="s">
        <v>27</v>
      </c>
      <c r="D22" s="3703"/>
      <c r="E22" s="3703"/>
      <c r="F22" s="3703"/>
      <c r="G22" s="3703"/>
      <c r="H22" s="3703"/>
      <c r="I22" s="3703"/>
      <c r="J22" s="3703"/>
      <c r="K22" s="3703"/>
      <c r="L22" s="3703"/>
      <c r="M22" s="3703"/>
      <c r="N22" s="3703"/>
      <c r="O22" s="3703"/>
      <c r="P22" s="3703"/>
      <c r="Q22" s="3704"/>
      <c r="R22" s="661">
        <f>ROUND(S22*10000/B22,0)</f>
        <v>9505</v>
      </c>
      <c r="S22" s="21">
        <f>SUM(S24:S10000)</f>
        <v>74183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Sheet1!C3</f>
        <v>1</v>
      </c>
      <c r="B24" s="663">
        <f>Sheet1!F3</f>
        <v>1653.49</v>
      </c>
      <c r="C24" s="2808">
        <v>1</v>
      </c>
      <c r="D24" s="2809"/>
      <c r="E24" s="2808">
        <v>1</v>
      </c>
      <c r="F24" s="2809"/>
      <c r="G24" s="2808">
        <v>1</v>
      </c>
      <c r="H24" s="2809"/>
      <c r="I24" s="2808">
        <v>1</v>
      </c>
      <c r="J24" s="2809"/>
      <c r="K24" s="2808">
        <v>1</v>
      </c>
      <c r="L24" s="2809"/>
      <c r="M24" s="2808">
        <v>1</v>
      </c>
      <c r="N24" s="2809"/>
      <c r="O24" s="2808">
        <v>1</v>
      </c>
      <c r="P24" s="2809"/>
      <c r="Q24" s="2808">
        <v>1</v>
      </c>
      <c r="R24" s="666">
        <f>'比较法-工业'!C42</f>
        <v>9772</v>
      </c>
      <c r="S24" s="664">
        <f t="shared" ref="S24:S54" si="12">ROUND(R24*B24/10000,0)</f>
        <v>1616</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f>Sheet1!C4</f>
        <v>2</v>
      </c>
      <c r="B25" s="54">
        <f>Sheet1!F4</f>
        <v>2044.96</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9577</v>
      </c>
      <c r="S25" s="316">
        <f t="shared" si="12"/>
        <v>1958</v>
      </c>
    </row>
    <row r="26" spans="1:45">
      <c r="A26" s="54">
        <f>Sheet1!C5</f>
        <v>3</v>
      </c>
      <c r="B26" s="54">
        <f>Sheet1!F5</f>
        <v>2044.96</v>
      </c>
      <c r="C26" s="21">
        <f t="shared" ref="C26:C89" si="13">IF(B26="",1,(LOOKUP(B26,$3:$3,$4:$4)-LOOKUP($B$24,$3:$3,$4:$4)+100)/100)</f>
        <v>0.98</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9577</v>
      </c>
      <c r="S26" s="316">
        <f t="shared" si="12"/>
        <v>1958</v>
      </c>
    </row>
    <row r="27" spans="1:45">
      <c r="A27" s="54">
        <f>Sheet1!C6</f>
        <v>4</v>
      </c>
      <c r="B27" s="54">
        <f>Sheet1!F6</f>
        <v>1653.49</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9772</v>
      </c>
      <c r="S27" s="316">
        <f t="shared" si="12"/>
        <v>1616</v>
      </c>
    </row>
    <row r="28" spans="1:45">
      <c r="A28" s="54">
        <f>Sheet1!C7</f>
        <v>5</v>
      </c>
      <c r="B28" s="54">
        <f>Sheet1!F7</f>
        <v>1629.97</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9772</v>
      </c>
      <c r="S28" s="316">
        <f t="shared" si="12"/>
        <v>1593</v>
      </c>
    </row>
    <row r="29" spans="1:45">
      <c r="A29" s="54">
        <f>Sheet1!C8</f>
        <v>6</v>
      </c>
      <c r="B29" s="54">
        <f>Sheet1!F8</f>
        <v>1629.97</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9772</v>
      </c>
      <c r="S29" s="316">
        <f t="shared" si="12"/>
        <v>1593</v>
      </c>
    </row>
    <row r="30" spans="1:45">
      <c r="A30" s="54">
        <f>Sheet1!C9</f>
        <v>7</v>
      </c>
      <c r="B30" s="54">
        <f>Sheet1!F9</f>
        <v>2219.6</v>
      </c>
      <c r="C30" s="21">
        <f t="shared" si="13"/>
        <v>0.98</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9577</v>
      </c>
      <c r="S30" s="316">
        <f t="shared" si="12"/>
        <v>2126</v>
      </c>
    </row>
    <row r="31" spans="1:45">
      <c r="A31" s="54">
        <f>Sheet1!C10</f>
        <v>8</v>
      </c>
      <c r="B31" s="54">
        <f>Sheet1!F10</f>
        <v>2219.6</v>
      </c>
      <c r="C31" s="21">
        <f t="shared" si="13"/>
        <v>0.98</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9577</v>
      </c>
      <c r="S31" s="316">
        <f t="shared" si="12"/>
        <v>2126</v>
      </c>
    </row>
    <row r="32" spans="1:45">
      <c r="A32" s="54">
        <f>Sheet1!C11</f>
        <v>9</v>
      </c>
      <c r="B32" s="54">
        <f>Sheet1!F11</f>
        <v>1626.63</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9772</v>
      </c>
      <c r="S32" s="316">
        <f t="shared" si="12"/>
        <v>1590</v>
      </c>
    </row>
    <row r="33" spans="1:19">
      <c r="A33" s="54">
        <f>Sheet1!C12</f>
        <v>10</v>
      </c>
      <c r="B33" s="54">
        <f>Sheet1!F12</f>
        <v>1630.43</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9772</v>
      </c>
      <c r="S33" s="316">
        <f t="shared" si="12"/>
        <v>1593</v>
      </c>
    </row>
    <row r="34" spans="1:19">
      <c r="A34" s="54">
        <f>Sheet1!C13</f>
        <v>11</v>
      </c>
      <c r="B34" s="54">
        <f>Sheet1!F13</f>
        <v>1626.63</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9772</v>
      </c>
      <c r="S34" s="316">
        <f t="shared" si="12"/>
        <v>1590</v>
      </c>
    </row>
    <row r="35" spans="1:19">
      <c r="A35" s="54">
        <f>Sheet1!C14</f>
        <v>12</v>
      </c>
      <c r="B35" s="54">
        <f>Sheet1!F14</f>
        <v>1626.63</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9772</v>
      </c>
      <c r="S35" s="316">
        <f t="shared" si="12"/>
        <v>1590</v>
      </c>
    </row>
    <row r="36" spans="1:19">
      <c r="A36" s="54">
        <f>Sheet1!C15</f>
        <v>13</v>
      </c>
      <c r="B36" s="54">
        <f>Sheet1!F15</f>
        <v>2219.6</v>
      </c>
      <c r="C36" s="21">
        <f t="shared" si="13"/>
        <v>0.98</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9577</v>
      </c>
      <c r="S36" s="316">
        <f t="shared" si="12"/>
        <v>2126</v>
      </c>
    </row>
    <row r="37" spans="1:19">
      <c r="A37" s="54">
        <f>Sheet1!C16</f>
        <v>14</v>
      </c>
      <c r="B37" s="54">
        <f>Sheet1!F16</f>
        <v>2219.6</v>
      </c>
      <c r="C37" s="21">
        <f t="shared" si="13"/>
        <v>0.98</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9577</v>
      </c>
      <c r="S37" s="316">
        <f t="shared" si="12"/>
        <v>2126</v>
      </c>
    </row>
    <row r="38" spans="1:19">
      <c r="A38" s="54">
        <f>Sheet1!C17</f>
        <v>15</v>
      </c>
      <c r="B38" s="54">
        <f>Sheet1!F17</f>
        <v>1629.97</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9772</v>
      </c>
      <c r="S38" s="316">
        <f t="shared" si="12"/>
        <v>1593</v>
      </c>
    </row>
    <row r="39" spans="1:19">
      <c r="A39" s="54">
        <f>Sheet1!C18</f>
        <v>16</v>
      </c>
      <c r="B39" s="54">
        <f>Sheet1!F18</f>
        <v>1629.97</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9772</v>
      </c>
      <c r="S39" s="316">
        <f t="shared" si="12"/>
        <v>1593</v>
      </c>
    </row>
    <row r="40" spans="1:19">
      <c r="A40" s="54">
        <f>Sheet1!C19</f>
        <v>17</v>
      </c>
      <c r="B40" s="54">
        <f>Sheet1!F19</f>
        <v>1629.97</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9772</v>
      </c>
      <c r="S40" s="316">
        <f t="shared" si="12"/>
        <v>1593</v>
      </c>
    </row>
    <row r="41" spans="1:19">
      <c r="A41" s="54">
        <f>Sheet1!C20</f>
        <v>18</v>
      </c>
      <c r="B41" s="54">
        <f>Sheet1!F20</f>
        <v>1629.97</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9772</v>
      </c>
      <c r="S41" s="316">
        <f t="shared" si="12"/>
        <v>1593</v>
      </c>
    </row>
    <row r="42" spans="1:19">
      <c r="A42" s="54">
        <f>Sheet1!C21</f>
        <v>19</v>
      </c>
      <c r="B42" s="54">
        <f>Sheet1!F21</f>
        <v>2812</v>
      </c>
      <c r="C42" s="21">
        <f t="shared" si="13"/>
        <v>0.96</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9381</v>
      </c>
      <c r="S42" s="316">
        <f t="shared" si="12"/>
        <v>2638</v>
      </c>
    </row>
    <row r="43" spans="1:19">
      <c r="A43" s="54">
        <f>Sheet1!C22</f>
        <v>20</v>
      </c>
      <c r="B43" s="54">
        <f>Sheet1!F22</f>
        <v>2736.94</v>
      </c>
      <c r="C43" s="21">
        <f t="shared" si="13"/>
        <v>0.96</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9381</v>
      </c>
      <c r="S43" s="316">
        <f t="shared" si="12"/>
        <v>2568</v>
      </c>
    </row>
    <row r="44" spans="1:19">
      <c r="A44" s="54">
        <f>Sheet1!C23</f>
        <v>21</v>
      </c>
      <c r="B44" s="54">
        <f>Sheet1!F23</f>
        <v>1626.63</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9772</v>
      </c>
      <c r="S44" s="316">
        <f t="shared" si="12"/>
        <v>1590</v>
      </c>
    </row>
    <row r="45" spans="1:19">
      <c r="A45" s="54">
        <f>Sheet1!C24</f>
        <v>22</v>
      </c>
      <c r="B45" s="54">
        <f>Sheet1!F24</f>
        <v>1630.43</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9772</v>
      </c>
      <c r="S45" s="316">
        <f t="shared" si="12"/>
        <v>1593</v>
      </c>
    </row>
    <row r="46" spans="1:19">
      <c r="A46" s="54">
        <f>Sheet1!C25</f>
        <v>23</v>
      </c>
      <c r="B46" s="54">
        <f>Sheet1!F25</f>
        <v>3276.07</v>
      </c>
      <c r="C46" s="21">
        <f t="shared" si="13"/>
        <v>0.94</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9186</v>
      </c>
      <c r="S46" s="316">
        <f t="shared" si="12"/>
        <v>3009</v>
      </c>
    </row>
    <row r="47" spans="1:19">
      <c r="A47" s="54">
        <f>Sheet1!C26</f>
        <v>24</v>
      </c>
      <c r="B47" s="54">
        <f>Sheet1!F26</f>
        <v>2224.09</v>
      </c>
      <c r="C47" s="21">
        <f t="shared" si="13"/>
        <v>0.98</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9577</v>
      </c>
      <c r="S47" s="316">
        <f t="shared" si="12"/>
        <v>2130</v>
      </c>
    </row>
    <row r="48" spans="1:19">
      <c r="A48" s="54">
        <f>Sheet1!C27</f>
        <v>25</v>
      </c>
      <c r="B48" s="54">
        <f>Sheet1!F27</f>
        <v>2224.09</v>
      </c>
      <c r="C48" s="21">
        <f t="shared" si="13"/>
        <v>0.98</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9577</v>
      </c>
      <c r="S48" s="316">
        <f t="shared" si="12"/>
        <v>2130</v>
      </c>
    </row>
    <row r="49" spans="1:19">
      <c r="A49" s="54">
        <f>Sheet1!C28</f>
        <v>26</v>
      </c>
      <c r="B49" s="54">
        <f>Sheet1!F28</f>
        <v>3276.07</v>
      </c>
      <c r="C49" s="21">
        <f t="shared" si="13"/>
        <v>0.94</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9186</v>
      </c>
      <c r="S49" s="316">
        <f t="shared" si="12"/>
        <v>3009</v>
      </c>
    </row>
    <row r="50" spans="1:19">
      <c r="A50" s="54">
        <f>Sheet1!C29</f>
        <v>27</v>
      </c>
      <c r="B50" s="54">
        <f>Sheet1!F29</f>
        <v>3276.07</v>
      </c>
      <c r="C50" s="21">
        <f t="shared" si="13"/>
        <v>0.94</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9186</v>
      </c>
      <c r="S50" s="316">
        <f t="shared" si="12"/>
        <v>3009</v>
      </c>
    </row>
    <row r="51" spans="1:19">
      <c r="A51" s="54">
        <f>Sheet1!C30</f>
        <v>28</v>
      </c>
      <c r="B51" s="54">
        <f>Sheet1!F30</f>
        <v>2224.09</v>
      </c>
      <c r="C51" s="21">
        <f t="shared" si="13"/>
        <v>0.98</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9577</v>
      </c>
      <c r="S51" s="316">
        <f t="shared" si="12"/>
        <v>2130</v>
      </c>
    </row>
    <row r="52" spans="1:19">
      <c r="A52" s="54">
        <f>Sheet1!C31</f>
        <v>29</v>
      </c>
      <c r="B52" s="54">
        <f>Sheet1!F31</f>
        <v>2224.09</v>
      </c>
      <c r="C52" s="21">
        <f t="shared" si="13"/>
        <v>0.98</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9577</v>
      </c>
      <c r="S52" s="316">
        <f t="shared" si="12"/>
        <v>2130</v>
      </c>
    </row>
    <row r="53" spans="1:19">
      <c r="A53" s="54">
        <f>Sheet1!C32</f>
        <v>30</v>
      </c>
      <c r="B53" s="54">
        <f>Sheet1!F32</f>
        <v>3276.07</v>
      </c>
      <c r="C53" s="21">
        <f t="shared" si="13"/>
        <v>0.94</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9186</v>
      </c>
      <c r="S53" s="316">
        <f t="shared" si="12"/>
        <v>3009</v>
      </c>
    </row>
    <row r="54" spans="1:19">
      <c r="A54" s="54">
        <f>Sheet1!C33</f>
        <v>31</v>
      </c>
      <c r="B54" s="54">
        <f>Sheet1!F33</f>
        <v>3276.07</v>
      </c>
      <c r="C54" s="21">
        <f t="shared" si="13"/>
        <v>0.94</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9186</v>
      </c>
      <c r="S54" s="316">
        <f t="shared" si="12"/>
        <v>3009</v>
      </c>
    </row>
    <row r="55" spans="1:19">
      <c r="A55" s="54">
        <f>Sheet1!C34</f>
        <v>32</v>
      </c>
      <c r="B55" s="54">
        <f>Sheet1!F34</f>
        <v>3271.37</v>
      </c>
      <c r="C55" s="21">
        <f t="shared" si="13"/>
        <v>0.94</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9186</v>
      </c>
      <c r="S55" s="316">
        <f t="shared" ref="S55:S77" si="22">ROUND(R55*B55/10000,0)</f>
        <v>3005</v>
      </c>
    </row>
    <row r="56" spans="1:19">
      <c r="A56" s="54">
        <f>Sheet1!C35</f>
        <v>33</v>
      </c>
      <c r="B56" s="54">
        <f>Sheet1!F35</f>
        <v>3271.37</v>
      </c>
      <c r="C56" s="21">
        <f t="shared" si="13"/>
        <v>0.94</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9186</v>
      </c>
      <c r="S56" s="316">
        <f t="shared" si="22"/>
        <v>3005</v>
      </c>
    </row>
    <row r="57" spans="1:19">
      <c r="A57" s="54">
        <f>Sheet1!C36</f>
        <v>34</v>
      </c>
      <c r="B57" s="54">
        <f>Sheet1!F36</f>
        <v>2425.98</v>
      </c>
      <c r="C57" s="21">
        <f t="shared" si="13"/>
        <v>0.98</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9577</v>
      </c>
      <c r="S57" s="316">
        <f t="shared" si="22"/>
        <v>2323</v>
      </c>
    </row>
    <row r="58" spans="1:19">
      <c r="A58" s="54">
        <f>Sheet1!C37</f>
        <v>35</v>
      </c>
      <c r="B58" s="54">
        <f>Sheet1!F37</f>
        <v>2425.98</v>
      </c>
      <c r="C58" s="21">
        <f t="shared" si="13"/>
        <v>0.98</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9577</v>
      </c>
      <c r="S58" s="316">
        <f t="shared" si="22"/>
        <v>2323</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K34" sqref="K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t="s">
        <v>3385</v>
      </c>
      <c r="D1" s="1360" t="s">
        <v>43</v>
      </c>
      <c r="E1" s="1361" t="s">
        <v>678</v>
      </c>
      <c r="F1" s="1060">
        <f ca="1">J53</f>
        <v>38.94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54103</v>
      </c>
      <c r="C2" s="1385" t="s">
        <v>805</v>
      </c>
      <c r="D2" s="1385"/>
      <c r="E2" s="1386"/>
      <c r="F2" s="1387"/>
      <c r="G2" s="2704"/>
      <c r="H2" s="2693"/>
      <c r="I2" s="2693"/>
      <c r="J2" s="2693"/>
      <c r="K2" s="2694"/>
      <c r="L2" s="2693"/>
      <c r="M2" s="2693"/>
    </row>
    <row r="3" spans="1:37" ht="18" customHeight="1" thickBot="1">
      <c r="A3" s="1388" t="s">
        <v>806</v>
      </c>
      <c r="B3" s="1389">
        <f ca="1">IF(ISERROR(B2*10000/F43),0,ROUND(B2*10000/F43,0))</f>
        <v>6932</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3515</v>
      </c>
      <c r="D5" s="1362" t="s">
        <v>693</v>
      </c>
      <c r="E5" s="1069"/>
      <c r="F5" s="1070"/>
      <c r="G5" s="1382"/>
      <c r="H5" s="299">
        <v>1</v>
      </c>
      <c r="I5" s="300" t="s">
        <v>692</v>
      </c>
      <c r="J5" s="1068">
        <f ca="1">J6+J10+J12</f>
        <v>0</v>
      </c>
      <c r="K5" s="1362" t="s">
        <v>693</v>
      </c>
      <c r="L5" s="1069"/>
      <c r="M5" s="1070"/>
    </row>
    <row r="6" spans="1:37" ht="18" customHeight="1">
      <c r="A6" s="1067" t="s">
        <v>398</v>
      </c>
      <c r="B6" s="3710" t="s">
        <v>694</v>
      </c>
      <c r="C6" s="1072">
        <f ca="1">ROUND(F6*F8*F7*(1-F9)/10000,0)</f>
        <v>3511</v>
      </c>
      <c r="D6" s="155" t="s">
        <v>2108</v>
      </c>
      <c r="E6" s="302" t="s">
        <v>696</v>
      </c>
      <c r="F6" s="303">
        <f ca="1">INDIRECT("'数据-取费表'!u"&amp;$G$1)</f>
        <v>1.45</v>
      </c>
      <c r="G6" s="1382"/>
      <c r="H6" s="1067" t="s">
        <v>398</v>
      </c>
      <c r="I6" s="3710" t="s">
        <v>694</v>
      </c>
      <c r="J6" s="301">
        <f ca="1">ROUND(M6*M8*M7*(1-M9)/10000,0)</f>
        <v>0</v>
      </c>
      <c r="K6" s="155" t="s">
        <v>2107</v>
      </c>
      <c r="L6" s="302" t="s">
        <v>696</v>
      </c>
      <c r="M6" s="303">
        <f ca="1">INDIRECT("'数据-取费表'!z"&amp;$G$1)</f>
        <v>0</v>
      </c>
    </row>
    <row r="7" spans="1:37" ht="18" customHeight="1">
      <c r="A7" s="1071"/>
      <c r="B7" s="3711"/>
      <c r="C7" s="1073"/>
      <c r="D7" s="307"/>
      <c r="E7" s="1074" t="s">
        <v>697</v>
      </c>
      <c r="F7" s="303">
        <f ca="1">IF(INDIRECT("'数据-取费表'!ah"&amp;$G$1)="",INDIRECT("'数据-取费表'!k"&amp;$G$1),INDIRECT("'数据-取费表'!ah"&amp;$G$1))</f>
        <v>78042.850000000006</v>
      </c>
      <c r="G7" s="1382"/>
      <c r="H7" s="304"/>
      <c r="I7" s="3711"/>
      <c r="J7" s="306"/>
      <c r="K7" s="307"/>
      <c r="L7" s="302" t="s">
        <v>697</v>
      </c>
      <c r="M7" s="303">
        <f ca="1">F7</f>
        <v>78042.850000000006</v>
      </c>
    </row>
    <row r="8" spans="1:37" ht="18" customHeight="1">
      <c r="A8" s="304"/>
      <c r="B8" s="3711"/>
      <c r="C8" s="306"/>
      <c r="D8" s="307"/>
      <c r="E8" s="302" t="s">
        <v>698</v>
      </c>
      <c r="F8" s="303">
        <f ca="1">INDIRECT("'数据-取费表'!ai"&amp;$G$1)</f>
        <v>365</v>
      </c>
      <c r="G8" s="1382"/>
      <c r="H8" s="304"/>
      <c r="I8" s="3711"/>
      <c r="J8" s="306"/>
      <c r="K8" s="307"/>
      <c r="L8" s="302" t="s">
        <v>698</v>
      </c>
      <c r="M8" s="303">
        <f ca="1">INDIRECT("'数据-取费表'!ai"&amp;$G$1)</f>
        <v>365</v>
      </c>
    </row>
    <row r="9" spans="1:37" ht="18" customHeight="1">
      <c r="A9" s="304"/>
      <c r="B9" s="3712"/>
      <c r="C9" s="306"/>
      <c r="D9" s="307"/>
      <c r="E9" s="302" t="s">
        <v>699</v>
      </c>
      <c r="F9" s="312">
        <f ca="1">INDIRECT("'数据-取费表'!w"&amp;$G$1)</f>
        <v>0.15</v>
      </c>
      <c r="G9" s="1382"/>
      <c r="H9" s="304"/>
      <c r="I9" s="3712"/>
      <c r="J9" s="306"/>
      <c r="K9" s="307"/>
      <c r="L9" s="313" t="s">
        <v>699</v>
      </c>
      <c r="M9" s="314">
        <f ca="1">INDIRECT("'数据-取费表'!ab"&amp;$G$1)</f>
        <v>0</v>
      </c>
    </row>
    <row r="10" spans="1:37" ht="18" customHeight="1">
      <c r="A10" s="1067" t="s">
        <v>402</v>
      </c>
      <c r="B10" s="1363" t="s">
        <v>700</v>
      </c>
      <c r="C10" s="316">
        <f ca="1">ROUND(IF(F10="押一",C6/12*F11,IF(F10="押二",C6/12*2*F11,IF(F10="押三",C6/12*3*F11,C11*F11))),0)</f>
        <v>4</v>
      </c>
      <c r="D10" s="1364" t="s">
        <v>2116</v>
      </c>
      <c r="E10" s="313" t="s">
        <v>701</v>
      </c>
      <c r="F10" s="1114" t="s">
        <v>3391</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37117</v>
      </c>
      <c r="D13" s="1079" t="s">
        <v>705</v>
      </c>
      <c r="E13" s="1079" t="s">
        <v>706</v>
      </c>
      <c r="F13" s="1080">
        <f ca="1">INDIRECT("'数据-取费表'!y"&amp;$G$1)</f>
        <v>0.95</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27315</v>
      </c>
      <c r="D14" s="1343" t="s">
        <v>708</v>
      </c>
      <c r="E14" s="1340"/>
      <c r="F14" s="319"/>
      <c r="G14" s="1382"/>
      <c r="H14" s="980" t="s">
        <v>398</v>
      </c>
      <c r="I14" s="302" t="s">
        <v>709</v>
      </c>
      <c r="J14" s="21">
        <f ca="1">C29</f>
        <v>39070</v>
      </c>
      <c r="K14" s="12"/>
      <c r="L14" s="805"/>
      <c r="M14" s="806"/>
    </row>
    <row r="15" spans="1:37" s="1395" customFormat="1" ht="18" customHeight="1" thickBot="1">
      <c r="A15" s="980" t="s">
        <v>399</v>
      </c>
      <c r="B15" s="302" t="s">
        <v>710</v>
      </c>
      <c r="C15" s="21">
        <f ca="1">ROUND(C14*F15,0)</f>
        <v>819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313</v>
      </c>
      <c r="K16" s="1085" t="s">
        <v>715</v>
      </c>
      <c r="L16" s="1086"/>
      <c r="M16" s="1070"/>
    </row>
    <row r="17" spans="1:37" s="1395" customFormat="1" ht="18" customHeight="1">
      <c r="A17" s="980" t="s">
        <v>681</v>
      </c>
      <c r="B17" s="302" t="s">
        <v>716</v>
      </c>
      <c r="C17" s="21">
        <f ca="1">ROUND(F17*(F43+INDIRECT("'数据-取费表'!S"&amp;$G$1))/10000,0)</f>
        <v>1561</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410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30105</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602</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312.56</v>
      </c>
      <c r="K22" s="1342" t="s">
        <v>739</v>
      </c>
      <c r="L22" s="302" t="s">
        <v>712</v>
      </c>
      <c r="M22" s="328">
        <f ca="1">INDIRECT("'数据-取费表'!Ak"&amp;$G$1)</f>
        <v>8.0000000000000002E-3</v>
      </c>
    </row>
    <row r="23" spans="1:37" s="1395" customFormat="1" ht="18" customHeight="1">
      <c r="A23" s="980" t="s">
        <v>397</v>
      </c>
      <c r="B23" s="302" t="s">
        <v>740</v>
      </c>
      <c r="C23" s="21">
        <f ca="1">IF('数据-取费表'!B22&lt;=1,ROUND(C19*F24*F23/2,0)+ROUND(C20*F24*F23/2,0),ROUND(C19*(POWER((1+F24),F23/2)-1),0)+ROUND(C20*(POWER((1+F24),F23/2)-1),0))</f>
        <v>792</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-313</v>
      </c>
      <c r="K25" s="1093" t="s">
        <v>753</v>
      </c>
      <c r="L25" s="1094"/>
      <c r="M25" s="1095"/>
    </row>
    <row r="26" spans="1:37">
      <c r="A26" s="980" t="s">
        <v>397</v>
      </c>
      <c r="B26" s="302" t="s">
        <v>754</v>
      </c>
      <c r="C26" s="21">
        <f ca="1">ROUND((C19+C20)*F26,0)</f>
        <v>4606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39070</v>
      </c>
      <c r="D29" s="1090"/>
      <c r="E29" s="1088"/>
      <c r="F29" s="1091"/>
      <c r="G29" s="1394"/>
      <c r="H29" s="334" t="s">
        <v>396</v>
      </c>
      <c r="I29" s="335" t="s">
        <v>768</v>
      </c>
      <c r="J29" s="336">
        <f ca="1">ROUND(J26/(1+F40)^F41,0)</f>
        <v>0</v>
      </c>
      <c r="K29" s="337" t="s">
        <v>769</v>
      </c>
      <c r="L29" s="338"/>
      <c r="M29" s="339">
        <f ca="1">INDIRECT("'数据-取费表'!k"&amp;$G$1)</f>
        <v>78042.850000000006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970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585.16999999999996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183.91</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401.26</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312.56</v>
      </c>
      <c r="D36" s="1342" t="s">
        <v>771</v>
      </c>
      <c r="E36" s="302" t="s">
        <v>712</v>
      </c>
      <c r="F36" s="328">
        <f ca="1">INDIRECT("'数据-取费表'!Ak"&amp;$G$1)</f>
        <v>8.0000000000000002E-3</v>
      </c>
      <c r="G36" s="1382"/>
      <c r="H36" s="2698"/>
      <c r="I36" s="1396"/>
      <c r="J36" s="1397"/>
      <c r="K36" s="2542"/>
      <c r="L36" s="2698"/>
      <c r="M36" s="2698"/>
    </row>
    <row r="37" spans="1:18" ht="18" customHeight="1">
      <c r="A37" s="980" t="s">
        <v>437</v>
      </c>
      <c r="B37" s="302" t="s">
        <v>742</v>
      </c>
      <c r="C37" s="21">
        <f ca="1">ROUND(C13*F37,2)</f>
        <v>37.119999999999997</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35.15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2545</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53168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38.94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6813</v>
      </c>
      <c r="D43" s="337" t="s">
        <v>777</v>
      </c>
      <c r="E43" s="338" t="s">
        <v>778</v>
      </c>
      <c r="F43" s="339">
        <f ca="1">INDIRECT("'数据-取费表'!k"&amp;$G$1)</f>
        <v>78042.850000000006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8" thickBot="1">
      <c r="A46" s="1402" t="s">
        <v>809</v>
      </c>
      <c r="C46" s="1403">
        <f ca="1">C68-C40</f>
        <v>-58740</v>
      </c>
      <c r="D46" s="1404" t="str">
        <f>C2</f>
        <v>万元</v>
      </c>
      <c r="E46" s="1398"/>
      <c r="F46" s="1398"/>
      <c r="I46" s="1405" t="s">
        <v>810</v>
      </c>
      <c r="J46" s="1406"/>
      <c r="K46" s="1407"/>
      <c r="L46" s="1408">
        <f ca="1">IF(M47="住宅",0,IF(L48&gt;J51,L60,J60))</f>
        <v>935</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0"/>
      <c r="I47" s="1412" t="s">
        <v>815</v>
      </c>
      <c r="J47" s="1413" t="s">
        <v>3392</v>
      </c>
      <c r="K47" s="1414" t="s">
        <v>816</v>
      </c>
      <c r="L47" s="1415">
        <f ca="1">INDIRECT("'数据-取费表'!d"&amp;$G$1)</f>
        <v>50</v>
      </c>
      <c r="M47" s="1378" t="str">
        <f>IF(ISNUMBER(FIND("住宅",C1)),"住宅","非住宅")</f>
        <v>非住宅</v>
      </c>
      <c r="O47" s="1416" t="s">
        <v>403</v>
      </c>
      <c r="P47" s="1417" t="s">
        <v>817</v>
      </c>
      <c r="Q47" s="1418">
        <f ca="1">C40+J29</f>
        <v>53168</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t="s">
        <v>3393</v>
      </c>
      <c r="K48" s="1421" t="s">
        <v>820</v>
      </c>
      <c r="L48" s="1422">
        <f ca="1">INDIRECT("'数据-取费表'!f"&amp;$G$1)</f>
        <v>38.94</v>
      </c>
      <c r="O48" s="1416" t="s">
        <v>404</v>
      </c>
      <c r="P48" s="1417" t="s">
        <v>821</v>
      </c>
      <c r="Q48" s="1418">
        <f ca="1">J60</f>
        <v>935</v>
      </c>
      <c r="R48" s="1418" t="s">
        <v>822</v>
      </c>
    </row>
    <row r="49" spans="1:18" s="1382" customFormat="1" ht="13.8"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39070</v>
      </c>
      <c r="R49" s="1418" t="s">
        <v>818</v>
      </c>
    </row>
    <row r="50" spans="1:18" s="1382" customFormat="1" ht="13.8" thickBot="1">
      <c r="A50" s="974"/>
      <c r="B50" s="977"/>
      <c r="C50" s="1116"/>
      <c r="D50" s="951"/>
      <c r="E50" s="1054" t="s">
        <v>697</v>
      </c>
      <c r="F50" s="1055">
        <f ca="1">F7</f>
        <v>78042.850000000006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8"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-998</v>
      </c>
      <c r="M51" s="1434"/>
      <c r="O51" s="1426" t="s">
        <v>407</v>
      </c>
      <c r="P51" s="1417" t="s">
        <v>831</v>
      </c>
      <c r="Q51" s="1429">
        <f>J52</f>
        <v>7.4999999999999997E-2</v>
      </c>
      <c r="R51" s="1418"/>
    </row>
    <row r="52" spans="1:18" s="1382" customFormat="1" ht="13.8" thickBot="1">
      <c r="A52" s="975"/>
      <c r="B52" s="977"/>
      <c r="C52" s="978"/>
      <c r="D52" s="951"/>
      <c r="E52" s="979" t="s">
        <v>699</v>
      </c>
      <c r="F52" s="1052"/>
      <c r="I52" s="1435" t="s">
        <v>832</v>
      </c>
      <c r="J52" s="1436">
        <v>7.4999999999999997E-2</v>
      </c>
      <c r="K52" s="1435" t="s">
        <v>833</v>
      </c>
      <c r="L52" s="1436"/>
      <c r="O52" s="1426" t="s">
        <v>408</v>
      </c>
      <c r="P52" s="1417" t="s">
        <v>834</v>
      </c>
      <c r="Q52" s="1418">
        <f ca="1">J53</f>
        <v>38.94</v>
      </c>
      <c r="R52" s="1418" t="s">
        <v>835</v>
      </c>
    </row>
    <row r="53" spans="1:18" s="1382" customFormat="1" ht="36.6"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38.94</v>
      </c>
      <c r="K53" s="3708" t="s">
        <v>837</v>
      </c>
      <c r="L53" s="3709"/>
      <c r="O53" s="1416" t="s">
        <v>409</v>
      </c>
      <c r="P53" s="1417" t="s">
        <v>838</v>
      </c>
      <c r="Q53" s="1418">
        <f ca="1">Q47+Q48</f>
        <v>54103</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f ca="1">ROUND(IF(J47="钢混",J57/J50,1-(1-2%)*(J50-J57)/J50),3)</f>
        <v>0.30099999999999999</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37117</v>
      </c>
      <c r="D56" s="1445"/>
      <c r="E56" s="1446"/>
      <c r="F56" s="1438"/>
      <c r="I56" s="1447" t="s">
        <v>842</v>
      </c>
      <c r="J56" s="1448" t="s">
        <v>3394</v>
      </c>
      <c r="K56" s="1419" t="s">
        <v>843</v>
      </c>
      <c r="L56" s="1422" t="str">
        <f ca="1">IF(L48&lt;J51,"——",L48-J53)</f>
        <v>——</v>
      </c>
      <c r="O56" s="1416" t="s">
        <v>403</v>
      </c>
      <c r="P56" s="1417" t="s">
        <v>817</v>
      </c>
      <c r="Q56" s="1418">
        <f ca="1">C40+J29</f>
        <v>53168</v>
      </c>
      <c r="R56" s="1418" t="s">
        <v>818</v>
      </c>
    </row>
    <row r="57" spans="1:18" s="1382" customFormat="1" ht="24.6" thickBot="1">
      <c r="A57" s="1449"/>
      <c r="B57" s="948" t="s">
        <v>767</v>
      </c>
      <c r="C57" s="238">
        <f ca="1">C29</f>
        <v>39070</v>
      </c>
      <c r="D57" s="1450"/>
      <c r="E57" s="1451"/>
      <c r="F57" s="1452"/>
      <c r="I57" s="1453" t="s">
        <v>844</v>
      </c>
      <c r="J57" s="1454">
        <f ca="1">IF(OR(M47="住宅",J51&lt;L48,J56="是"),"——",J51-L48)</f>
        <v>18.060000000000002</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6" t="s">
        <v>714</v>
      </c>
      <c r="C58" s="316">
        <f ca="1">ROUND(C59+C64+C65+C66,0)</f>
        <v>350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15628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935</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53168</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312.56</v>
      </c>
      <c r="D64" s="962" t="s">
        <v>791</v>
      </c>
      <c r="E64" s="948" t="s">
        <v>783</v>
      </c>
      <c r="F64" s="328">
        <f t="shared" ca="1" si="0"/>
        <v>8.0000000000000002E-3</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37.119999999999997</v>
      </c>
      <c r="D65" s="962" t="s">
        <v>743</v>
      </c>
      <c r="E65" s="948" t="s">
        <v>744</v>
      </c>
      <c r="F65" s="330">
        <f t="shared" ca="1" si="0"/>
        <v>1E-3</v>
      </c>
      <c r="I65" s="1460" t="s">
        <v>867</v>
      </c>
      <c r="J65" s="1461">
        <v>40</v>
      </c>
      <c r="K65" s="1461">
        <v>30</v>
      </c>
      <c r="L65" s="1461">
        <v>50</v>
      </c>
      <c r="M65" s="1463">
        <v>0.02</v>
      </c>
      <c r="O65" s="1416" t="s">
        <v>403</v>
      </c>
      <c r="P65" s="1417" t="s">
        <v>868</v>
      </c>
      <c r="Q65" s="1418">
        <f ca="1">C40+J29</f>
        <v>53168</v>
      </c>
      <c r="R65" s="1418" t="s">
        <v>818</v>
      </c>
    </row>
    <row r="66" spans="1:18" s="1382" customFormat="1" ht="16.2"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24.6" thickBot="1">
      <c r="A67" s="955" t="s">
        <v>394</v>
      </c>
      <c r="B67" s="965" t="s">
        <v>752</v>
      </c>
      <c r="C67" s="316">
        <f ca="1">C48-C58</f>
        <v>-350</v>
      </c>
      <c r="D67" s="961" t="s">
        <v>753</v>
      </c>
      <c r="E67" s="966"/>
      <c r="F67" s="967"/>
      <c r="O67" s="1426" t="s">
        <v>405</v>
      </c>
      <c r="P67" s="1417" t="s">
        <v>850</v>
      </c>
      <c r="Q67" s="1464">
        <f ca="1">L51</f>
        <v>-998</v>
      </c>
      <c r="R67" s="1418" t="s">
        <v>870</v>
      </c>
    </row>
    <row r="68" spans="1:18" s="1382" customFormat="1" ht="16.2" thickBot="1">
      <c r="A68" s="945" t="s">
        <v>395</v>
      </c>
      <c r="B68" s="946" t="s">
        <v>774</v>
      </c>
      <c r="C68" s="301">
        <f ca="1">ROUND(C67*(1-((1+F70)/(1+F68))^F69)/(F68-F70),0)</f>
        <v>-5572</v>
      </c>
      <c r="D68" s="963" t="s">
        <v>758</v>
      </c>
      <c r="E68" s="948" t="s">
        <v>759</v>
      </c>
      <c r="F68" s="312">
        <f ca="1">F40</f>
        <v>5.5E-2</v>
      </c>
      <c r="O68" s="1426" t="s">
        <v>406</v>
      </c>
      <c r="P68" s="1465" t="s">
        <v>871</v>
      </c>
      <c r="Q68" s="1418">
        <f ca="1">ROUND(Q69-Q70*Q71,0)</f>
        <v>-53</v>
      </c>
      <c r="R68" s="1418" t="s">
        <v>414</v>
      </c>
    </row>
    <row r="69" spans="1:18" s="1382" customFormat="1" ht="13.8" thickBot="1">
      <c r="A69" s="949"/>
      <c r="B69" s="950"/>
      <c r="C69" s="306"/>
      <c r="D69" s="968" t="s">
        <v>762</v>
      </c>
      <c r="E69" s="948" t="s">
        <v>763</v>
      </c>
      <c r="F69" s="333">
        <f ca="1">F41</f>
        <v>38.94</v>
      </c>
      <c r="O69" s="1426" t="s">
        <v>411</v>
      </c>
      <c r="P69" s="1465" t="s">
        <v>872</v>
      </c>
      <c r="Q69" s="1418">
        <f ca="1">C39</f>
        <v>2545</v>
      </c>
      <c r="R69" s="1418" t="s">
        <v>818</v>
      </c>
    </row>
    <row r="70" spans="1:18" s="1382" customFormat="1" ht="13.8" thickBot="1">
      <c r="A70" s="952"/>
      <c r="B70" s="953"/>
      <c r="C70" s="310"/>
      <c r="D70" s="964"/>
      <c r="E70" s="948" t="s">
        <v>766</v>
      </c>
      <c r="F70" s="1052"/>
      <c r="O70" s="1426" t="s">
        <v>412</v>
      </c>
      <c r="P70" s="1465" t="s">
        <v>873</v>
      </c>
      <c r="Q70" s="1418">
        <f ca="1">C13</f>
        <v>37117</v>
      </c>
      <c r="R70" s="1418" t="s">
        <v>818</v>
      </c>
    </row>
    <row r="71" spans="1:18" s="1382" customFormat="1" ht="13.8" thickBot="1">
      <c r="A71" s="969" t="s">
        <v>396</v>
      </c>
      <c r="B71" s="970" t="s">
        <v>776</v>
      </c>
      <c r="C71" s="336">
        <f ca="1">ROUND(C68*10000/F71,0)</f>
        <v>-714</v>
      </c>
      <c r="D71" s="971" t="s">
        <v>777</v>
      </c>
      <c r="E71" s="972" t="s">
        <v>778</v>
      </c>
      <c r="F71" s="339">
        <f ca="1">F43</f>
        <v>78042.850000000006</v>
      </c>
      <c r="O71" s="1426" t="s">
        <v>413</v>
      </c>
      <c r="P71" s="1465" t="s">
        <v>874</v>
      </c>
      <c r="Q71" s="1429">
        <f ca="1">C76</f>
        <v>7.0000000000000007E-2</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2598</v>
      </c>
      <c r="D75" s="1382"/>
      <c r="E75" s="1382"/>
      <c r="F75" s="1382"/>
      <c r="K75" s="1400"/>
      <c r="L75" s="1382"/>
      <c r="O75" s="1416" t="s">
        <v>409</v>
      </c>
      <c r="P75" s="1417" t="s">
        <v>838</v>
      </c>
      <c r="Q75" s="1418">
        <f ca="1">Q65+Q66</f>
        <v>53168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-2.0999999999999908E-2</v>
      </c>
    </row>
    <row r="80" spans="1:18">
      <c r="B80" s="340" t="s">
        <v>800</v>
      </c>
      <c r="C80" s="274">
        <f ca="1">ROUND(C75/C39,3)</f>
        <v>1.0209999999999999</v>
      </c>
    </row>
    <row r="81" spans="2:3">
      <c r="B81" s="270" t="s">
        <v>801</v>
      </c>
      <c r="C81" s="238"/>
    </row>
    <row r="82" spans="2:3">
      <c r="B82" s="273" t="s">
        <v>802</v>
      </c>
      <c r="C82" s="275">
        <f ca="1">1-C83</f>
        <v>0.30200000000000005</v>
      </c>
    </row>
    <row r="83" spans="2:3">
      <c r="B83" s="273" t="s">
        <v>803</v>
      </c>
      <c r="C83" s="274">
        <f ca="1">ROUND(C13/C40,3)</f>
        <v>0.69799999999999995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710" t="s">
        <v>694</v>
      </c>
      <c r="C6" s="1072">
        <f ca="1">ROUND(F6*F8*F7*(1-F9),0)</f>
        <v>0</v>
      </c>
      <c r="D6" s="155" t="s">
        <v>2105</v>
      </c>
      <c r="E6" s="302" t="s">
        <v>696</v>
      </c>
      <c r="F6" s="303">
        <f ca="1">INDIRECT("'数据-取费表'!u"&amp;$G$1)</f>
        <v>0</v>
      </c>
      <c r="G6" s="1382"/>
      <c r="H6" s="1067" t="s">
        <v>398</v>
      </c>
      <c r="I6" s="3710" t="s">
        <v>694</v>
      </c>
      <c r="J6" s="301">
        <f ca="1">ROUND(M6*M8*M7*(1-M9),0)</f>
        <v>0</v>
      </c>
      <c r="K6" s="1374" t="s">
        <v>2106</v>
      </c>
      <c r="L6" s="302" t="s">
        <v>696</v>
      </c>
      <c r="M6" s="303">
        <f ca="1">INDIRECT("'数据-取费表'!z"&amp;$G$1)</f>
        <v>0</v>
      </c>
    </row>
    <row r="7" spans="1:37" ht="18" customHeight="1">
      <c r="A7" s="1071"/>
      <c r="B7" s="3711"/>
      <c r="C7" s="1073"/>
      <c r="D7" s="307"/>
      <c r="E7" s="1074" t="s">
        <v>697</v>
      </c>
      <c r="F7" s="303">
        <f ca="1">IF(INDIRECT("'数据-取费表'!ah"&amp;$G$1)="",INDIRECT("'数据-取费表'!k"&amp;$G$1),INDIRECT("'数据-取费表'!ah"&amp;$G$1))</f>
        <v>0</v>
      </c>
      <c r="G7" s="1382"/>
      <c r="H7" s="304"/>
      <c r="I7" s="3711"/>
      <c r="J7" s="306"/>
      <c r="K7" s="307"/>
      <c r="L7" s="302" t="s">
        <v>697</v>
      </c>
      <c r="M7" s="303">
        <f ca="1">F7</f>
        <v>0</v>
      </c>
    </row>
    <row r="8" spans="1:37" ht="18" customHeight="1">
      <c r="A8" s="304"/>
      <c r="B8" s="3711"/>
      <c r="C8" s="306"/>
      <c r="D8" s="307"/>
      <c r="E8" s="302" t="s">
        <v>698</v>
      </c>
      <c r="F8" s="303">
        <f ca="1">INDIRECT("'数据-取费表'!ai"&amp;$G$1)</f>
        <v>0</v>
      </c>
      <c r="G8" s="1382"/>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2"/>
      <c r="H9" s="304"/>
      <c r="I9" s="371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t="e">
        <f ca="1">ROUND((C68-C40)/10000,4)</f>
        <v>#DIV/0!</v>
      </c>
      <c r="D45" s="3430" t="s">
        <v>3357</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708" t="s">
        <v>837</v>
      </c>
      <c r="L53" s="3709"/>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24.6"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8" thickBot="1">
      <c r="A69" s="949"/>
      <c r="B69" s="950"/>
      <c r="C69" s="306"/>
      <c r="D69" s="968" t="s">
        <v>762</v>
      </c>
      <c r="E69" s="948" t="s">
        <v>763</v>
      </c>
      <c r="F69" s="333">
        <f ca="1">F41</f>
        <v>0</v>
      </c>
      <c r="O69" s="1426" t="s">
        <v>411</v>
      </c>
      <c r="P69" s="1465" t="s">
        <v>872</v>
      </c>
      <c r="Q69" s="1418">
        <f ca="1">C39</f>
        <v>0</v>
      </c>
      <c r="R69" s="1418" t="s">
        <v>818</v>
      </c>
    </row>
    <row r="70" spans="1:18" s="1382" customFormat="1" ht="13.8" thickBot="1">
      <c r="A70" s="952"/>
      <c r="B70" s="953"/>
      <c r="C70" s="310"/>
      <c r="D70" s="964"/>
      <c r="E70" s="948" t="s">
        <v>766</v>
      </c>
      <c r="F70" s="1052"/>
      <c r="O70" s="1426" t="s">
        <v>412</v>
      </c>
      <c r="P70" s="1465" t="s">
        <v>873</v>
      </c>
      <c r="Q70" s="1418">
        <f ca="1">C13</f>
        <v>0</v>
      </c>
      <c r="R70" s="1418" t="s">
        <v>818</v>
      </c>
    </row>
    <row r="71" spans="1:18" s="1382" customFormat="1" ht="13.8"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8" thickBot="1">
      <c r="B72" s="724"/>
      <c r="C72" s="724"/>
      <c r="O72" s="1426" t="s">
        <v>407</v>
      </c>
      <c r="P72" s="1417" t="s">
        <v>852</v>
      </c>
      <c r="Q72" s="1429">
        <f>L52</f>
        <v>0</v>
      </c>
      <c r="R72" s="1418"/>
    </row>
    <row r="73" spans="1:18" ht="16.2" thickBot="1">
      <c r="A73" s="1382"/>
      <c r="B73" s="724"/>
      <c r="C73" s="724"/>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2" customHeight="1">
      <c r="A2" s="1383" t="s">
        <v>2318</v>
      </c>
      <c r="B2" s="2841" t="e">
        <f>IF(D2="——",C40,C40+E2)</f>
        <v>#DIV/0!</v>
      </c>
      <c r="C2" s="2842" t="s">
        <v>2319</v>
      </c>
      <c r="D2" s="3441" t="s">
        <v>3363</v>
      </c>
      <c r="E2" s="3442"/>
      <c r="F2" s="2844"/>
      <c r="G2" s="2845"/>
      <c r="H2" s="2846"/>
      <c r="I2" s="2847"/>
      <c r="J2" s="3719" t="s">
        <v>2320</v>
      </c>
      <c r="K2" s="3720"/>
      <c r="L2" s="2848" t="s">
        <v>2321</v>
      </c>
      <c r="M2" s="2848" t="s">
        <v>2322</v>
      </c>
      <c r="N2" s="2848" t="s">
        <v>2323</v>
      </c>
      <c r="O2" s="2848" t="s">
        <v>2324</v>
      </c>
      <c r="P2" s="2848" t="s">
        <v>2325</v>
      </c>
      <c r="Q2" s="2849" t="s">
        <v>2326</v>
      </c>
      <c r="R2" s="2850" t="s">
        <v>2327</v>
      </c>
      <c r="S2" s="2839"/>
      <c r="T2" s="2839"/>
      <c r="U2" s="2839"/>
      <c r="V2" s="2847"/>
    </row>
    <row r="3" spans="1:22" s="2851" customFormat="1" ht="13.2" customHeight="1">
      <c r="A3" s="2852" t="s">
        <v>2328</v>
      </c>
      <c r="B3" s="2853" t="e">
        <f>ROUND(B2*10000/B4,0)</f>
        <v>#DIV/0!</v>
      </c>
      <c r="C3" s="2842" t="s">
        <v>2329</v>
      </c>
      <c r="D3" s="2842"/>
      <c r="E3" s="2843"/>
      <c r="F3" s="2844"/>
      <c r="G3" s="2845"/>
      <c r="H3" s="2846"/>
      <c r="I3" s="2847"/>
      <c r="J3" s="3721" t="s">
        <v>2330</v>
      </c>
      <c r="K3" s="3722"/>
      <c r="L3" s="2854"/>
      <c r="M3" s="2854"/>
      <c r="N3" s="2854"/>
      <c r="O3" s="2854"/>
      <c r="P3" s="2854"/>
      <c r="Q3" s="2855"/>
      <c r="R3" s="2856">
        <f>SUM(L3:Q3)</f>
        <v>0</v>
      </c>
      <c r="S3" s="2839"/>
      <c r="T3" s="2839"/>
      <c r="U3" s="2839"/>
      <c r="V3" s="2847"/>
    </row>
    <row r="4" spans="1:22" s="2851" customFormat="1" ht="13.2" customHeight="1">
      <c r="A4" s="2857" t="s">
        <v>2331</v>
      </c>
      <c r="B4" s="2858"/>
      <c r="C4" s="2842"/>
      <c r="D4" s="2842"/>
      <c r="E4" s="2843"/>
      <c r="F4" s="2844"/>
      <c r="G4" s="2845"/>
      <c r="H4" s="2846"/>
      <c r="I4" s="2847"/>
      <c r="J4" s="3721" t="s">
        <v>2332</v>
      </c>
      <c r="K4" s="3722"/>
      <c r="L4" s="2859"/>
      <c r="M4" s="2859"/>
      <c r="N4" s="2859"/>
      <c r="O4" s="2859"/>
      <c r="P4" s="2859"/>
      <c r="Q4" s="2860"/>
      <c r="R4" s="2861">
        <f>SUM(L4:Q4)</f>
        <v>0</v>
      </c>
      <c r="S4" s="2839"/>
      <c r="T4" s="2839"/>
      <c r="U4" s="2839"/>
      <c r="V4" s="2847"/>
    </row>
    <row r="5" spans="1:22" s="2851" customFormat="1" ht="13.2"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2" customHeight="1" thickBot="1">
      <c r="A6" s="3727" t="s">
        <v>2336</v>
      </c>
      <c r="B6" s="3728"/>
      <c r="C6" s="3729"/>
      <c r="D6" s="2868"/>
      <c r="E6" s="2869"/>
      <c r="F6" s="2870"/>
      <c r="G6" s="2871"/>
      <c r="H6" s="2846"/>
      <c r="I6" s="2847"/>
      <c r="J6" s="3713">
        <v>1</v>
      </c>
      <c r="K6" s="371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2" customHeight="1">
      <c r="A7" s="2874" t="s">
        <v>2346</v>
      </c>
      <c r="B7" s="2875"/>
      <c r="C7" s="2876"/>
      <c r="D7" s="2877">
        <f>SUM(D9,D10,D11,D17,0)</f>
        <v>0</v>
      </c>
      <c r="E7" s="2878" t="e">
        <f>E9+E10+E11+E17</f>
        <v>#DIV/0!</v>
      </c>
      <c r="F7" s="2879"/>
      <c r="G7" s="2880"/>
      <c r="H7" s="2846"/>
      <c r="I7" s="2847"/>
      <c r="J7" s="3713"/>
      <c r="K7" s="3715"/>
      <c r="L7" s="2881" t="s">
        <v>2347</v>
      </c>
      <c r="M7" s="2882"/>
      <c r="N7" s="2858"/>
      <c r="O7" s="2883"/>
      <c r="P7" s="2883"/>
      <c r="Q7" s="2884">
        <v>365</v>
      </c>
      <c r="R7" s="2885">
        <f>ROUND(M7*N7*O7*P7*Q7/10000,0)</f>
        <v>0</v>
      </c>
      <c r="S7" s="2839"/>
      <c r="T7" s="2839" t="s">
        <v>2348</v>
      </c>
      <c r="U7" s="2839"/>
      <c r="V7" s="2847"/>
    </row>
    <row r="8" spans="1:22" s="2851" customFormat="1" ht="13.2" customHeight="1">
      <c r="A8" s="2886" t="s">
        <v>2349</v>
      </c>
      <c r="B8" s="3730" t="s">
        <v>2350</v>
      </c>
      <c r="C8" s="3731"/>
      <c r="D8" s="2887" t="s">
        <v>2351</v>
      </c>
      <c r="E8" s="2888" t="s">
        <v>2352</v>
      </c>
      <c r="F8" s="2889" t="s">
        <v>2353</v>
      </c>
      <c r="G8" s="2890"/>
      <c r="H8" s="2846"/>
      <c r="I8" s="2847"/>
      <c r="J8" s="3713"/>
      <c r="K8" s="3715"/>
      <c r="L8" s="2881" t="s">
        <v>2354</v>
      </c>
      <c r="M8" s="2882"/>
      <c r="N8" s="2858"/>
      <c r="O8" s="2883"/>
      <c r="P8" s="2883"/>
      <c r="Q8" s="2884">
        <v>365</v>
      </c>
      <c r="R8" s="2885">
        <f t="shared" ref="R8:R13" si="0">ROUND(M8*N8*O8*P8*Q8/10000,0)</f>
        <v>0</v>
      </c>
      <c r="S8" s="2839"/>
      <c r="T8" s="2839" t="s">
        <v>2355</v>
      </c>
      <c r="U8" s="2839"/>
      <c r="V8" s="2847"/>
    </row>
    <row r="9" spans="1:22" s="2851" customFormat="1" ht="13.2" customHeight="1">
      <c r="A9" s="2886">
        <v>1</v>
      </c>
      <c r="B9" s="3730" t="s">
        <v>2356</v>
      </c>
      <c r="C9" s="3731"/>
      <c r="D9" s="2887">
        <f>ROUND(D6*E9,0)</f>
        <v>0</v>
      </c>
      <c r="E9" s="2891"/>
      <c r="F9" s="2892" t="s">
        <v>2357</v>
      </c>
      <c r="G9" s="2871"/>
      <c r="H9" s="2846"/>
      <c r="I9" s="2847"/>
      <c r="J9" s="3713"/>
      <c r="K9" s="3715"/>
      <c r="L9" s="2881" t="s">
        <v>2358</v>
      </c>
      <c r="M9" s="2882"/>
      <c r="N9" s="2858"/>
      <c r="O9" s="2883"/>
      <c r="P9" s="2883"/>
      <c r="Q9" s="2884">
        <v>365</v>
      </c>
      <c r="R9" s="2885">
        <f t="shared" si="0"/>
        <v>0</v>
      </c>
      <c r="S9" s="2839"/>
      <c r="T9" s="2839"/>
      <c r="U9" s="2839"/>
      <c r="V9" s="2847"/>
    </row>
    <row r="10" spans="1:22" s="2851" customFormat="1" ht="13.2" customHeight="1">
      <c r="A10" s="2886">
        <v>2</v>
      </c>
      <c r="B10" s="3730" t="s">
        <v>2359</v>
      </c>
      <c r="C10" s="3731"/>
      <c r="D10" s="2887">
        <f>ROUND(D6*E10,0)</f>
        <v>0</v>
      </c>
      <c r="E10" s="2891"/>
      <c r="F10" s="2892" t="s">
        <v>2360</v>
      </c>
      <c r="G10" s="2871"/>
      <c r="H10" s="2846"/>
      <c r="I10" s="2847"/>
      <c r="J10" s="3713"/>
      <c r="K10" s="3715"/>
      <c r="L10" s="2881" t="s">
        <v>2361</v>
      </c>
      <c r="M10" s="2882"/>
      <c r="N10" s="2858"/>
      <c r="O10" s="2883"/>
      <c r="P10" s="2883"/>
      <c r="Q10" s="2884">
        <v>365</v>
      </c>
      <c r="R10" s="2885">
        <f t="shared" si="0"/>
        <v>0</v>
      </c>
      <c r="S10" s="2839"/>
      <c r="T10" s="2839"/>
      <c r="U10" s="2839"/>
      <c r="V10" s="2847"/>
    </row>
    <row r="11" spans="1:22" s="2851" customFormat="1" ht="13.2" customHeight="1">
      <c r="A11" s="2886">
        <v>3</v>
      </c>
      <c r="B11" s="3730" t="s">
        <v>2362</v>
      </c>
      <c r="C11" s="3731"/>
      <c r="D11" s="2887">
        <f>D12+D14+D15+D16</f>
        <v>0</v>
      </c>
      <c r="E11" s="2893" t="e">
        <f>D11/D6</f>
        <v>#DIV/0!</v>
      </c>
      <c r="F11" s="2889"/>
      <c r="G11" s="2890"/>
      <c r="H11" s="2846"/>
      <c r="I11" s="2847"/>
      <c r="J11" s="3713"/>
      <c r="K11" s="3715"/>
      <c r="L11" s="2881" t="s">
        <v>2363</v>
      </c>
      <c r="M11" s="2882"/>
      <c r="N11" s="2858"/>
      <c r="O11" s="2883"/>
      <c r="P11" s="2883"/>
      <c r="Q11" s="2884">
        <v>365</v>
      </c>
      <c r="R11" s="2885">
        <f t="shared" si="0"/>
        <v>0</v>
      </c>
      <c r="S11" s="2839"/>
      <c r="T11" s="2839"/>
      <c r="U11" s="2839"/>
      <c r="V11" s="2847"/>
    </row>
    <row r="12" spans="1:22" s="2851" customFormat="1" ht="13.2" customHeight="1">
      <c r="A12" s="2894" t="s">
        <v>2364</v>
      </c>
      <c r="B12" s="3723" t="s">
        <v>2365</v>
      </c>
      <c r="C12" s="3724"/>
      <c r="D12" s="2895">
        <f>ROUND(D13*1.2%*(1-30%),0)</f>
        <v>0</v>
      </c>
      <c r="E12" s="2896">
        <v>1.2E-2</v>
      </c>
      <c r="F12" s="2889" t="s">
        <v>2366</v>
      </c>
      <c r="G12" s="2890"/>
      <c r="H12" s="2846"/>
      <c r="I12" s="2847"/>
      <c r="J12" s="3713"/>
      <c r="K12" s="3715"/>
      <c r="L12" s="2881" t="s">
        <v>2367</v>
      </c>
      <c r="M12" s="2882"/>
      <c r="N12" s="2858"/>
      <c r="O12" s="2883"/>
      <c r="P12" s="2883"/>
      <c r="Q12" s="2884">
        <v>365</v>
      </c>
      <c r="R12" s="2885">
        <f t="shared" si="0"/>
        <v>0</v>
      </c>
      <c r="S12" s="2839"/>
      <c r="T12" s="2839"/>
      <c r="U12" s="2839"/>
      <c r="V12" s="2847"/>
    </row>
    <row r="13" spans="1:22" s="2851" customFormat="1" ht="13.2" customHeight="1">
      <c r="A13" s="2894"/>
      <c r="B13" s="2897"/>
      <c r="C13" s="2898" t="s">
        <v>2368</v>
      </c>
      <c r="D13" s="2899"/>
      <c r="E13" s="2900"/>
      <c r="F13" s="2889"/>
      <c r="G13" s="2890"/>
      <c r="H13" s="2846"/>
      <c r="I13" s="2847"/>
      <c r="J13" s="3713"/>
      <c r="K13" s="3715"/>
      <c r="L13" s="2881" t="s">
        <v>2369</v>
      </c>
      <c r="M13" s="2882"/>
      <c r="N13" s="2858"/>
      <c r="O13" s="2883"/>
      <c r="P13" s="2883"/>
      <c r="Q13" s="2884">
        <v>365</v>
      </c>
      <c r="R13" s="2885">
        <f t="shared" si="0"/>
        <v>0</v>
      </c>
      <c r="S13" s="2839"/>
      <c r="T13" s="2839"/>
      <c r="U13" s="2839"/>
      <c r="V13" s="2847"/>
    </row>
    <row r="14" spans="1:22" s="2851" customFormat="1" ht="13.2" customHeight="1">
      <c r="A14" s="2894" t="s">
        <v>2370</v>
      </c>
      <c r="B14" s="3723" t="s">
        <v>2371</v>
      </c>
      <c r="C14" s="3724"/>
      <c r="D14" s="2895">
        <f>ROUND(E14*B5/10000,0)</f>
        <v>0</v>
      </c>
      <c r="E14" s="2884"/>
      <c r="F14" s="2889" t="s">
        <v>2372</v>
      </c>
      <c r="G14" s="2890"/>
      <c r="H14" s="2846"/>
      <c r="I14" s="2847"/>
      <c r="J14" s="3713"/>
      <c r="K14" s="371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2374</v>
      </c>
      <c r="B15" s="3723" t="s">
        <v>2375</v>
      </c>
      <c r="C15" s="3724"/>
      <c r="D15" s="2895">
        <f>ROUND(D6*E15,0)</f>
        <v>0</v>
      </c>
      <c r="E15" s="2896">
        <v>5.5E-2</v>
      </c>
      <c r="F15" s="2889" t="s">
        <v>2376</v>
      </c>
      <c r="G15" s="2871"/>
      <c r="H15" s="2846"/>
      <c r="I15" s="2847"/>
      <c r="J15" s="3713">
        <v>2</v>
      </c>
      <c r="K15" s="371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2" customHeight="1">
      <c r="A16" s="2894" t="s">
        <v>2383</v>
      </c>
      <c r="B16" s="3723" t="s">
        <v>2384</v>
      </c>
      <c r="C16" s="3724"/>
      <c r="D16" s="2906">
        <f>D6*E16</f>
        <v>0</v>
      </c>
      <c r="E16" s="2907"/>
      <c r="F16" s="2892" t="s">
        <v>2385</v>
      </c>
      <c r="G16" s="2871"/>
      <c r="H16" s="2846"/>
      <c r="I16" s="2847"/>
      <c r="J16" s="3713"/>
      <c r="K16" s="3715"/>
      <c r="L16" s="2881" t="s">
        <v>2386</v>
      </c>
      <c r="M16" s="2882"/>
      <c r="N16" s="2882"/>
      <c r="O16" s="2883"/>
      <c r="P16" s="2884">
        <v>365</v>
      </c>
      <c r="Q16" s="2858"/>
      <c r="R16" s="2905">
        <f>ROUND(M16*N16*O16*P16/10000,0)</f>
        <v>0</v>
      </c>
      <c r="S16" s="2839"/>
      <c r="T16" s="2839"/>
      <c r="U16" s="2839"/>
      <c r="V16" s="2847"/>
    </row>
    <row r="17" spans="1:22" s="2851" customFormat="1" ht="13.2" customHeight="1" thickBot="1">
      <c r="A17" s="2908">
        <v>4</v>
      </c>
      <c r="B17" s="3725" t="s">
        <v>2387</v>
      </c>
      <c r="C17" s="3726"/>
      <c r="D17" s="2909">
        <f>ROUND(D6*E17,0)</f>
        <v>0</v>
      </c>
      <c r="E17" s="2910"/>
      <c r="F17" s="2911" t="s">
        <v>2388</v>
      </c>
      <c r="G17" s="2871"/>
      <c r="H17" s="2846"/>
      <c r="I17" s="2847"/>
      <c r="J17" s="3713"/>
      <c r="K17" s="3715"/>
      <c r="L17" s="2881" t="s">
        <v>2389</v>
      </c>
      <c r="M17" s="2882"/>
      <c r="N17" s="2882"/>
      <c r="O17" s="2883"/>
      <c r="P17" s="2884">
        <v>365</v>
      </c>
      <c r="Q17" s="2858"/>
      <c r="R17" s="2905">
        <f>ROUND(M17*N17*O17*P17/10000,0)</f>
        <v>0</v>
      </c>
      <c r="S17" s="2839"/>
      <c r="T17" s="2839"/>
      <c r="U17" s="2839"/>
      <c r="V17" s="2847"/>
    </row>
    <row r="18" spans="1:22" s="2851" customFormat="1" ht="13.2" customHeight="1" thickBot="1">
      <c r="A18" s="2874" t="s">
        <v>2390</v>
      </c>
      <c r="B18" s="2875"/>
      <c r="C18" s="2875"/>
      <c r="D18" s="2912">
        <f>ROUND(D6*E18,0)</f>
        <v>0</v>
      </c>
      <c r="E18" s="2913"/>
      <c r="F18" s="2914" t="s">
        <v>2391</v>
      </c>
      <c r="G18" s="2871"/>
      <c r="H18" s="2846"/>
      <c r="I18" s="2847"/>
      <c r="J18" s="3713"/>
      <c r="K18" s="3715"/>
      <c r="L18" s="2881" t="s">
        <v>2392</v>
      </c>
      <c r="M18" s="2882"/>
      <c r="N18" s="2882"/>
      <c r="O18" s="2883"/>
      <c r="P18" s="2884">
        <v>365</v>
      </c>
      <c r="Q18" s="2858"/>
      <c r="R18" s="2905">
        <f>ROUND(M18*N18*O18*P18/10000,0)</f>
        <v>0</v>
      </c>
      <c r="S18" s="2839"/>
      <c r="T18" s="2839"/>
      <c r="U18" s="2839"/>
      <c r="V18" s="2847"/>
    </row>
    <row r="19" spans="1:22" s="2851" customFormat="1" ht="13.2" customHeight="1" thickBot="1">
      <c r="A19" s="2915" t="s">
        <v>2393</v>
      </c>
      <c r="B19" s="2869"/>
      <c r="C19" s="2869"/>
      <c r="D19" s="2869"/>
      <c r="E19" s="2869"/>
      <c r="F19" s="2870"/>
      <c r="G19" s="2890"/>
      <c r="H19" s="2846"/>
      <c r="I19" s="2847"/>
      <c r="J19" s="3713"/>
      <c r="K19" s="371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3">
        <v>3</v>
      </c>
      <c r="K20" s="371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2" customHeight="1">
      <c r="A21" s="2874"/>
      <c r="B21" s="2875"/>
      <c r="C21" s="2921" t="s">
        <v>2402</v>
      </c>
      <c r="D21" s="2922" t="s">
        <v>2403</v>
      </c>
      <c r="E21" s="2923" t="s">
        <v>2404</v>
      </c>
      <c r="F21" s="2918"/>
      <c r="G21" s="2890"/>
      <c r="H21" s="2846"/>
      <c r="I21" s="2847"/>
      <c r="J21" s="3713"/>
      <c r="K21" s="3715"/>
      <c r="L21" s="2881" t="s">
        <v>2405</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2406</v>
      </c>
      <c r="D22" s="2926" t="s">
        <v>2407</v>
      </c>
      <c r="E22" s="2927" t="s">
        <v>2408</v>
      </c>
      <c r="F22" s="2918"/>
      <c r="G22" s="2928"/>
      <c r="H22" s="2846"/>
      <c r="I22" s="2847"/>
      <c r="J22" s="3713"/>
      <c r="K22" s="3715"/>
      <c r="L22" s="2881" t="s">
        <v>2409</v>
      </c>
      <c r="M22" s="2882"/>
      <c r="N22" s="2882"/>
      <c r="O22" s="2883"/>
      <c r="P22" s="2884">
        <v>365</v>
      </c>
      <c r="Q22" s="2858"/>
      <c r="R22" s="2924">
        <f>ROUND(M22*N22*O22*P22/10000,0)</f>
        <v>0</v>
      </c>
      <c r="S22" s="2920"/>
      <c r="T22" s="2920"/>
      <c r="U22" s="2920"/>
      <c r="V22" s="2847"/>
    </row>
    <row r="23" spans="1:22" s="2851" customFormat="1" ht="13.2" customHeight="1">
      <c r="A23" s="2929">
        <v>1</v>
      </c>
      <c r="B23" s="2930" t="s">
        <v>2410</v>
      </c>
      <c r="C23" s="2931">
        <f>D6</f>
        <v>0</v>
      </c>
      <c r="D23" s="2932">
        <f>C23*(1+D24)</f>
        <v>0</v>
      </c>
      <c r="E23" s="2933">
        <f>D23*(1+E24)</f>
        <v>0</v>
      </c>
      <c r="F23" s="2934"/>
      <c r="G23" s="2935"/>
      <c r="H23" s="2846"/>
      <c r="I23" s="2847"/>
      <c r="J23" s="3713"/>
      <c r="K23" s="3715"/>
      <c r="L23" s="2881" t="s">
        <v>2411</v>
      </c>
      <c r="M23" s="2882"/>
      <c r="N23" s="2882"/>
      <c r="O23" s="2883"/>
      <c r="P23" s="2884">
        <v>365</v>
      </c>
      <c r="Q23" s="2858"/>
      <c r="R23" s="2924">
        <f>ROUND(M23*N23*O23*P23/10000,0)</f>
        <v>0</v>
      </c>
      <c r="S23" s="2839"/>
      <c r="T23" s="2839"/>
      <c r="U23" s="2839"/>
      <c r="V23" s="2847"/>
    </row>
    <row r="24" spans="1:22" s="2851" customFormat="1" ht="13.2" customHeight="1">
      <c r="A24" s="2936"/>
      <c r="B24" s="2937" t="s">
        <v>2412</v>
      </c>
      <c r="C24" s="2938"/>
      <c r="D24" s="2939"/>
      <c r="E24" s="2940"/>
      <c r="F24" s="2941"/>
      <c r="G24" s="2935"/>
      <c r="H24" s="2846"/>
      <c r="I24" s="2847"/>
      <c r="J24" s="3713"/>
      <c r="K24" s="371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2" customHeight="1">
      <c r="A26" s="2929">
        <v>2</v>
      </c>
      <c r="B26" s="2930" t="s">
        <v>2414</v>
      </c>
      <c r="C26" s="2931">
        <f>D7</f>
        <v>0</v>
      </c>
      <c r="D26" s="2932">
        <f>D23*D27</f>
        <v>0</v>
      </c>
      <c r="E26" s="2933">
        <f>E23*E27</f>
        <v>0</v>
      </c>
      <c r="F26" s="2934"/>
      <c r="G26" s="2935"/>
      <c r="H26" s="2846"/>
      <c r="I26" s="2847"/>
      <c r="J26" s="371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2" customHeight="1">
      <c r="A27" s="2936"/>
      <c r="B27" s="2937" t="s">
        <v>2420</v>
      </c>
      <c r="C27" s="2955" t="e">
        <f>E7</f>
        <v>#DIV/0!</v>
      </c>
      <c r="D27" s="2939"/>
      <c r="E27" s="2940"/>
      <c r="F27" s="2941"/>
      <c r="G27" s="2935"/>
      <c r="H27" s="2956"/>
      <c r="I27" s="2947"/>
      <c r="J27" s="371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2"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2" customHeight="1">
      <c r="A32" s="2929">
        <v>4</v>
      </c>
      <c r="B32" s="2930" t="s">
        <v>2428</v>
      </c>
      <c r="C32" s="2931">
        <f>C23-C26-C29</f>
        <v>0</v>
      </c>
      <c r="D32" s="2932">
        <f>D23-D26-D29</f>
        <v>0</v>
      </c>
      <c r="E32" s="2933">
        <f>E23-E26-E29</f>
        <v>0</v>
      </c>
      <c r="F32" s="2934"/>
      <c r="G32" s="2928"/>
      <c r="H32" s="2846"/>
      <c r="I32" s="2847"/>
      <c r="J32" s="3719" t="s">
        <v>2320</v>
      </c>
      <c r="K32" s="3720"/>
      <c r="L32" s="2848" t="s">
        <v>2321</v>
      </c>
      <c r="M32" s="2848" t="s">
        <v>2322</v>
      </c>
      <c r="N32" s="2848" t="s">
        <v>2323</v>
      </c>
      <c r="O32" s="2848" t="s">
        <v>2324</v>
      </c>
      <c r="P32" s="2848" t="s">
        <v>2325</v>
      </c>
      <c r="Q32" s="2849" t="s">
        <v>2326</v>
      </c>
      <c r="R32" s="2971" t="s">
        <v>2327</v>
      </c>
      <c r="S32" s="2920"/>
      <c r="T32" s="2839"/>
      <c r="U32" s="2839"/>
      <c r="V32" s="2947"/>
    </row>
    <row r="33" spans="1:23" s="2851" customFormat="1" ht="13.2" customHeight="1">
      <c r="A33" s="2929"/>
      <c r="B33" s="2930"/>
      <c r="C33" s="2931"/>
      <c r="D33" s="2972"/>
      <c r="E33" s="2973"/>
      <c r="F33" s="2934"/>
      <c r="G33" s="2928"/>
      <c r="H33" s="2956"/>
      <c r="I33" s="2947"/>
      <c r="J33" s="3721" t="s">
        <v>2330</v>
      </c>
      <c r="K33" s="3722"/>
      <c r="L33" s="2854"/>
      <c r="M33" s="2854"/>
      <c r="N33" s="2854"/>
      <c r="O33" s="2854"/>
      <c r="P33" s="2854"/>
      <c r="Q33" s="2855"/>
      <c r="R33" s="2974">
        <f>SUM(L33:Q33)</f>
        <v>0</v>
      </c>
      <c r="S33" s="2920"/>
      <c r="T33" s="2839"/>
      <c r="U33" s="2839"/>
      <c r="V33" s="2847"/>
    </row>
    <row r="34" spans="1:23" s="2851" customFormat="1" ht="13.2" customHeight="1">
      <c r="A34" s="2929">
        <v>5</v>
      </c>
      <c r="B34" s="2930" t="s">
        <v>2429</v>
      </c>
      <c r="C34" s="2975"/>
      <c r="D34" s="2976"/>
      <c r="E34" s="2977"/>
      <c r="F34" s="2934"/>
      <c r="G34" s="2928"/>
      <c r="H34" s="2956"/>
      <c r="I34" s="2947"/>
      <c r="J34" s="3721" t="s">
        <v>2332</v>
      </c>
      <c r="K34" s="372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2" customHeight="1" thickBot="1">
      <c r="A36" s="2929">
        <v>7</v>
      </c>
      <c r="B36" s="2984" t="s">
        <v>2431</v>
      </c>
      <c r="C36" s="2985"/>
      <c r="D36" s="2986"/>
      <c r="E36" s="2987"/>
      <c r="F36" s="2988">
        <f>C36+D36+E36</f>
        <v>0</v>
      </c>
      <c r="G36" s="2928"/>
      <c r="H36" s="2846"/>
      <c r="I36" s="2847"/>
      <c r="J36" s="3713">
        <v>1</v>
      </c>
      <c r="K36" s="3714" t="s">
        <v>2432</v>
      </c>
      <c r="L36" s="2872"/>
      <c r="M36" s="2873"/>
      <c r="N36" s="2873"/>
      <c r="O36" s="2873"/>
      <c r="P36" s="2873"/>
      <c r="Q36" s="2873"/>
      <c r="R36" s="2856" t="s">
        <v>2344</v>
      </c>
      <c r="S36" s="2920"/>
      <c r="T36" s="2839" t="s">
        <v>2345</v>
      </c>
      <c r="U36" s="2839"/>
      <c r="V36" s="2847"/>
    </row>
    <row r="37" spans="1:23" s="2851" customFormat="1" ht="13.2" customHeight="1">
      <c r="A37" s="2929"/>
      <c r="B37" s="2930"/>
      <c r="C37" s="2930"/>
      <c r="D37" s="2930"/>
      <c r="E37" s="2930"/>
      <c r="F37" s="2934"/>
      <c r="G37" s="2928"/>
      <c r="H37" s="2846"/>
      <c r="I37" s="2847"/>
      <c r="J37" s="3713"/>
      <c r="K37" s="3715"/>
      <c r="L37" s="2881"/>
      <c r="M37" s="2882"/>
      <c r="N37" s="2858"/>
      <c r="O37" s="2883"/>
      <c r="P37" s="2883"/>
      <c r="Q37" s="2884"/>
      <c r="R37" s="2885"/>
      <c r="S37" s="2920"/>
      <c r="T37" s="2839" t="s">
        <v>2348</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3"/>
      <c r="K38" s="3715"/>
      <c r="L38" s="2881"/>
      <c r="M38" s="2882"/>
      <c r="N38" s="2858"/>
      <c r="O38" s="2883"/>
      <c r="P38" s="2883"/>
      <c r="Q38" s="2884"/>
      <c r="R38" s="2885"/>
      <c r="S38" s="2920"/>
      <c r="T38" s="2839" t="s">
        <v>2355</v>
      </c>
      <c r="U38" s="2839"/>
      <c r="V38" s="2847"/>
    </row>
    <row r="39" spans="1:23" s="2851" customFormat="1" ht="13.2" customHeight="1">
      <c r="A39" s="2929">
        <v>9</v>
      </c>
      <c r="B39" s="2930" t="s">
        <v>2433</v>
      </c>
      <c r="C39" s="2895" t="e">
        <f>C38</f>
        <v>#DIV/0!</v>
      </c>
      <c r="D39" s="2930">
        <f>D38/(1+D34)^C36</f>
        <v>0</v>
      </c>
      <c r="E39" s="2930">
        <f>E38/(1+E34)^(C36+D36)</f>
        <v>0</v>
      </c>
      <c r="F39" s="2934"/>
      <c r="G39" s="2989"/>
      <c r="H39" s="2846"/>
      <c r="I39" s="2847"/>
      <c r="J39" s="3713"/>
      <c r="K39" s="3715"/>
      <c r="L39" s="2881"/>
      <c r="M39" s="2882"/>
      <c r="N39" s="2858"/>
      <c r="O39" s="2883"/>
      <c r="P39" s="2883"/>
      <c r="Q39" s="2884"/>
      <c r="R39" s="2885"/>
      <c r="S39" s="2920"/>
      <c r="T39" s="2839"/>
      <c r="U39" s="2839"/>
      <c r="V39" s="2847"/>
    </row>
    <row r="40" spans="1:23" s="2851" customFormat="1" ht="13.2" customHeight="1">
      <c r="A40" s="2990">
        <v>10</v>
      </c>
      <c r="B40" s="2930" t="s">
        <v>2434</v>
      </c>
      <c r="C40" s="2991" t="e">
        <f>C39+D39+E39</f>
        <v>#DIV/0!</v>
      </c>
      <c r="D40" s="2992"/>
      <c r="E40" s="2992"/>
      <c r="F40" s="2993"/>
      <c r="G40" s="2928"/>
      <c r="H40" s="2846"/>
      <c r="I40" s="2847"/>
      <c r="J40" s="3713"/>
      <c r="K40" s="3716"/>
      <c r="L40" s="2901" t="s">
        <v>2373</v>
      </c>
      <c r="M40" s="2902"/>
      <c r="N40" s="2902"/>
      <c r="O40" s="2903"/>
      <c r="P40" s="2903"/>
      <c r="Q40" s="2904"/>
      <c r="R40" s="2850">
        <f>SUM(R37:R39)</f>
        <v>0</v>
      </c>
      <c r="S40" s="2920"/>
      <c r="T40" s="2839"/>
      <c r="U40" s="2839"/>
      <c r="V40" s="2847"/>
    </row>
    <row r="41" spans="1:23" s="2851" customFormat="1" ht="13.2"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2" customHeight="1">
      <c r="G42" s="2998"/>
      <c r="H42" s="2846"/>
      <c r="I42" s="2847"/>
      <c r="J42" s="3717">
        <v>3</v>
      </c>
      <c r="K42" s="2949" t="s">
        <v>2415</v>
      </c>
      <c r="L42" s="2950"/>
      <c r="M42" s="2951"/>
      <c r="N42" s="2952" t="s">
        <v>2416</v>
      </c>
      <c r="O42" s="2952" t="s">
        <v>2417</v>
      </c>
      <c r="P42" s="2953" t="s">
        <v>2418</v>
      </c>
      <c r="Q42" s="2953" t="s">
        <v>2419</v>
      </c>
      <c r="R42" s="2856" t="s">
        <v>2344</v>
      </c>
      <c r="S42" s="2954"/>
      <c r="T42" s="2954"/>
      <c r="U42" s="2839"/>
      <c r="V42" s="2847"/>
    </row>
    <row r="43" spans="1:23" ht="13.2" customHeight="1">
      <c r="A43" s="2851"/>
      <c r="B43" s="2851"/>
      <c r="C43" s="2851"/>
      <c r="D43" s="2851"/>
      <c r="E43" s="2851"/>
      <c r="F43" s="2851"/>
      <c r="I43" s="2834"/>
      <c r="J43" s="371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5"/>
      <c r="G1" s="1487"/>
      <c r="H1" s="1487"/>
      <c r="I1" s="1487"/>
      <c r="J1" s="1487"/>
      <c r="K1" s="1487"/>
      <c r="L1" s="1487"/>
      <c r="M1" s="1487"/>
      <c r="N1" s="1487"/>
      <c r="O1" s="1487"/>
      <c r="P1" s="1487"/>
      <c r="Q1" s="1487"/>
      <c r="R1" s="1487"/>
      <c r="S1" s="1487"/>
    </row>
    <row r="2" spans="1:22" ht="15.6">
      <c r="A2" s="1868" t="s">
        <v>1462</v>
      </c>
      <c r="B2" s="1869">
        <f ca="1">SUMIF(B6:B13,"&lt;&gt;#ref!",B6:B13)</f>
        <v>54103</v>
      </c>
      <c r="C2" s="1870" t="s">
        <v>1651</v>
      </c>
      <c r="D2" s="1871" t="s">
        <v>1652</v>
      </c>
      <c r="E2" s="2605">
        <f>SUM(E6:E13)</f>
        <v>78042.850000000006</v>
      </c>
      <c r="F2" s="2705"/>
      <c r="G2" s="1487"/>
      <c r="H2" s="1487"/>
      <c r="I2" s="1487"/>
      <c r="J2" s="1487"/>
      <c r="K2" s="1487"/>
      <c r="L2" s="1487"/>
      <c r="M2" s="1487"/>
      <c r="N2" s="1487"/>
      <c r="O2" s="1487"/>
      <c r="P2" s="1487"/>
      <c r="Q2" s="1487"/>
      <c r="R2" s="1487"/>
      <c r="S2" s="1487"/>
    </row>
    <row r="3" spans="1:22" ht="15.6">
      <c r="A3" s="1868" t="s">
        <v>686</v>
      </c>
      <c r="B3" s="2599">
        <f ca="1">ROUND(B2*10000/E2,0)</f>
        <v>6932</v>
      </c>
      <c r="C3" s="1870" t="s">
        <v>1659</v>
      </c>
      <c r="D3" s="2707"/>
      <c r="E3" s="2709"/>
      <c r="F3" s="2705"/>
      <c r="G3" s="1487"/>
      <c r="H3" s="1487"/>
      <c r="I3" s="1487"/>
      <c r="J3" s="1487"/>
      <c r="K3" s="1487"/>
      <c r="L3" s="1487"/>
      <c r="M3" s="1487"/>
      <c r="N3" s="1487"/>
      <c r="O3" s="1487"/>
      <c r="P3" s="1487"/>
      <c r="Q3" s="1487"/>
      <c r="R3" s="1487"/>
      <c r="S3" s="1487"/>
    </row>
    <row r="4" spans="1:22" ht="15.6">
      <c r="A4" s="2710"/>
      <c r="B4" s="2707"/>
      <c r="C4" s="2707"/>
      <c r="D4" s="2707"/>
      <c r="E4" s="2709"/>
      <c r="F4" s="2705"/>
      <c r="G4" s="1487"/>
      <c r="H4" s="1487"/>
      <c r="I4" s="1487"/>
      <c r="J4" s="1487"/>
      <c r="K4" s="1487"/>
      <c r="L4" s="1487"/>
      <c r="M4" s="1487"/>
      <c r="N4" s="1487"/>
      <c r="O4" s="1487"/>
      <c r="P4" s="1487"/>
      <c r="Q4" s="1487"/>
      <c r="R4" s="1487"/>
      <c r="S4" s="1487"/>
    </row>
    <row r="5" spans="1:22" ht="14.4">
      <c r="A5" s="2601" t="s">
        <v>1653</v>
      </c>
      <c r="B5" s="3732" t="s">
        <v>1654</v>
      </c>
      <c r="C5" s="3733"/>
      <c r="D5" s="2706"/>
      <c r="E5" s="1872" t="s">
        <v>1655</v>
      </c>
      <c r="F5" s="1873" t="s">
        <v>1656</v>
      </c>
      <c r="G5" s="1487"/>
      <c r="H5" s="1487"/>
      <c r="I5" s="1487"/>
      <c r="J5" s="1487"/>
      <c r="K5" s="1487"/>
      <c r="L5" s="1487"/>
      <c r="M5" s="1487"/>
      <c r="N5" s="1487"/>
      <c r="O5" s="1487"/>
      <c r="P5" s="1487"/>
      <c r="Q5" s="1487"/>
      <c r="R5" s="1487"/>
      <c r="S5" s="1487"/>
    </row>
    <row r="6" spans="1:22" ht="14.4">
      <c r="A6" s="2602" t="str">
        <f>'数据-取费表'!AN6</f>
        <v>收益法</v>
      </c>
      <c r="B6" s="2600">
        <f ca="1">IF(F6="是",'数据-取费表'!AO6,0)</f>
        <v>54103</v>
      </c>
      <c r="C6" s="1870" t="s">
        <v>1651</v>
      </c>
      <c r="D6" s="2707"/>
      <c r="E6" s="2604">
        <f>IF(OR(A6=0,F6="否"),0,'数据-取费表'!K6+'数据-取费表'!S6)</f>
        <v>78042.850000000006</v>
      </c>
      <c r="F6" s="1874" t="s">
        <v>1657</v>
      </c>
      <c r="G6" s="1487"/>
      <c r="H6" s="1487"/>
      <c r="I6" s="1487"/>
      <c r="J6" s="1487"/>
      <c r="K6" s="1487"/>
      <c r="L6" s="1487"/>
      <c r="M6" s="1487"/>
      <c r="N6" s="1487"/>
      <c r="O6" s="1487"/>
      <c r="P6" s="1487"/>
      <c r="Q6" s="1487"/>
      <c r="R6" s="1487"/>
      <c r="S6" s="1487"/>
    </row>
    <row r="7" spans="1:22" ht="14.4">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ht="14.4">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ht="14.4">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ht="14.4">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估价对象为北京市房地产，为所有。根据《国有土地使用证》[]，估价对象（分摊）出让国有建设用地使用权面积为0平方米，建筑面积为78042.85平方米。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估价对象为北京市房地产,为开发建设的，该项目尚在开发建设中。根据《国有土地使用证》[]，估价对象（分摊）出让国有建设用地使用权面积为0平方米，规划建筑面积为78042.85平方米。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2023年8月21日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本次评估采用的主估价方法为基准地价系数修正法和收益法。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78042.850000000006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4.4">
      <c r="A4" s="355" t="s">
        <v>1666</v>
      </c>
      <c r="B4" s="356"/>
      <c r="C4" s="3656" t="s">
        <v>1667</v>
      </c>
      <c r="D4" s="3657"/>
      <c r="E4" s="3658" t="s">
        <v>1668</v>
      </c>
      <c r="F4" s="3659"/>
      <c r="G4" s="3656" t="s">
        <v>1669</v>
      </c>
      <c r="H4" s="3657"/>
      <c r="I4" s="3656" t="s">
        <v>1670</v>
      </c>
      <c r="J4" s="3657"/>
      <c r="K4" s="1887" t="s">
        <v>1671</v>
      </c>
      <c r="L4" s="2713"/>
      <c r="M4" s="2714"/>
      <c r="N4" s="2714"/>
      <c r="O4" s="2714"/>
      <c r="P4" s="3660" t="s">
        <v>1672</v>
      </c>
      <c r="Q4" s="3661"/>
      <c r="R4" s="3666" t="s">
        <v>1668</v>
      </c>
      <c r="S4" s="3667"/>
      <c r="T4" s="3666" t="s">
        <v>1669</v>
      </c>
      <c r="U4" s="3667"/>
      <c r="V4" s="3672" t="s">
        <v>1670</v>
      </c>
      <c r="W4" s="3672"/>
      <c r="X4" s="1353"/>
      <c r="Y4" s="3666" t="s">
        <v>1672</v>
      </c>
      <c r="Z4" s="3667"/>
      <c r="AA4" s="3653" t="s">
        <v>1668</v>
      </c>
      <c r="AB4" s="3653" t="s">
        <v>1669</v>
      </c>
      <c r="AC4" s="3653" t="s">
        <v>1670</v>
      </c>
    </row>
    <row r="5" spans="1:29">
      <c r="A5" s="358"/>
      <c r="B5" s="359"/>
      <c r="C5" s="3680" t="s">
        <v>1673</v>
      </c>
      <c r="D5" s="3676"/>
      <c r="E5" s="3740" t="s">
        <v>1674</v>
      </c>
      <c r="F5" s="3741"/>
      <c r="G5" s="3680" t="s">
        <v>1675</v>
      </c>
      <c r="H5" s="3676"/>
      <c r="I5" s="3680" t="s">
        <v>1676</v>
      </c>
      <c r="J5" s="3676"/>
      <c r="K5" s="1888"/>
      <c r="L5" s="2713"/>
      <c r="M5" s="2714"/>
      <c r="N5" s="2714"/>
      <c r="O5" s="2714"/>
      <c r="P5" s="3662"/>
      <c r="Q5" s="3663"/>
      <c r="R5" s="3668"/>
      <c r="S5" s="3669"/>
      <c r="T5" s="3668"/>
      <c r="U5" s="3669"/>
      <c r="V5" s="3672"/>
      <c r="W5" s="3672"/>
      <c r="X5" s="1353"/>
      <c r="Y5" s="3668"/>
      <c r="Z5" s="3669"/>
      <c r="AA5" s="3654"/>
      <c r="AB5" s="3654"/>
      <c r="AC5" s="3654"/>
    </row>
    <row r="6" spans="1:29" ht="15" thickBot="1">
      <c r="A6" s="360"/>
      <c r="B6" s="361"/>
      <c r="C6" s="3673" t="s">
        <v>1677</v>
      </c>
      <c r="D6" s="3674"/>
      <c r="E6" s="3681" t="s">
        <v>1677</v>
      </c>
      <c r="F6" s="3682"/>
      <c r="G6" s="3673" t="s">
        <v>1677</v>
      </c>
      <c r="H6" s="3674"/>
      <c r="I6" s="3673" t="s">
        <v>1677</v>
      </c>
      <c r="J6" s="3674"/>
      <c r="K6" s="1888" t="s">
        <v>1678</v>
      </c>
      <c r="L6" s="2713"/>
      <c r="M6" s="2714"/>
      <c r="N6" s="2714"/>
      <c r="O6" s="2714"/>
      <c r="P6" s="3664"/>
      <c r="Q6" s="3665"/>
      <c r="R6" s="3668"/>
      <c r="S6" s="3669"/>
      <c r="T6" s="3670"/>
      <c r="U6" s="3671"/>
      <c r="V6" s="3672"/>
      <c r="W6" s="3672"/>
      <c r="X6" s="1353"/>
      <c r="Y6" s="3670"/>
      <c r="Z6" s="3671"/>
      <c r="AA6" s="3655"/>
      <c r="AB6" s="3655"/>
      <c r="AC6" s="3655"/>
    </row>
    <row r="7" spans="1:29" s="108" customFormat="1" ht="1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7" t="s">
        <v>1680</v>
      </c>
      <c r="Q7" s="3679"/>
      <c r="R7" s="699" t="s">
        <v>20</v>
      </c>
      <c r="S7" s="700">
        <f t="shared" ref="S7:S15" si="0">F7</f>
        <v>0</v>
      </c>
      <c r="T7" s="699" t="s">
        <v>20</v>
      </c>
      <c r="U7" s="700">
        <f t="shared" ref="U7:U15" si="1">H7</f>
        <v>0</v>
      </c>
      <c r="V7" s="699" t="s">
        <v>20</v>
      </c>
      <c r="W7" s="700">
        <f t="shared" ref="W7:W15" si="2">J7</f>
        <v>0</v>
      </c>
      <c r="X7" s="701"/>
      <c r="Y7" s="3677" t="s">
        <v>1680</v>
      </c>
      <c r="Z7" s="3678"/>
      <c r="AA7" s="702" t="e">
        <f>D7/F7</f>
        <v>#DIV/0!</v>
      </c>
      <c r="AB7" s="702" t="e">
        <f>D7/H7</f>
        <v>#DIV/0!</v>
      </c>
      <c r="AC7" s="702"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7" t="s">
        <v>1683</v>
      </c>
      <c r="Q8" s="3678"/>
      <c r="R8" s="699" t="s">
        <v>20</v>
      </c>
      <c r="S8" s="700">
        <f t="shared" si="0"/>
        <v>100</v>
      </c>
      <c r="T8" s="699" t="s">
        <v>20</v>
      </c>
      <c r="U8" s="700">
        <f t="shared" si="1"/>
        <v>100</v>
      </c>
      <c r="V8" s="699" t="s">
        <v>20</v>
      </c>
      <c r="W8" s="700">
        <f t="shared" si="2"/>
        <v>100</v>
      </c>
      <c r="X8" s="701"/>
      <c r="Y8" s="3677" t="s">
        <v>1683</v>
      </c>
      <c r="Z8" s="3678"/>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9"/>
      <c r="Q11" s="1341" t="str">
        <f t="shared" si="6"/>
        <v>容积率</v>
      </c>
      <c r="R11" s="699" t="s">
        <v>18</v>
      </c>
      <c r="S11" s="700" t="e">
        <f t="shared" si="0"/>
        <v>#N/A</v>
      </c>
      <c r="T11" s="699" t="s">
        <v>18</v>
      </c>
      <c r="U11" s="700" t="e">
        <f t="shared" si="1"/>
        <v>#N/A</v>
      </c>
      <c r="V11" s="699" t="s">
        <v>18</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39"/>
      <c r="Q12" s="1341">
        <f t="shared" si="6"/>
        <v>111</v>
      </c>
      <c r="R12" s="699" t="s">
        <v>18</v>
      </c>
      <c r="S12" s="700">
        <f t="shared" si="0"/>
        <v>100</v>
      </c>
      <c r="T12" s="699" t="s">
        <v>18</v>
      </c>
      <c r="U12" s="700">
        <f t="shared" si="1"/>
        <v>100</v>
      </c>
      <c r="V12" s="699" t="s">
        <v>18</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39"/>
      <c r="Q13" s="1341">
        <f t="shared" si="6"/>
        <v>111</v>
      </c>
      <c r="R13" s="699" t="s">
        <v>18</v>
      </c>
      <c r="S13" s="700">
        <f t="shared" si="0"/>
        <v>100</v>
      </c>
      <c r="T13" s="699" t="s">
        <v>18</v>
      </c>
      <c r="U13" s="700">
        <f t="shared" si="1"/>
        <v>100</v>
      </c>
      <c r="V13" s="699" t="s">
        <v>18</v>
      </c>
      <c r="W13" s="700">
        <f t="shared" si="2"/>
        <v>100</v>
      </c>
      <c r="X13" s="701"/>
      <c r="Y13" s="3547"/>
      <c r="Z13" s="52">
        <f t="shared" si="7"/>
        <v>111</v>
      </c>
      <c r="AA13" s="702">
        <f t="shared" si="3"/>
        <v>1</v>
      </c>
      <c r="AB13" s="702">
        <f t="shared" si="4"/>
        <v>1</v>
      </c>
      <c r="AC13" s="702">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39"/>
      <c r="Q14" s="1341">
        <f t="shared" si="6"/>
        <v>111</v>
      </c>
      <c r="R14" s="699" t="s">
        <v>18</v>
      </c>
      <c r="S14" s="700">
        <f t="shared" si="0"/>
        <v>100</v>
      </c>
      <c r="T14" s="699" t="s">
        <v>18</v>
      </c>
      <c r="U14" s="700">
        <f t="shared" si="1"/>
        <v>100</v>
      </c>
      <c r="V14" s="699" t="s">
        <v>18</v>
      </c>
      <c r="W14" s="700">
        <f t="shared" si="2"/>
        <v>100</v>
      </c>
      <c r="X14" s="701"/>
      <c r="Y14" s="3547"/>
      <c r="Z14" s="52">
        <f t="shared" si="7"/>
        <v>111</v>
      </c>
      <c r="AA14" s="702">
        <f t="shared" si="3"/>
        <v>1</v>
      </c>
      <c r="AB14" s="702">
        <f t="shared" si="4"/>
        <v>1</v>
      </c>
      <c r="AC14" s="702">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7" t="s">
        <v>1691</v>
      </c>
      <c r="Q15" s="1350" t="str">
        <f t="shared" si="6"/>
        <v>居住社区成熟度</v>
      </c>
      <c r="R15" s="703" t="s">
        <v>18</v>
      </c>
      <c r="S15" s="704">
        <f t="shared" si="0"/>
        <v>100</v>
      </c>
      <c r="T15" s="703" t="s">
        <v>18</v>
      </c>
      <c r="U15" s="704">
        <f t="shared" si="1"/>
        <v>100</v>
      </c>
      <c r="V15" s="703" t="s">
        <v>18</v>
      </c>
      <c r="W15" s="704">
        <f t="shared" si="2"/>
        <v>100</v>
      </c>
      <c r="X15" s="1353"/>
      <c r="Y15" s="364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8"/>
      <c r="Q16" s="1350"/>
      <c r="R16" s="703"/>
      <c r="S16" s="704"/>
      <c r="T16" s="703"/>
      <c r="U16" s="704"/>
      <c r="V16" s="703"/>
      <c r="W16" s="704"/>
      <c r="X16" s="1353"/>
      <c r="Y16" s="364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8"/>
      <c r="Q17" s="1350" t="str">
        <f>B17</f>
        <v>交通便捷度</v>
      </c>
      <c r="R17" s="703" t="s">
        <v>18</v>
      </c>
      <c r="S17" s="704">
        <f>F17</f>
        <v>100</v>
      </c>
      <c r="T17" s="703" t="s">
        <v>18</v>
      </c>
      <c r="U17" s="704">
        <f>H17</f>
        <v>100</v>
      </c>
      <c r="V17" s="703" t="s">
        <v>18</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8"/>
      <c r="Q18" s="1350"/>
      <c r="R18" s="703"/>
      <c r="S18" s="704"/>
      <c r="T18" s="703"/>
      <c r="U18" s="704"/>
      <c r="V18" s="703"/>
      <c r="W18" s="704"/>
      <c r="X18" s="1353"/>
      <c r="Y18" s="3649"/>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8"/>
      <c r="Q19" s="1350" t="str">
        <f>B19</f>
        <v>公共配套设施</v>
      </c>
      <c r="R19" s="703" t="s">
        <v>18</v>
      </c>
      <c r="S19" s="704">
        <f>F19</f>
        <v>100</v>
      </c>
      <c r="T19" s="703" t="s">
        <v>18</v>
      </c>
      <c r="U19" s="704">
        <f>H19</f>
        <v>100</v>
      </c>
      <c r="V19" s="703" t="s">
        <v>18</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8"/>
      <c r="Q20" s="1350"/>
      <c r="R20" s="703"/>
      <c r="S20" s="704"/>
      <c r="T20" s="703"/>
      <c r="U20" s="704"/>
      <c r="V20" s="703"/>
      <c r="W20" s="704"/>
      <c r="X20" s="1353"/>
      <c r="Y20" s="3649"/>
      <c r="Z20" s="1354"/>
      <c r="AA20" s="1351">
        <v>1</v>
      </c>
      <c r="AB20" s="1351">
        <v>1</v>
      </c>
      <c r="AC20" s="1351">
        <v>1</v>
      </c>
    </row>
    <row r="21" spans="1:29" ht="27.6">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8"/>
      <c r="Q22" s="1350"/>
      <c r="R22" s="703"/>
      <c r="S22" s="704"/>
      <c r="T22" s="703"/>
      <c r="U22" s="704"/>
      <c r="V22" s="703"/>
      <c r="W22" s="704"/>
      <c r="X22" s="1353"/>
      <c r="Y22" s="3649"/>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8"/>
      <c r="Q23" s="1350" t="str">
        <f>B23</f>
        <v>自然及人文环境</v>
      </c>
      <c r="R23" s="703" t="s">
        <v>18</v>
      </c>
      <c r="S23" s="704">
        <f>F23</f>
        <v>100</v>
      </c>
      <c r="T23" s="703" t="s">
        <v>18</v>
      </c>
      <c r="U23" s="704">
        <f>H23</f>
        <v>100</v>
      </c>
      <c r="V23" s="703" t="s">
        <v>18</v>
      </c>
      <c r="W23" s="704">
        <f>J23</f>
        <v>100</v>
      </c>
      <c r="X23" s="1353"/>
      <c r="Y23" s="364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8"/>
      <c r="Q24" s="1350"/>
      <c r="R24" s="703"/>
      <c r="S24" s="704"/>
      <c r="T24" s="703"/>
      <c r="U24" s="704"/>
      <c r="V24" s="703"/>
      <c r="W24" s="704"/>
      <c r="X24" s="1353"/>
      <c r="Y24" s="364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4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8"/>
      <c r="Q26" s="1350" t="str">
        <f t="shared" si="11"/>
        <v>朝向</v>
      </c>
      <c r="R26" s="703" t="s">
        <v>18</v>
      </c>
      <c r="S26" s="704">
        <f t="shared" si="12"/>
        <v>100</v>
      </c>
      <c r="T26" s="703" t="s">
        <v>18</v>
      </c>
      <c r="U26" s="704">
        <f t="shared" si="13"/>
        <v>100</v>
      </c>
      <c r="V26" s="703" t="s">
        <v>18</v>
      </c>
      <c r="W26" s="704">
        <f t="shared" si="14"/>
        <v>100</v>
      </c>
      <c r="X26" s="1353"/>
      <c r="Y26" s="364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8"/>
      <c r="Q27" s="1341">
        <f t="shared" si="11"/>
        <v>111</v>
      </c>
      <c r="R27" s="699" t="s">
        <v>18</v>
      </c>
      <c r="S27" s="700">
        <f t="shared" si="12"/>
        <v>100</v>
      </c>
      <c r="T27" s="699" t="s">
        <v>18</v>
      </c>
      <c r="U27" s="700">
        <f t="shared" si="13"/>
        <v>100</v>
      </c>
      <c r="V27" s="699" t="s">
        <v>18</v>
      </c>
      <c r="W27" s="700">
        <f t="shared" si="14"/>
        <v>100</v>
      </c>
      <c r="X27" s="701"/>
      <c r="Y27" s="364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8"/>
      <c r="Q28" s="1350">
        <f t="shared" si="11"/>
        <v>111</v>
      </c>
      <c r="R28" s="703" t="s">
        <v>18</v>
      </c>
      <c r="S28" s="704">
        <f t="shared" si="12"/>
        <v>100</v>
      </c>
      <c r="T28" s="703" t="s">
        <v>18</v>
      </c>
      <c r="U28" s="704">
        <f t="shared" si="13"/>
        <v>100</v>
      </c>
      <c r="V28" s="703" t="s">
        <v>18</v>
      </c>
      <c r="W28" s="704">
        <f t="shared" si="14"/>
        <v>100</v>
      </c>
      <c r="X28" s="1353"/>
      <c r="Y28" s="364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8"/>
      <c r="Q29" s="1350">
        <f t="shared" si="11"/>
        <v>111</v>
      </c>
      <c r="R29" s="703" t="s">
        <v>18</v>
      </c>
      <c r="S29" s="704">
        <f t="shared" si="12"/>
        <v>100</v>
      </c>
      <c r="T29" s="703" t="s">
        <v>18</v>
      </c>
      <c r="U29" s="704">
        <f t="shared" si="13"/>
        <v>100</v>
      </c>
      <c r="V29" s="703" t="s">
        <v>18</v>
      </c>
      <c r="W29" s="704">
        <f t="shared" si="14"/>
        <v>100</v>
      </c>
      <c r="X29" s="1353"/>
      <c r="Y29" s="364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8"/>
      <c r="Q30" s="1350">
        <f t="shared" si="11"/>
        <v>111</v>
      </c>
      <c r="R30" s="703" t="s">
        <v>18</v>
      </c>
      <c r="S30" s="704">
        <f t="shared" si="12"/>
        <v>100</v>
      </c>
      <c r="T30" s="703" t="s">
        <v>18</v>
      </c>
      <c r="U30" s="704">
        <f t="shared" si="13"/>
        <v>100</v>
      </c>
      <c r="V30" s="703" t="s">
        <v>18</v>
      </c>
      <c r="W30" s="704">
        <f t="shared" si="14"/>
        <v>100</v>
      </c>
      <c r="X30" s="1353"/>
      <c r="Y30" s="3649"/>
      <c r="Z30" s="1354">
        <f t="shared" si="18"/>
        <v>111</v>
      </c>
      <c r="AA30" s="1351">
        <f t="shared" si="15"/>
        <v>1</v>
      </c>
      <c r="AB30" s="1351">
        <f t="shared" si="16"/>
        <v>1</v>
      </c>
      <c r="AC30" s="1351">
        <f t="shared" si="17"/>
        <v>1</v>
      </c>
    </row>
    <row r="31" spans="1:29" ht="15.6"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8"/>
      <c r="Q31" s="1350">
        <f t="shared" si="11"/>
        <v>111</v>
      </c>
      <c r="R31" s="703" t="s">
        <v>18</v>
      </c>
      <c r="S31" s="704">
        <f t="shared" si="12"/>
        <v>100</v>
      </c>
      <c r="T31" s="703" t="s">
        <v>18</v>
      </c>
      <c r="U31" s="704">
        <f t="shared" si="13"/>
        <v>100</v>
      </c>
      <c r="V31" s="703" t="s">
        <v>18</v>
      </c>
      <c r="W31" s="704">
        <f t="shared" si="14"/>
        <v>100</v>
      </c>
      <c r="X31" s="1353"/>
      <c r="Y31" s="364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4" t="s">
        <v>1696</v>
      </c>
      <c r="Q32" s="1350" t="str">
        <f t="shared" si="11"/>
        <v>建筑类型</v>
      </c>
      <c r="R32" s="703" t="s">
        <v>18</v>
      </c>
      <c r="S32" s="704">
        <f t="shared" si="12"/>
        <v>100</v>
      </c>
      <c r="T32" s="703" t="s">
        <v>18</v>
      </c>
      <c r="U32" s="704">
        <f t="shared" si="13"/>
        <v>100</v>
      </c>
      <c r="V32" s="703" t="s">
        <v>18</v>
      </c>
      <c r="W32" s="704">
        <f t="shared" si="14"/>
        <v>100</v>
      </c>
      <c r="X32" s="1353"/>
      <c r="Y32" s="365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5"/>
      <c r="Q33" s="705" t="str">
        <f t="shared" si="11"/>
        <v>项目建筑规模</v>
      </c>
      <c r="R33" s="706" t="s">
        <v>18</v>
      </c>
      <c r="S33" s="707" t="e">
        <f t="shared" si="12"/>
        <v>#N/A</v>
      </c>
      <c r="T33" s="706" t="s">
        <v>18</v>
      </c>
      <c r="U33" s="707" t="e">
        <f t="shared" si="13"/>
        <v>#N/A</v>
      </c>
      <c r="V33" s="706" t="s">
        <v>18</v>
      </c>
      <c r="W33" s="707" t="e">
        <f t="shared" si="14"/>
        <v>#N/A</v>
      </c>
      <c r="X33" s="708"/>
      <c r="Y33" s="3651"/>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5"/>
      <c r="Q34" s="1350" t="str">
        <f t="shared" si="11"/>
        <v>建筑结构</v>
      </c>
      <c r="R34" s="703" t="s">
        <v>18</v>
      </c>
      <c r="S34" s="704">
        <f t="shared" si="12"/>
        <v>100</v>
      </c>
      <c r="T34" s="703" t="s">
        <v>18</v>
      </c>
      <c r="U34" s="704">
        <f t="shared" si="13"/>
        <v>100</v>
      </c>
      <c r="V34" s="703" t="s">
        <v>18</v>
      </c>
      <c r="W34" s="704">
        <f t="shared" si="14"/>
        <v>100</v>
      </c>
      <c r="X34" s="1353"/>
      <c r="Y34" s="365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5"/>
      <c r="Q35" s="1350" t="str">
        <f t="shared" si="11"/>
        <v>建筑品质</v>
      </c>
      <c r="R35" s="703" t="s">
        <v>18</v>
      </c>
      <c r="S35" s="704">
        <f t="shared" si="12"/>
        <v>100</v>
      </c>
      <c r="T35" s="703" t="s">
        <v>18</v>
      </c>
      <c r="U35" s="704">
        <f t="shared" si="13"/>
        <v>100</v>
      </c>
      <c r="V35" s="703" t="s">
        <v>18</v>
      </c>
      <c r="W35" s="704">
        <f t="shared" si="14"/>
        <v>100</v>
      </c>
      <c r="X35" s="1353"/>
      <c r="Y35" s="365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5"/>
      <c r="Q36" s="1350" t="str">
        <f t="shared" si="11"/>
        <v>公共部分装修</v>
      </c>
      <c r="R36" s="703" t="s">
        <v>18</v>
      </c>
      <c r="S36" s="704">
        <f t="shared" si="12"/>
        <v>100</v>
      </c>
      <c r="T36" s="703" t="s">
        <v>18</v>
      </c>
      <c r="U36" s="704">
        <f t="shared" si="13"/>
        <v>100</v>
      </c>
      <c r="V36" s="703" t="s">
        <v>18</v>
      </c>
      <c r="W36" s="704">
        <f t="shared" si="14"/>
        <v>100</v>
      </c>
      <c r="X36" s="1353"/>
      <c r="Y36" s="365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5"/>
      <c r="Q37" s="1341" t="str">
        <f t="shared" si="11"/>
        <v>成新度</v>
      </c>
      <c r="R37" s="699" t="s">
        <v>18</v>
      </c>
      <c r="S37" s="700" t="e">
        <f t="shared" si="12"/>
        <v>#N/A</v>
      </c>
      <c r="T37" s="699" t="s">
        <v>18</v>
      </c>
      <c r="U37" s="700" t="e">
        <f t="shared" si="13"/>
        <v>#N/A</v>
      </c>
      <c r="V37" s="699" t="s">
        <v>18</v>
      </c>
      <c r="W37" s="700" t="e">
        <f t="shared" si="14"/>
        <v>#N/A</v>
      </c>
      <c r="X37" s="701"/>
      <c r="Y37" s="3651"/>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5" t="s">
        <v>1696</v>
      </c>
      <c r="Q38" s="1350" t="str">
        <f t="shared" si="11"/>
        <v>物业管理</v>
      </c>
      <c r="R38" s="703" t="s">
        <v>18</v>
      </c>
      <c r="S38" s="704">
        <f t="shared" si="12"/>
        <v>100</v>
      </c>
      <c r="T38" s="703" t="s">
        <v>18</v>
      </c>
      <c r="U38" s="704">
        <f t="shared" si="13"/>
        <v>100</v>
      </c>
      <c r="V38" s="703" t="s">
        <v>18</v>
      </c>
      <c r="W38" s="704">
        <f t="shared" si="14"/>
        <v>100</v>
      </c>
      <c r="X38" s="1353"/>
      <c r="Y38" s="365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5"/>
      <c r="Q39" s="1350" t="str">
        <f t="shared" si="11"/>
        <v>市政基础设施</v>
      </c>
      <c r="R39" s="703" t="s">
        <v>18</v>
      </c>
      <c r="S39" s="704">
        <f t="shared" si="12"/>
        <v>100</v>
      </c>
      <c r="T39" s="703" t="s">
        <v>18</v>
      </c>
      <c r="U39" s="704">
        <f t="shared" si="13"/>
        <v>100</v>
      </c>
      <c r="V39" s="703" t="s">
        <v>18</v>
      </c>
      <c r="W39" s="704">
        <f t="shared" si="14"/>
        <v>100</v>
      </c>
      <c r="X39" s="1353"/>
      <c r="Y39" s="365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5"/>
      <c r="Q40" s="1350" t="str">
        <f t="shared" si="11"/>
        <v>房型</v>
      </c>
      <c r="R40" s="703" t="s">
        <v>18</v>
      </c>
      <c r="S40" s="704">
        <f t="shared" si="12"/>
        <v>100</v>
      </c>
      <c r="T40" s="703" t="s">
        <v>18</v>
      </c>
      <c r="U40" s="704">
        <f t="shared" si="13"/>
        <v>100</v>
      </c>
      <c r="V40" s="703" t="s">
        <v>18</v>
      </c>
      <c r="W40" s="704">
        <f t="shared" si="14"/>
        <v>100</v>
      </c>
      <c r="X40" s="1353"/>
      <c r="Y40" s="3651"/>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5"/>
      <c r="Q41" s="705" t="str">
        <f t="shared" si="11"/>
        <v>单套/主力户型建筑面积</v>
      </c>
      <c r="R41" s="706" t="s">
        <v>18</v>
      </c>
      <c r="S41" s="707">
        <f t="shared" si="12"/>
        <v>100</v>
      </c>
      <c r="T41" s="706" t="s">
        <v>18</v>
      </c>
      <c r="U41" s="707">
        <f t="shared" si="13"/>
        <v>100</v>
      </c>
      <c r="V41" s="706" t="s">
        <v>18</v>
      </c>
      <c r="W41" s="707">
        <f t="shared" si="14"/>
        <v>100</v>
      </c>
      <c r="X41" s="708"/>
      <c r="Y41" s="3651"/>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5"/>
      <c r="Q42" s="1350" t="str">
        <f t="shared" si="11"/>
        <v>内部装修</v>
      </c>
      <c r="R42" s="703" t="s">
        <v>18</v>
      </c>
      <c r="S42" s="704">
        <f t="shared" si="12"/>
        <v>100</v>
      </c>
      <c r="T42" s="703" t="s">
        <v>18</v>
      </c>
      <c r="U42" s="704">
        <f t="shared" si="13"/>
        <v>100</v>
      </c>
      <c r="V42" s="703" t="s">
        <v>18</v>
      </c>
      <c r="W42" s="704">
        <f t="shared" si="14"/>
        <v>100</v>
      </c>
      <c r="X42" s="1353"/>
      <c r="Y42" s="3651"/>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5"/>
      <c r="Q43" s="1350" t="str">
        <f t="shared" si="11"/>
        <v>内部装修维护情况</v>
      </c>
      <c r="R43" s="703" t="s">
        <v>18</v>
      </c>
      <c r="S43" s="704">
        <f t="shared" si="12"/>
        <v>100</v>
      </c>
      <c r="T43" s="703" t="s">
        <v>18</v>
      </c>
      <c r="U43" s="704">
        <f t="shared" si="13"/>
        <v>100</v>
      </c>
      <c r="V43" s="703" t="s">
        <v>18</v>
      </c>
      <c r="W43" s="704">
        <f t="shared" si="14"/>
        <v>100</v>
      </c>
      <c r="X43" s="1353"/>
      <c r="Y43" s="365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5"/>
      <c r="Q44" s="1341">
        <f t="shared" si="11"/>
        <v>111</v>
      </c>
      <c r="R44" s="699" t="s">
        <v>18</v>
      </c>
      <c r="S44" s="700">
        <f t="shared" si="12"/>
        <v>100</v>
      </c>
      <c r="T44" s="699" t="s">
        <v>18</v>
      </c>
      <c r="U44" s="700">
        <f t="shared" si="13"/>
        <v>100</v>
      </c>
      <c r="V44" s="699" t="s">
        <v>18</v>
      </c>
      <c r="W44" s="700">
        <f t="shared" si="14"/>
        <v>100</v>
      </c>
      <c r="X44" s="701"/>
      <c r="Y44" s="365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5"/>
      <c r="Q45" s="1350">
        <f t="shared" si="11"/>
        <v>111</v>
      </c>
      <c r="R45" s="703" t="s">
        <v>18</v>
      </c>
      <c r="S45" s="704">
        <f t="shared" si="12"/>
        <v>100</v>
      </c>
      <c r="T45" s="703" t="s">
        <v>18</v>
      </c>
      <c r="U45" s="704">
        <f t="shared" si="13"/>
        <v>100</v>
      </c>
      <c r="V45" s="703" t="s">
        <v>18</v>
      </c>
      <c r="W45" s="704">
        <f t="shared" si="14"/>
        <v>100</v>
      </c>
      <c r="X45" s="1353"/>
      <c r="Y45" s="3651"/>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6"/>
      <c r="Q46" s="1350">
        <f t="shared" si="11"/>
        <v>111</v>
      </c>
      <c r="R46" s="703" t="s">
        <v>17</v>
      </c>
      <c r="S46" s="704">
        <f t="shared" si="12"/>
        <v>100</v>
      </c>
      <c r="T46" s="703" t="s">
        <v>17</v>
      </c>
      <c r="U46" s="704">
        <f t="shared" si="13"/>
        <v>100</v>
      </c>
      <c r="V46" s="703" t="s">
        <v>17</v>
      </c>
      <c r="W46" s="704">
        <f t="shared" si="14"/>
        <v>100</v>
      </c>
      <c r="X46" s="1353"/>
      <c r="Y46" s="3652"/>
      <c r="Z46" s="1354">
        <f t="shared" si="18"/>
        <v>111</v>
      </c>
      <c r="AA46" s="1351">
        <f t="shared" si="15"/>
        <v>1</v>
      </c>
      <c r="AB46" s="1351">
        <f t="shared" si="16"/>
        <v>1</v>
      </c>
      <c r="AC46" s="1351">
        <f t="shared" si="17"/>
        <v>1</v>
      </c>
    </row>
    <row r="47" spans="1:29" ht="14.4">
      <c r="A47" s="430" t="s">
        <v>1708</v>
      </c>
      <c r="B47" s="431"/>
      <c r="C47" s="1152" t="s">
        <v>16</v>
      </c>
      <c r="D47" s="1153"/>
      <c r="E47" s="1154"/>
      <c r="F47" s="1155"/>
      <c r="G47" s="1156"/>
      <c r="H47" s="1157"/>
      <c r="I47" s="1154"/>
      <c r="J47" s="1157"/>
      <c r="K47" s="1912"/>
      <c r="L47" s="2722"/>
      <c r="M47" s="2723"/>
      <c r="N47" s="2714"/>
      <c r="O47" s="2723"/>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 thickBot="1">
      <c r="A49" s="441" t="s">
        <v>1710</v>
      </c>
      <c r="B49" s="442"/>
      <c r="C49" s="1160" t="e">
        <f>R49</f>
        <v>#DIV/0!</v>
      </c>
      <c r="D49" s="1161"/>
      <c r="E49" s="1161"/>
      <c r="F49" s="1161"/>
      <c r="G49" s="1161"/>
      <c r="H49" s="1161"/>
      <c r="I49" s="1161"/>
      <c r="J49" s="1161"/>
      <c r="K49" s="1913"/>
      <c r="L49" s="2722"/>
      <c r="M49" s="2723"/>
      <c r="N49" s="2723"/>
      <c r="O49" s="2723"/>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2" t="s">
        <v>1714</v>
      </c>
      <c r="B57" s="688"/>
      <c r="C57" s="693"/>
      <c r="D57" s="693"/>
      <c r="E57" s="693"/>
      <c r="F57" s="694"/>
      <c r="G57" s="694"/>
      <c r="H57" s="693"/>
      <c r="I57" s="693"/>
      <c r="J57" s="693"/>
      <c r="K57" s="939"/>
      <c r="L57" s="940"/>
      <c r="M57" s="938"/>
      <c r="N57" s="938"/>
      <c r="O57" s="938"/>
      <c r="P57" s="1916"/>
      <c r="Q57" s="453"/>
    </row>
    <row r="58" spans="1:29" s="457" customFormat="1" ht="14.4">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0"/>
      <c r="O61" s="930"/>
      <c r="P61" s="1919"/>
      <c r="Q61" s="453"/>
    </row>
    <row r="62" spans="1:29" s="108" customFormat="1" ht="14.4" thickBot="1">
      <c r="A62" s="470"/>
      <c r="B62" s="459"/>
      <c r="C62" s="460">
        <v>100</v>
      </c>
      <c r="D62" s="461"/>
      <c r="E62" s="461"/>
      <c r="F62" s="461"/>
      <c r="G62" s="461"/>
      <c r="H62" s="461"/>
      <c r="I62" s="461"/>
      <c r="J62" s="461"/>
      <c r="K62" s="461"/>
      <c r="L62" s="461"/>
      <c r="M62" s="463"/>
      <c r="N62" s="930"/>
      <c r="O62" s="930"/>
      <c r="P62" s="1918"/>
      <c r="Q62" s="453"/>
    </row>
    <row r="63" spans="1:29" ht="14.4">
      <c r="A63" s="476" t="s">
        <v>1719</v>
      </c>
      <c r="B63" s="477" t="s">
        <v>1685</v>
      </c>
      <c r="C63" s="478">
        <f>C9</f>
        <v>0</v>
      </c>
      <c r="D63" s="479"/>
      <c r="E63" s="479"/>
      <c r="F63" s="479"/>
      <c r="G63" s="479"/>
      <c r="H63" s="479"/>
      <c r="I63" s="479"/>
      <c r="J63" s="479"/>
      <c r="K63" s="480"/>
      <c r="L63" s="481"/>
      <c r="M63" s="482"/>
      <c r="N63" s="931"/>
      <c r="O63" s="931"/>
      <c r="P63" s="1920"/>
      <c r="Q63" s="453"/>
    </row>
    <row r="64" spans="1:29" ht="14.4" thickBot="1">
      <c r="A64" s="483"/>
      <c r="B64" s="484"/>
      <c r="C64" s="485">
        <v>100</v>
      </c>
      <c r="D64" s="485"/>
      <c r="E64" s="485"/>
      <c r="F64" s="485"/>
      <c r="G64" s="485"/>
      <c r="H64" s="485"/>
      <c r="I64" s="485"/>
      <c r="J64" s="485"/>
      <c r="K64" s="485"/>
      <c r="L64" s="485"/>
      <c r="M64" s="486"/>
      <c r="N64" s="932"/>
      <c r="O64" s="932"/>
      <c r="P64" s="1920"/>
      <c r="Q64" s="453"/>
    </row>
    <row r="65" spans="1:17" ht="29.4" thickTop="1">
      <c r="A65" s="483"/>
      <c r="B65" s="487" t="s">
        <v>1688</v>
      </c>
      <c r="C65" s="532"/>
      <c r="D65" s="532"/>
      <c r="E65" s="532"/>
      <c r="F65" s="532"/>
      <c r="G65" s="532"/>
      <c r="H65" s="532"/>
      <c r="I65" s="532"/>
      <c r="J65" s="532"/>
      <c r="K65" s="532"/>
      <c r="L65" s="532"/>
      <c r="M65" s="532"/>
      <c r="N65" s="932"/>
      <c r="O65" s="932"/>
      <c r="P65" s="1920"/>
      <c r="Q65" s="453"/>
    </row>
    <row r="66" spans="1:17" ht="14.4" thickBot="1">
      <c r="A66" s="483"/>
      <c r="B66" s="492"/>
      <c r="C66" s="485"/>
      <c r="D66" s="485"/>
      <c r="E66" s="485"/>
      <c r="F66" s="485"/>
      <c r="G66" s="485"/>
      <c r="H66" s="485"/>
      <c r="I66" s="485"/>
      <c r="J66" s="485"/>
      <c r="K66" s="485"/>
      <c r="L66" s="485"/>
      <c r="M66" s="486"/>
      <c r="N66" s="932"/>
      <c r="O66" s="932"/>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c r="A68" s="483"/>
      <c r="B68" s="497"/>
      <c r="C68" s="498"/>
      <c r="D68" s="498"/>
      <c r="E68" s="498"/>
      <c r="F68" s="498"/>
      <c r="G68" s="498"/>
      <c r="H68" s="498"/>
      <c r="I68" s="498"/>
      <c r="J68" s="498"/>
      <c r="K68" s="499"/>
      <c r="L68" s="500"/>
      <c r="M68" s="501"/>
      <c r="N68" s="931"/>
      <c r="O68" s="931"/>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4.4" thickTop="1">
      <c r="A70" s="502"/>
      <c r="B70" s="487">
        <f>B12</f>
        <v>111</v>
      </c>
      <c r="C70" s="503"/>
      <c r="D70" s="503"/>
      <c r="E70" s="503"/>
      <c r="F70" s="503"/>
      <c r="G70" s="503"/>
      <c r="H70" s="504"/>
      <c r="I70" s="504"/>
      <c r="J70" s="504"/>
      <c r="K70" s="504"/>
      <c r="L70" s="505"/>
      <c r="M70" s="506"/>
      <c r="N70" s="933"/>
      <c r="O70" s="933"/>
      <c r="P70" s="1921"/>
      <c r="Q70" s="508"/>
    </row>
    <row r="71" spans="1:17" s="422" customFormat="1" ht="14.4" thickBot="1">
      <c r="A71" s="502"/>
      <c r="B71" s="492"/>
      <c r="C71" s="509"/>
      <c r="D71" s="485"/>
      <c r="E71" s="485"/>
      <c r="F71" s="485"/>
      <c r="G71" s="485"/>
      <c r="H71" s="485"/>
      <c r="I71" s="485"/>
      <c r="J71" s="485"/>
      <c r="K71" s="485"/>
      <c r="L71" s="485"/>
      <c r="M71" s="486"/>
      <c r="N71" s="932"/>
      <c r="O71" s="932"/>
      <c r="P71" s="1921"/>
      <c r="Q71" s="508"/>
    </row>
    <row r="72" spans="1:17" s="422" customFormat="1" ht="14.4" thickTop="1">
      <c r="A72" s="502"/>
      <c r="B72" s="487">
        <f>B13</f>
        <v>111</v>
      </c>
      <c r="C72" s="503"/>
      <c r="D72" s="503"/>
      <c r="E72" s="503"/>
      <c r="F72" s="503"/>
      <c r="G72" s="503"/>
      <c r="H72" s="504"/>
      <c r="I72" s="504"/>
      <c r="J72" s="504"/>
      <c r="K72" s="504"/>
      <c r="L72" s="505"/>
      <c r="M72" s="506"/>
      <c r="N72" s="933"/>
      <c r="O72" s="933"/>
      <c r="P72" s="1922"/>
      <c r="Q72" s="510"/>
    </row>
    <row r="73" spans="1:17" s="422" customFormat="1" ht="14.4" thickBot="1">
      <c r="A73" s="502"/>
      <c r="B73" s="492"/>
      <c r="C73" s="509"/>
      <c r="D73" s="509"/>
      <c r="E73" s="509"/>
      <c r="F73" s="509"/>
      <c r="G73" s="509"/>
      <c r="H73" s="511"/>
      <c r="I73" s="511"/>
      <c r="J73" s="511"/>
      <c r="K73" s="511"/>
      <c r="L73" s="511"/>
      <c r="M73" s="512"/>
      <c r="N73" s="933"/>
      <c r="O73" s="933"/>
      <c r="P73" s="1921"/>
      <c r="Q73" s="508"/>
    </row>
    <row r="74" spans="1:17" s="422" customFormat="1" ht="14.4" thickTop="1">
      <c r="A74" s="502"/>
      <c r="B74" s="495">
        <f>B14</f>
        <v>111</v>
      </c>
      <c r="C74" s="503"/>
      <c r="D74" s="503"/>
      <c r="E74" s="503"/>
      <c r="F74" s="503"/>
      <c r="G74" s="472"/>
      <c r="H74" s="513"/>
      <c r="I74" s="513"/>
      <c r="J74" s="513"/>
      <c r="K74" s="513"/>
      <c r="L74" s="514"/>
      <c r="M74" s="515"/>
      <c r="N74" s="933"/>
      <c r="O74" s="933"/>
      <c r="P74" s="1923"/>
      <c r="Q74" s="508"/>
    </row>
    <row r="75" spans="1:17" s="422" customFormat="1" ht="14.4" thickBot="1">
      <c r="A75" s="517"/>
      <c r="B75" s="518"/>
      <c r="C75" s="519"/>
      <c r="D75" s="519"/>
      <c r="E75" s="519"/>
      <c r="F75" s="519"/>
      <c r="G75" s="519"/>
      <c r="H75" s="520"/>
      <c r="I75" s="520"/>
      <c r="J75" s="520"/>
      <c r="K75" s="520"/>
      <c r="L75" s="520"/>
      <c r="M75" s="521"/>
      <c r="N75" s="933"/>
      <c r="O75" s="933"/>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 thickTop="1">
      <c r="A86" s="528"/>
      <c r="B86" s="487" t="s">
        <v>1734</v>
      </c>
      <c r="C86" s="503"/>
      <c r="D86" s="503"/>
      <c r="E86" s="503"/>
      <c r="F86" s="503"/>
      <c r="G86" s="503"/>
      <c r="H86" s="503"/>
      <c r="I86" s="503"/>
      <c r="J86" s="503"/>
      <c r="K86" s="503"/>
      <c r="L86" s="529"/>
      <c r="M86" s="530"/>
      <c r="N86" s="930"/>
      <c r="O86" s="930"/>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 thickTop="1">
      <c r="A88" s="528"/>
      <c r="B88" s="487" t="s">
        <v>1735</v>
      </c>
      <c r="C88" s="503"/>
      <c r="D88" s="503"/>
      <c r="E88" s="503"/>
      <c r="F88" s="1925"/>
      <c r="G88" s="503"/>
      <c r="H88" s="503"/>
      <c r="I88" s="503"/>
      <c r="J88" s="503"/>
      <c r="K88" s="503"/>
      <c r="L88" s="503"/>
      <c r="M88" s="530"/>
      <c r="N88" s="930"/>
      <c r="O88" s="930"/>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4.4" thickTop="1">
      <c r="A90" s="502"/>
      <c r="B90" s="487">
        <f>B27</f>
        <v>111</v>
      </c>
      <c r="C90" s="503"/>
      <c r="D90" s="503"/>
      <c r="E90" s="503"/>
      <c r="F90" s="503"/>
      <c r="G90" s="503"/>
      <c r="H90" s="504"/>
      <c r="I90" s="504"/>
      <c r="J90" s="504"/>
      <c r="K90" s="504"/>
      <c r="L90" s="505"/>
      <c r="M90" s="506"/>
      <c r="N90" s="933"/>
      <c r="O90" s="933"/>
      <c r="P90" s="1921"/>
      <c r="Q90" s="508"/>
    </row>
    <row r="91" spans="1:17" s="422" customFormat="1" ht="14.4" thickBot="1">
      <c r="A91" s="502"/>
      <c r="B91" s="492"/>
      <c r="C91" s="509"/>
      <c r="D91" s="509"/>
      <c r="E91" s="509"/>
      <c r="F91" s="509"/>
      <c r="G91" s="509"/>
      <c r="H91" s="511"/>
      <c r="I91" s="511"/>
      <c r="J91" s="511"/>
      <c r="K91" s="511"/>
      <c r="L91" s="511"/>
      <c r="M91" s="512"/>
      <c r="N91" s="933"/>
      <c r="O91" s="933"/>
      <c r="P91" s="1921"/>
      <c r="Q91" s="508"/>
    </row>
    <row r="92" spans="1:17" ht="14.4" thickTop="1">
      <c r="A92" s="483"/>
      <c r="B92" s="487">
        <f>B28</f>
        <v>111</v>
      </c>
      <c r="C92" s="503"/>
      <c r="D92" s="503"/>
      <c r="E92" s="503"/>
      <c r="F92" s="503"/>
      <c r="G92" s="532"/>
      <c r="H92" s="532"/>
      <c r="I92" s="532"/>
      <c r="J92" s="532"/>
      <c r="K92" s="533"/>
      <c r="L92" s="534"/>
      <c r="M92" s="535"/>
      <c r="N92" s="931"/>
      <c r="O92" s="931"/>
      <c r="P92" s="1920"/>
      <c r="Q92" s="453"/>
    </row>
    <row r="93" spans="1:17" ht="14.4" thickBot="1">
      <c r="A93" s="483"/>
      <c r="B93" s="492"/>
      <c r="C93" s="509"/>
      <c r="D93" s="485"/>
      <c r="E93" s="485"/>
      <c r="F93" s="485"/>
      <c r="G93" s="485"/>
      <c r="H93" s="485"/>
      <c r="I93" s="485"/>
      <c r="J93" s="485"/>
      <c r="K93" s="485"/>
      <c r="L93" s="485"/>
      <c r="M93" s="486"/>
      <c r="N93" s="932"/>
      <c r="O93" s="932"/>
      <c r="P93" s="1920"/>
      <c r="Q93" s="453"/>
    </row>
    <row r="94" spans="1:17" ht="14.4" thickTop="1">
      <c r="A94" s="483"/>
      <c r="B94" s="487">
        <f>B29</f>
        <v>111</v>
      </c>
      <c r="C94" s="503"/>
      <c r="D94" s="503"/>
      <c r="E94" s="503"/>
      <c r="F94" s="503"/>
      <c r="G94" s="532"/>
      <c r="H94" s="532"/>
      <c r="I94" s="532"/>
      <c r="J94" s="532"/>
      <c r="K94" s="533"/>
      <c r="L94" s="534"/>
      <c r="M94" s="535"/>
      <c r="N94" s="931"/>
      <c r="O94" s="931"/>
      <c r="P94" s="1920"/>
      <c r="Q94" s="453"/>
    </row>
    <row r="95" spans="1:17" ht="14.4" thickBot="1">
      <c r="A95" s="483"/>
      <c r="B95" s="492"/>
      <c r="C95" s="509"/>
      <c r="D95" s="509"/>
      <c r="E95" s="509"/>
      <c r="F95" s="509"/>
      <c r="G95" s="485"/>
      <c r="H95" s="485"/>
      <c r="I95" s="485"/>
      <c r="J95" s="485"/>
      <c r="K95" s="485"/>
      <c r="L95" s="485"/>
      <c r="M95" s="486"/>
      <c r="N95" s="932"/>
      <c r="O95" s="932"/>
      <c r="P95" s="1920"/>
      <c r="Q95" s="453"/>
    </row>
    <row r="96" spans="1:17" ht="14.4" thickTop="1">
      <c r="A96" s="483"/>
      <c r="B96" s="487">
        <f>B30</f>
        <v>111</v>
      </c>
      <c r="C96" s="503"/>
      <c r="D96" s="503"/>
      <c r="E96" s="503"/>
      <c r="F96" s="503"/>
      <c r="G96" s="532"/>
      <c r="H96" s="532"/>
      <c r="I96" s="532"/>
      <c r="J96" s="532"/>
      <c r="K96" s="533"/>
      <c r="L96" s="534"/>
      <c r="M96" s="535"/>
      <c r="N96" s="931"/>
      <c r="O96" s="931"/>
      <c r="P96" s="1920"/>
      <c r="Q96" s="453"/>
    </row>
    <row r="97" spans="1:17" ht="14.4" thickBot="1">
      <c r="A97" s="483"/>
      <c r="B97" s="492"/>
      <c r="C97" s="519"/>
      <c r="D97" s="519"/>
      <c r="E97" s="519"/>
      <c r="F97" s="519"/>
      <c r="G97" s="485"/>
      <c r="H97" s="485"/>
      <c r="I97" s="485"/>
      <c r="J97" s="485"/>
      <c r="K97" s="485"/>
      <c r="L97" s="485"/>
      <c r="M97" s="486"/>
      <c r="N97" s="932"/>
      <c r="O97" s="932"/>
      <c r="P97" s="1920"/>
      <c r="Q97" s="453"/>
    </row>
    <row r="98" spans="1:17" ht="14.4" thickTop="1">
      <c r="A98" s="483"/>
      <c r="B98" s="495">
        <f>B31</f>
        <v>111</v>
      </c>
      <c r="C98" s="536"/>
      <c r="D98" s="536"/>
      <c r="E98" s="536"/>
      <c r="F98" s="536"/>
      <c r="G98" s="536"/>
      <c r="H98" s="536"/>
      <c r="I98" s="536"/>
      <c r="J98" s="536"/>
      <c r="K98" s="537"/>
      <c r="L98" s="538"/>
      <c r="M98" s="539"/>
      <c r="N98" s="931"/>
      <c r="O98" s="931"/>
      <c r="P98" s="1920"/>
      <c r="Q98" s="453"/>
    </row>
    <row r="99" spans="1:17" ht="14.4" thickBot="1">
      <c r="A99" s="1926"/>
      <c r="B99" s="518"/>
      <c r="C99" s="540"/>
      <c r="D99" s="540"/>
      <c r="E99" s="540"/>
      <c r="F99" s="540"/>
      <c r="G99" s="540"/>
      <c r="H99" s="540"/>
      <c r="I99" s="540"/>
      <c r="J99" s="540"/>
      <c r="K99" s="540"/>
      <c r="L99" s="540"/>
      <c r="M99" s="541"/>
      <c r="N99" s="932"/>
      <c r="O99" s="932"/>
      <c r="P99" s="1920"/>
      <c r="Q99" s="453"/>
    </row>
    <row r="100" spans="1:17" ht="14.4">
      <c r="A100" s="476" t="s">
        <v>1694</v>
      </c>
      <c r="B100" s="477" t="s">
        <v>1736</v>
      </c>
      <c r="C100" s="479"/>
      <c r="D100" s="479"/>
      <c r="E100" s="479"/>
      <c r="F100" s="479"/>
      <c r="G100" s="479"/>
      <c r="H100" s="479"/>
      <c r="I100" s="479"/>
      <c r="J100" s="479"/>
      <c r="K100" s="480"/>
      <c r="L100" s="481"/>
      <c r="M100" s="482"/>
      <c r="N100" s="931"/>
      <c r="O100" s="931"/>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4.4"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9.4"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4.4"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4.4" thickBot="1">
      <c r="A127" s="502"/>
      <c r="B127" s="492"/>
      <c r="C127" s="509"/>
      <c r="D127" s="485"/>
      <c r="E127" s="485"/>
      <c r="F127" s="485"/>
      <c r="G127" s="509"/>
      <c r="H127" s="511"/>
      <c r="I127" s="511"/>
      <c r="J127" s="511"/>
      <c r="K127" s="511"/>
      <c r="L127" s="511"/>
      <c r="M127" s="512"/>
      <c r="N127" s="933"/>
      <c r="O127" s="933"/>
      <c r="P127" s="1921"/>
      <c r="Q127" s="508"/>
    </row>
    <row r="128" spans="1:17" ht="14.4" thickTop="1">
      <c r="A128" s="548"/>
      <c r="B128" s="487">
        <f>B45</f>
        <v>111</v>
      </c>
      <c r="C128" s="503"/>
      <c r="D128" s="503"/>
      <c r="E128" s="503"/>
      <c r="F128" s="503"/>
      <c r="G128" s="532"/>
      <c r="H128" s="532"/>
      <c r="I128" s="532"/>
      <c r="J128" s="532"/>
      <c r="K128" s="533"/>
      <c r="L128" s="534"/>
      <c r="M128" s="535"/>
      <c r="N128" s="931"/>
      <c r="O128" s="931"/>
      <c r="P128" s="1920"/>
      <c r="Q128" s="453"/>
    </row>
    <row r="129" spans="1:17" ht="14.4" thickBot="1">
      <c r="A129" s="483"/>
      <c r="B129" s="492"/>
      <c r="C129" s="509"/>
      <c r="D129" s="509"/>
      <c r="E129" s="509"/>
      <c r="F129" s="509"/>
      <c r="G129" s="485"/>
      <c r="H129" s="485"/>
      <c r="I129" s="485"/>
      <c r="J129" s="485"/>
      <c r="K129" s="485"/>
      <c r="L129" s="485"/>
      <c r="M129" s="486"/>
      <c r="N129" s="932"/>
      <c r="O129" s="932"/>
      <c r="P129" s="1920"/>
      <c r="Q129" s="453"/>
    </row>
    <row r="130" spans="1:17" ht="14.4" thickTop="1">
      <c r="A130" s="548"/>
      <c r="B130" s="495">
        <f>B46</f>
        <v>111</v>
      </c>
      <c r="C130" s="503"/>
      <c r="D130" s="503"/>
      <c r="E130" s="503"/>
      <c r="F130" s="503"/>
      <c r="G130" s="536"/>
      <c r="H130" s="536"/>
      <c r="I130" s="536"/>
      <c r="J130" s="536"/>
      <c r="K130" s="472"/>
      <c r="L130" s="473"/>
      <c r="M130" s="539"/>
      <c r="N130" s="931"/>
      <c r="O130" s="931"/>
      <c r="P130" s="1920"/>
      <c r="Q130" s="453"/>
    </row>
    <row r="131" spans="1:17" ht="14.4"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78042.850000000006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4.4">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72" t="s">
        <v>1772</v>
      </c>
      <c r="AC4" s="3653" t="s">
        <v>1773</v>
      </c>
    </row>
    <row r="5" spans="1:29">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72"/>
      <c r="AC5" s="3654"/>
    </row>
    <row r="6" spans="1:29" ht="1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72"/>
      <c r="AC6" s="3655"/>
    </row>
    <row r="7" spans="1:29" s="108" customFormat="1" ht="1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9"/>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9"/>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9"/>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9"/>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7" t="s">
        <v>1691</v>
      </c>
      <c r="Q15" s="1350" t="str">
        <f t="shared" si="6"/>
        <v>商业繁华度</v>
      </c>
      <c r="R15" s="703" t="s">
        <v>14</v>
      </c>
      <c r="S15" s="704">
        <f t="shared" si="0"/>
        <v>100</v>
      </c>
      <c r="T15" s="703" t="s">
        <v>14</v>
      </c>
      <c r="U15" s="704">
        <f t="shared" si="1"/>
        <v>100</v>
      </c>
      <c r="V15" s="703" t="s">
        <v>14</v>
      </c>
      <c r="W15" s="704">
        <f t="shared" si="2"/>
        <v>100</v>
      </c>
      <c r="X15" s="1353"/>
      <c r="Y15" s="364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8"/>
      <c r="Q16" s="1350"/>
      <c r="R16" s="703"/>
      <c r="S16" s="704"/>
      <c r="T16" s="703"/>
      <c r="U16" s="704"/>
      <c r="V16" s="703"/>
      <c r="W16" s="704"/>
      <c r="X16" s="1353"/>
      <c r="Y16" s="3649"/>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8"/>
      <c r="Q18" s="1350"/>
      <c r="R18" s="703"/>
      <c r="S18" s="704"/>
      <c r="T18" s="703"/>
      <c r="U18" s="704"/>
      <c r="V18" s="703"/>
      <c r="W18" s="704"/>
      <c r="X18" s="1353"/>
      <c r="Y18" s="3649"/>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8"/>
      <c r="Q20" s="1350"/>
      <c r="R20" s="703"/>
      <c r="S20" s="704"/>
      <c r="T20" s="703"/>
      <c r="U20" s="704"/>
      <c r="V20" s="703"/>
      <c r="W20" s="704"/>
      <c r="X20" s="1353"/>
      <c r="Y20" s="3649"/>
      <c r="Z20" s="1354"/>
      <c r="AA20" s="1351">
        <v>1</v>
      </c>
      <c r="AB20" s="1351">
        <v>1</v>
      </c>
      <c r="AC20" s="1351">
        <v>1</v>
      </c>
    </row>
    <row r="21" spans="1:29" ht="27.6">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8"/>
      <c r="Q22" s="1350"/>
      <c r="R22" s="703"/>
      <c r="S22" s="704"/>
      <c r="T22" s="703"/>
      <c r="U22" s="704"/>
      <c r="V22" s="703"/>
      <c r="W22" s="704"/>
      <c r="X22" s="1353"/>
      <c r="Y22" s="3649"/>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8"/>
      <c r="Q23" s="1350" t="str">
        <f>B23</f>
        <v>自然及人文环境</v>
      </c>
      <c r="R23" s="703" t="s">
        <v>14</v>
      </c>
      <c r="S23" s="704">
        <f>F23</f>
        <v>100</v>
      </c>
      <c r="T23" s="703" t="s">
        <v>14</v>
      </c>
      <c r="U23" s="704">
        <f>H23</f>
        <v>100</v>
      </c>
      <c r="V23" s="703" t="s">
        <v>14</v>
      </c>
      <c r="W23" s="704">
        <f>J23</f>
        <v>100</v>
      </c>
      <c r="X23" s="1353"/>
      <c r="Y23" s="364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8"/>
      <c r="Q24" s="1350"/>
      <c r="R24" s="703"/>
      <c r="S24" s="704"/>
      <c r="T24" s="703"/>
      <c r="U24" s="704"/>
      <c r="V24" s="703"/>
      <c r="W24" s="704"/>
      <c r="X24" s="1353"/>
      <c r="Y24" s="364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8"/>
      <c r="Q25" s="1350" t="str">
        <f t="shared" ref="Q25:Q46" si="11">B25</f>
        <v>临街状况</v>
      </c>
      <c r="R25" s="703" t="s">
        <v>14</v>
      </c>
      <c r="S25" s="704">
        <f>F25</f>
        <v>100</v>
      </c>
      <c r="T25" s="703" t="s">
        <v>14</v>
      </c>
      <c r="U25" s="704">
        <f>H25</f>
        <v>100</v>
      </c>
      <c r="V25" s="703" t="s">
        <v>14</v>
      </c>
      <c r="W25" s="704">
        <f>J25</f>
        <v>100</v>
      </c>
      <c r="X25" s="1353"/>
      <c r="Y25" s="364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8"/>
      <c r="Q26" s="1350" t="str">
        <f t="shared" si="11"/>
        <v>平面位置/可视性</v>
      </c>
      <c r="R26" s="703" t="s">
        <v>14</v>
      </c>
      <c r="S26" s="704">
        <f>F26</f>
        <v>100</v>
      </c>
      <c r="T26" s="703" t="s">
        <v>14</v>
      </c>
      <c r="U26" s="704">
        <f>H26</f>
        <v>100</v>
      </c>
      <c r="V26" s="703" t="s">
        <v>14</v>
      </c>
      <c r="W26" s="704">
        <f>J26</f>
        <v>100</v>
      </c>
      <c r="X26" s="1353"/>
      <c r="Y26" s="364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8"/>
      <c r="Q27" s="1341" t="str">
        <f t="shared" si="11"/>
        <v>人流量</v>
      </c>
      <c r="R27" s="699" t="s">
        <v>14</v>
      </c>
      <c r="S27" s="700">
        <f>F27</f>
        <v>100</v>
      </c>
      <c r="T27" s="699" t="s">
        <v>14</v>
      </c>
      <c r="U27" s="700">
        <f>H27</f>
        <v>100</v>
      </c>
      <c r="V27" s="699" t="s">
        <v>14</v>
      </c>
      <c r="W27" s="700">
        <f>J27</f>
        <v>100</v>
      </c>
      <c r="X27" s="701"/>
      <c r="Y27" s="364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4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8"/>
      <c r="Q29" s="1350">
        <f t="shared" si="11"/>
        <v>111</v>
      </c>
      <c r="R29" s="703" t="s">
        <v>14</v>
      </c>
      <c r="S29" s="704">
        <f t="shared" si="12"/>
        <v>100</v>
      </c>
      <c r="T29" s="703" t="s">
        <v>14</v>
      </c>
      <c r="U29" s="704">
        <f t="shared" si="13"/>
        <v>100</v>
      </c>
      <c r="V29" s="703" t="s">
        <v>14</v>
      </c>
      <c r="W29" s="704">
        <f t="shared" si="14"/>
        <v>100</v>
      </c>
      <c r="X29" s="1353"/>
      <c r="Y29" s="364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351">
        <f t="shared" si="5"/>
        <v>1</v>
      </c>
    </row>
    <row r="31" spans="1:29" ht="15.6"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4" t="s">
        <v>1696</v>
      </c>
      <c r="Q32" s="1350" t="str">
        <f t="shared" si="11"/>
        <v>商业类型</v>
      </c>
      <c r="R32" s="703" t="s">
        <v>14</v>
      </c>
      <c r="S32" s="704">
        <f t="shared" si="12"/>
        <v>100</v>
      </c>
      <c r="T32" s="703" t="s">
        <v>14</v>
      </c>
      <c r="U32" s="704">
        <f t="shared" si="13"/>
        <v>100</v>
      </c>
      <c r="V32" s="703" t="s">
        <v>14</v>
      </c>
      <c r="W32" s="704">
        <f t="shared" si="14"/>
        <v>100</v>
      </c>
      <c r="X32" s="1353"/>
      <c r="Y32" s="3651"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5"/>
      <c r="Q33" s="705" t="str">
        <f t="shared" si="11"/>
        <v>项目建筑规模</v>
      </c>
      <c r="R33" s="706" t="s">
        <v>14</v>
      </c>
      <c r="S33" s="707" t="e">
        <f t="shared" si="12"/>
        <v>#N/A</v>
      </c>
      <c r="T33" s="706" t="s">
        <v>14</v>
      </c>
      <c r="U33" s="707" t="e">
        <f t="shared" si="13"/>
        <v>#N/A</v>
      </c>
      <c r="V33" s="706" t="s">
        <v>14</v>
      </c>
      <c r="W33" s="707" t="e">
        <f t="shared" si="14"/>
        <v>#N/A</v>
      </c>
      <c r="X33" s="708"/>
      <c r="Y33" s="3651"/>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5"/>
      <c r="Q34" s="1350" t="str">
        <f t="shared" si="11"/>
        <v>建筑结构</v>
      </c>
      <c r="R34" s="703" t="s">
        <v>14</v>
      </c>
      <c r="S34" s="704">
        <f t="shared" si="12"/>
        <v>100</v>
      </c>
      <c r="T34" s="703" t="s">
        <v>14</v>
      </c>
      <c r="U34" s="704">
        <f t="shared" si="13"/>
        <v>100</v>
      </c>
      <c r="V34" s="703" t="s">
        <v>14</v>
      </c>
      <c r="W34" s="704">
        <f t="shared" si="14"/>
        <v>100</v>
      </c>
      <c r="X34" s="1353"/>
      <c r="Y34" s="3651"/>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5"/>
      <c r="Q35" s="1350" t="str">
        <f t="shared" si="11"/>
        <v>公共部分装修</v>
      </c>
      <c r="R35" s="703" t="s">
        <v>14</v>
      </c>
      <c r="S35" s="704">
        <f t="shared" si="12"/>
        <v>100</v>
      </c>
      <c r="T35" s="703" t="s">
        <v>14</v>
      </c>
      <c r="U35" s="704">
        <f t="shared" si="13"/>
        <v>100</v>
      </c>
      <c r="V35" s="703" t="s">
        <v>14</v>
      </c>
      <c r="W35" s="704">
        <f t="shared" si="14"/>
        <v>100</v>
      </c>
      <c r="X35" s="1353"/>
      <c r="Y35" s="3651"/>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5"/>
      <c r="Q36" s="1350" t="str">
        <f t="shared" si="11"/>
        <v>成新度</v>
      </c>
      <c r="R36" s="703" t="s">
        <v>14</v>
      </c>
      <c r="S36" s="704" t="e">
        <f t="shared" si="12"/>
        <v>#N/A</v>
      </c>
      <c r="T36" s="703" t="s">
        <v>14</v>
      </c>
      <c r="U36" s="704" t="e">
        <f t="shared" si="13"/>
        <v>#N/A</v>
      </c>
      <c r="V36" s="703" t="s">
        <v>14</v>
      </c>
      <c r="W36" s="704" t="e">
        <f t="shared" si="14"/>
        <v>#N/A</v>
      </c>
      <c r="X36" s="1353"/>
      <c r="Y36" s="3651"/>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5"/>
      <c r="Q37" s="1341" t="str">
        <f t="shared" si="11"/>
        <v>市政基础设施</v>
      </c>
      <c r="R37" s="699" t="s">
        <v>14</v>
      </c>
      <c r="S37" s="700">
        <f t="shared" si="12"/>
        <v>100</v>
      </c>
      <c r="T37" s="699" t="s">
        <v>14</v>
      </c>
      <c r="U37" s="700">
        <f t="shared" si="13"/>
        <v>100</v>
      </c>
      <c r="V37" s="699" t="s">
        <v>14</v>
      </c>
      <c r="W37" s="700">
        <f t="shared" si="14"/>
        <v>100</v>
      </c>
      <c r="X37" s="701"/>
      <c r="Y37" s="3651"/>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5" t="s">
        <v>1696</v>
      </c>
      <c r="Q38" s="1350" t="str">
        <f t="shared" si="11"/>
        <v>业态</v>
      </c>
      <c r="R38" s="703" t="s">
        <v>14</v>
      </c>
      <c r="S38" s="704">
        <f t="shared" si="12"/>
        <v>100</v>
      </c>
      <c r="T38" s="703" t="s">
        <v>14</v>
      </c>
      <c r="U38" s="704">
        <f t="shared" si="13"/>
        <v>100</v>
      </c>
      <c r="V38" s="703" t="s">
        <v>14</v>
      </c>
      <c r="W38" s="704">
        <f t="shared" si="14"/>
        <v>100</v>
      </c>
      <c r="X38" s="1353"/>
      <c r="Y38" s="3651"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5"/>
      <c r="Q39" s="1350" t="str">
        <f t="shared" si="11"/>
        <v>层高</v>
      </c>
      <c r="R39" s="703" t="s">
        <v>14</v>
      </c>
      <c r="S39" s="704">
        <f t="shared" si="12"/>
        <v>100</v>
      </c>
      <c r="T39" s="703" t="s">
        <v>14</v>
      </c>
      <c r="U39" s="704">
        <f t="shared" si="13"/>
        <v>100</v>
      </c>
      <c r="V39" s="703" t="s">
        <v>14</v>
      </c>
      <c r="W39" s="704">
        <f t="shared" si="14"/>
        <v>100</v>
      </c>
      <c r="X39" s="1353"/>
      <c r="Y39" s="3651"/>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5"/>
      <c r="Q40" s="1350" t="str">
        <f t="shared" si="11"/>
        <v>单套建筑面积</v>
      </c>
      <c r="R40" s="703" t="s">
        <v>14</v>
      </c>
      <c r="S40" s="704">
        <f t="shared" si="12"/>
        <v>100</v>
      </c>
      <c r="T40" s="703" t="s">
        <v>14</v>
      </c>
      <c r="U40" s="704">
        <f t="shared" si="13"/>
        <v>100</v>
      </c>
      <c r="V40" s="703" t="s">
        <v>14</v>
      </c>
      <c r="W40" s="704">
        <f t="shared" si="14"/>
        <v>100</v>
      </c>
      <c r="X40" s="1353"/>
      <c r="Y40" s="365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5"/>
      <c r="Q41" s="705" t="str">
        <f t="shared" si="11"/>
        <v>进深比</v>
      </c>
      <c r="R41" s="706" t="s">
        <v>14</v>
      </c>
      <c r="S41" s="707">
        <f t="shared" si="12"/>
        <v>100</v>
      </c>
      <c r="T41" s="706" t="s">
        <v>14</v>
      </c>
      <c r="U41" s="707">
        <f t="shared" si="13"/>
        <v>100</v>
      </c>
      <c r="V41" s="706" t="s">
        <v>14</v>
      </c>
      <c r="W41" s="707">
        <f t="shared" si="14"/>
        <v>100</v>
      </c>
      <c r="X41" s="708"/>
      <c r="Y41" s="3651"/>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5"/>
      <c r="Q42" s="1350" t="str">
        <f t="shared" si="11"/>
        <v>内部装修</v>
      </c>
      <c r="R42" s="703" t="s">
        <v>14</v>
      </c>
      <c r="S42" s="704">
        <f t="shared" si="12"/>
        <v>100</v>
      </c>
      <c r="T42" s="703" t="s">
        <v>14</v>
      </c>
      <c r="U42" s="704">
        <f t="shared" si="13"/>
        <v>100</v>
      </c>
      <c r="V42" s="703" t="s">
        <v>14</v>
      </c>
      <c r="W42" s="704">
        <f t="shared" si="14"/>
        <v>100</v>
      </c>
      <c r="X42" s="1353"/>
      <c r="Y42" s="3651"/>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5"/>
      <c r="Q43" s="1350" t="str">
        <f t="shared" si="11"/>
        <v>内部装修维护情况</v>
      </c>
      <c r="R43" s="703" t="s">
        <v>14</v>
      </c>
      <c r="S43" s="704">
        <f t="shared" si="12"/>
        <v>100</v>
      </c>
      <c r="T43" s="703" t="s">
        <v>14</v>
      </c>
      <c r="U43" s="704">
        <f t="shared" si="13"/>
        <v>100</v>
      </c>
      <c r="V43" s="703" t="s">
        <v>14</v>
      </c>
      <c r="W43" s="704">
        <f t="shared" si="14"/>
        <v>100</v>
      </c>
      <c r="X43" s="1353"/>
      <c r="Y43" s="365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5"/>
      <c r="Q44" s="1341">
        <f t="shared" si="11"/>
        <v>111</v>
      </c>
      <c r="R44" s="699" t="s">
        <v>14</v>
      </c>
      <c r="S44" s="700">
        <f t="shared" si="12"/>
        <v>100</v>
      </c>
      <c r="T44" s="699" t="s">
        <v>14</v>
      </c>
      <c r="U44" s="700">
        <f t="shared" si="13"/>
        <v>100</v>
      </c>
      <c r="V44" s="699" t="s">
        <v>14</v>
      </c>
      <c r="W44" s="700">
        <f t="shared" si="14"/>
        <v>100</v>
      </c>
      <c r="X44" s="701"/>
      <c r="Y44" s="365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5"/>
      <c r="Q45" s="1350">
        <f t="shared" si="11"/>
        <v>111</v>
      </c>
      <c r="R45" s="703" t="s">
        <v>14</v>
      </c>
      <c r="S45" s="704">
        <f t="shared" si="12"/>
        <v>100</v>
      </c>
      <c r="T45" s="703" t="s">
        <v>14</v>
      </c>
      <c r="U45" s="704">
        <f t="shared" si="13"/>
        <v>100</v>
      </c>
      <c r="V45" s="703" t="s">
        <v>14</v>
      </c>
      <c r="W45" s="704">
        <f t="shared" si="14"/>
        <v>100</v>
      </c>
      <c r="X45" s="1353"/>
      <c r="Y45" s="3651"/>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6"/>
      <c r="Q46" s="1350">
        <f t="shared" si="11"/>
        <v>111</v>
      </c>
      <c r="R46" s="703" t="s">
        <v>14</v>
      </c>
      <c r="S46" s="704">
        <f t="shared" si="12"/>
        <v>100</v>
      </c>
      <c r="T46" s="703" t="s">
        <v>14</v>
      </c>
      <c r="U46" s="704">
        <f t="shared" si="13"/>
        <v>100</v>
      </c>
      <c r="V46" s="703" t="s">
        <v>14</v>
      </c>
      <c r="W46" s="704">
        <f t="shared" si="14"/>
        <v>100</v>
      </c>
      <c r="X46" s="1353"/>
      <c r="Y46" s="3652"/>
      <c r="Z46" s="1354">
        <f t="shared" si="15"/>
        <v>111</v>
      </c>
      <c r="AA46" s="1351">
        <f t="shared" si="3"/>
        <v>1</v>
      </c>
      <c r="AB46" s="1351">
        <f t="shared" si="4"/>
        <v>1</v>
      </c>
      <c r="AC46" s="1351">
        <f t="shared" si="5"/>
        <v>1</v>
      </c>
    </row>
    <row r="47" spans="1:29" ht="14.4">
      <c r="A47" s="430" t="s">
        <v>1708</v>
      </c>
      <c r="B47" s="431"/>
      <c r="C47" s="1152" t="s">
        <v>0</v>
      </c>
      <c r="D47" s="1153"/>
      <c r="E47" s="1154"/>
      <c r="F47" s="1155"/>
      <c r="G47" s="1156"/>
      <c r="H47" s="1157"/>
      <c r="I47" s="1154"/>
      <c r="J47" s="1157"/>
      <c r="K47" s="712"/>
      <c r="L47" s="2722"/>
      <c r="M47" s="2723"/>
      <c r="N47" s="2714"/>
      <c r="O47" s="2723"/>
      <c r="P47" s="3643" t="str">
        <f>A47</f>
        <v>成交单价（元/平方米）</v>
      </c>
      <c r="Q47" s="3643"/>
      <c r="R47" s="3672">
        <f>E47</f>
        <v>0</v>
      </c>
      <c r="S47" s="3672"/>
      <c r="T47" s="3672">
        <f>G47</f>
        <v>0</v>
      </c>
      <c r="U47" s="3672"/>
      <c r="V47" s="3672">
        <f>I47</f>
        <v>0</v>
      </c>
      <c r="W47" s="3672"/>
      <c r="X47" s="688"/>
      <c r="Y47" s="710"/>
      <c r="Z47" s="688"/>
      <c r="AA47" s="688"/>
      <c r="AB47" s="688"/>
      <c r="AC47" s="688"/>
    </row>
    <row r="48" spans="1:29" ht="1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 thickBot="1">
      <c r="A49" s="441" t="s">
        <v>1794</v>
      </c>
      <c r="B49" s="442"/>
      <c r="C49" s="1161" t="e">
        <f>R49</f>
        <v>#DIV/0!</v>
      </c>
      <c r="D49" s="1161"/>
      <c r="E49" s="1161"/>
      <c r="F49" s="1161"/>
      <c r="G49" s="1161"/>
      <c r="H49" s="1161"/>
      <c r="I49" s="1161"/>
      <c r="J49" s="1161"/>
      <c r="K49" s="713"/>
      <c r="L49" s="2722"/>
      <c r="M49" s="2723"/>
      <c r="N49" s="2714"/>
      <c r="O49" s="2723"/>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4.4">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78042.850000000006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4.4">
      <c r="A4" s="355" t="s">
        <v>1769</v>
      </c>
      <c r="B4" s="356"/>
      <c r="C4" s="3656" t="s">
        <v>1770</v>
      </c>
      <c r="D4" s="3657"/>
      <c r="E4" s="3658" t="s">
        <v>1771</v>
      </c>
      <c r="F4" s="3659"/>
      <c r="G4" s="3656" t="s">
        <v>1772</v>
      </c>
      <c r="H4" s="3657"/>
      <c r="I4" s="3656" t="s">
        <v>1773</v>
      </c>
      <c r="J4" s="3657"/>
      <c r="K4" s="559" t="s">
        <v>1774</v>
      </c>
      <c r="L4" s="2713"/>
      <c r="M4" s="2714"/>
      <c r="N4" s="2714"/>
      <c r="O4" s="2714"/>
      <c r="P4" s="3748" t="s">
        <v>1775</v>
      </c>
      <c r="Q4" s="3749"/>
      <c r="R4" s="3752" t="s">
        <v>1771</v>
      </c>
      <c r="S4" s="3753"/>
      <c r="T4" s="3752" t="s">
        <v>1772</v>
      </c>
      <c r="U4" s="3753"/>
      <c r="V4" s="3754" t="s">
        <v>1773</v>
      </c>
      <c r="W4" s="3754"/>
      <c r="X4" s="1956"/>
      <c r="Y4" s="3752" t="s">
        <v>1775</v>
      </c>
      <c r="Z4" s="3753"/>
      <c r="AA4" s="3756" t="s">
        <v>1771</v>
      </c>
      <c r="AB4" s="3756" t="s">
        <v>1772</v>
      </c>
      <c r="AC4" s="3745" t="s">
        <v>1773</v>
      </c>
    </row>
    <row r="5" spans="1:29">
      <c r="A5" s="358"/>
      <c r="B5" s="359"/>
      <c r="C5" s="3680" t="s">
        <v>1673</v>
      </c>
      <c r="D5" s="3676"/>
      <c r="E5" s="3740" t="s">
        <v>1674</v>
      </c>
      <c r="F5" s="3741"/>
      <c r="G5" s="3680" t="s">
        <v>1675</v>
      </c>
      <c r="H5" s="3676"/>
      <c r="I5" s="3680" t="s">
        <v>1676</v>
      </c>
      <c r="J5" s="3676"/>
      <c r="K5" s="559"/>
      <c r="L5" s="2713"/>
      <c r="M5" s="2714"/>
      <c r="N5" s="2714"/>
      <c r="O5" s="2714"/>
      <c r="P5" s="3750"/>
      <c r="Q5" s="3663"/>
      <c r="R5" s="3668"/>
      <c r="S5" s="3669"/>
      <c r="T5" s="3668"/>
      <c r="U5" s="3669"/>
      <c r="V5" s="3672"/>
      <c r="W5" s="3672"/>
      <c r="X5" s="1353"/>
      <c r="Y5" s="3668"/>
      <c r="Z5" s="3669"/>
      <c r="AA5" s="3654"/>
      <c r="AB5" s="3654"/>
      <c r="AC5" s="3746"/>
    </row>
    <row r="6" spans="1:29" ht="15" thickBot="1">
      <c r="A6" s="360"/>
      <c r="B6" s="361"/>
      <c r="C6" s="3673" t="s">
        <v>1677</v>
      </c>
      <c r="D6" s="3674"/>
      <c r="E6" s="3681" t="s">
        <v>1677</v>
      </c>
      <c r="F6" s="3682"/>
      <c r="G6" s="3673" t="s">
        <v>1677</v>
      </c>
      <c r="H6" s="3674"/>
      <c r="I6" s="3673" t="s">
        <v>1677</v>
      </c>
      <c r="J6" s="3674"/>
      <c r="K6" s="559" t="s">
        <v>1678</v>
      </c>
      <c r="L6" s="2713"/>
      <c r="M6" s="2714"/>
      <c r="N6" s="2714"/>
      <c r="O6" s="2714"/>
      <c r="P6" s="3751"/>
      <c r="Q6" s="3665"/>
      <c r="R6" s="3668"/>
      <c r="S6" s="3669"/>
      <c r="T6" s="3670"/>
      <c r="U6" s="3671"/>
      <c r="V6" s="3672"/>
      <c r="W6" s="3672"/>
      <c r="X6" s="1353"/>
      <c r="Y6" s="3670"/>
      <c r="Z6" s="3671"/>
      <c r="AA6" s="3655"/>
      <c r="AB6" s="3655"/>
      <c r="AC6" s="3747"/>
    </row>
    <row r="7" spans="1:29" s="108" customFormat="1" ht="1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1683</v>
      </c>
      <c r="Q8" s="3678"/>
      <c r="R8" s="699" t="s">
        <v>14</v>
      </c>
      <c r="S8" s="700">
        <f t="shared" si="0"/>
        <v>100</v>
      </c>
      <c r="T8" s="699" t="s">
        <v>14</v>
      </c>
      <c r="U8" s="700">
        <f t="shared" si="1"/>
        <v>100</v>
      </c>
      <c r="V8" s="699" t="s">
        <v>14</v>
      </c>
      <c r="W8" s="700">
        <f t="shared" si="2"/>
        <v>100</v>
      </c>
      <c r="X8" s="701"/>
      <c r="Y8" s="3677" t="s">
        <v>1683</v>
      </c>
      <c r="Z8" s="3678"/>
      <c r="AA8" s="702">
        <f t="shared" ref="AA8:AA47" si="3">D8/F8</f>
        <v>1</v>
      </c>
      <c r="AB8" s="702">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9"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9"/>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9"/>
      <c r="Q11" s="1341" t="str">
        <f t="shared" si="6"/>
        <v>容积率</v>
      </c>
      <c r="R11" s="699" t="s">
        <v>14</v>
      </c>
      <c r="S11" s="700">
        <f t="shared" si="0"/>
        <v>100</v>
      </c>
      <c r="T11" s="699" t="s">
        <v>14</v>
      </c>
      <c r="U11" s="700">
        <f t="shared" si="1"/>
        <v>100</v>
      </c>
      <c r="V11" s="699" t="s">
        <v>14</v>
      </c>
      <c r="W11" s="700">
        <f t="shared" si="2"/>
        <v>100</v>
      </c>
      <c r="X11" s="701"/>
      <c r="Y11" s="3547"/>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39"/>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39"/>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39"/>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7" t="s">
        <v>1691</v>
      </c>
      <c r="Q15" s="1350" t="str">
        <f t="shared" si="6"/>
        <v>办公集聚程度</v>
      </c>
      <c r="R15" s="703" t="s">
        <v>14</v>
      </c>
      <c r="S15" s="704">
        <f t="shared" si="0"/>
        <v>100</v>
      </c>
      <c r="T15" s="703" t="s">
        <v>14</v>
      </c>
      <c r="U15" s="704">
        <f t="shared" si="1"/>
        <v>100</v>
      </c>
      <c r="V15" s="703" t="s">
        <v>14</v>
      </c>
      <c r="W15" s="704">
        <f t="shared" si="2"/>
        <v>100</v>
      </c>
      <c r="X15" s="1353"/>
      <c r="Y15" s="364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38"/>
      <c r="Q16" s="1350"/>
      <c r="R16" s="703"/>
      <c r="S16" s="704"/>
      <c r="T16" s="703"/>
      <c r="U16" s="704"/>
      <c r="V16" s="703"/>
      <c r="W16" s="704"/>
      <c r="X16" s="1353"/>
      <c r="Y16" s="3649"/>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8"/>
      <c r="Q18" s="1350"/>
      <c r="R18" s="703"/>
      <c r="S18" s="704"/>
      <c r="T18" s="703"/>
      <c r="U18" s="704"/>
      <c r="V18" s="703"/>
      <c r="W18" s="704"/>
      <c r="X18" s="1353"/>
      <c r="Y18" s="3649"/>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64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8"/>
      <c r="Q20" s="1350"/>
      <c r="R20" s="703"/>
      <c r="S20" s="704"/>
      <c r="T20" s="703"/>
      <c r="U20" s="704"/>
      <c r="V20" s="703"/>
      <c r="W20" s="704"/>
      <c r="X20" s="1353"/>
      <c r="Y20" s="3649"/>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64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38"/>
      <c r="Q22" s="1350"/>
      <c r="R22" s="703"/>
      <c r="S22" s="704"/>
      <c r="T22" s="703"/>
      <c r="U22" s="704"/>
      <c r="V22" s="703"/>
      <c r="W22" s="704"/>
      <c r="X22" s="1353"/>
      <c r="Y22" s="3649"/>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8"/>
      <c r="Q23" s="1350" t="str">
        <f>B23</f>
        <v>环境质量</v>
      </c>
      <c r="R23" s="703" t="s">
        <v>14</v>
      </c>
      <c r="S23" s="704">
        <f>F23</f>
        <v>100</v>
      </c>
      <c r="T23" s="703" t="s">
        <v>14</v>
      </c>
      <c r="U23" s="704">
        <f>H23</f>
        <v>100</v>
      </c>
      <c r="V23" s="703" t="s">
        <v>14</v>
      </c>
      <c r="W23" s="704">
        <f>J23</f>
        <v>100</v>
      </c>
      <c r="X23" s="1353"/>
      <c r="Y23" s="364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8"/>
      <c r="Q24" s="1350"/>
      <c r="R24" s="703"/>
      <c r="S24" s="704"/>
      <c r="T24" s="703"/>
      <c r="U24" s="704"/>
      <c r="V24" s="703"/>
      <c r="W24" s="704"/>
      <c r="X24" s="1353"/>
      <c r="Y24" s="3649"/>
      <c r="Z24" s="1354"/>
      <c r="AA24" s="1351">
        <v>1</v>
      </c>
      <c r="AB24" s="1351">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8"/>
      <c r="Q25" s="1350" t="str">
        <f>B25</f>
        <v>毗邻道路的类型与等级</v>
      </c>
      <c r="R25" s="703" t="s">
        <v>14</v>
      </c>
      <c r="S25" s="704">
        <f>F25</f>
        <v>100</v>
      </c>
      <c r="T25" s="703" t="s">
        <v>14</v>
      </c>
      <c r="U25" s="704">
        <f>H25</f>
        <v>100</v>
      </c>
      <c r="V25" s="703" t="s">
        <v>14</v>
      </c>
      <c r="W25" s="704">
        <f>J25</f>
        <v>100</v>
      </c>
      <c r="X25" s="1353"/>
      <c r="Y25" s="364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38"/>
      <c r="Q26" s="1350"/>
      <c r="R26" s="703"/>
      <c r="S26" s="704"/>
      <c r="T26" s="703"/>
      <c r="U26" s="704"/>
      <c r="V26" s="703"/>
      <c r="W26" s="704"/>
      <c r="X26" s="1353"/>
      <c r="Y26" s="364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8"/>
      <c r="Q27" s="1350" t="str">
        <f t="shared" ref="Q27:Q47" si="11">B27</f>
        <v>楼层</v>
      </c>
      <c r="R27" s="703" t="s">
        <v>14</v>
      </c>
      <c r="S27" s="704">
        <f>F27</f>
        <v>100</v>
      </c>
      <c r="T27" s="703" t="s">
        <v>14</v>
      </c>
      <c r="U27" s="704">
        <f>H27</f>
        <v>100</v>
      </c>
      <c r="V27" s="703" t="s">
        <v>14</v>
      </c>
      <c r="W27" s="704">
        <f>J27</f>
        <v>100</v>
      </c>
      <c r="X27" s="1353"/>
      <c r="Y27" s="364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8"/>
      <c r="Q28" s="1341" t="str">
        <f t="shared" si="11"/>
        <v>朝向</v>
      </c>
      <c r="R28" s="699" t="s">
        <v>14</v>
      </c>
      <c r="S28" s="700">
        <f>F28</f>
        <v>100</v>
      </c>
      <c r="T28" s="699" t="s">
        <v>14</v>
      </c>
      <c r="U28" s="700">
        <f>H28</f>
        <v>100</v>
      </c>
      <c r="V28" s="699" t="s">
        <v>14</v>
      </c>
      <c r="W28" s="700">
        <f>J28</f>
        <v>100</v>
      </c>
      <c r="X28" s="701"/>
      <c r="Y28" s="364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8"/>
      <c r="Q29" s="1350">
        <f t="shared" si="11"/>
        <v>111</v>
      </c>
      <c r="R29" s="703" t="s">
        <v>14</v>
      </c>
      <c r="S29" s="704">
        <f t="shared" ref="S29:S47" si="12">F29</f>
        <v>100</v>
      </c>
      <c r="T29" s="703" t="s">
        <v>14</v>
      </c>
      <c r="U29" s="704">
        <f t="shared" ref="U29:U47" si="13">H29</f>
        <v>100</v>
      </c>
      <c r="V29" s="703" t="s">
        <v>14</v>
      </c>
      <c r="W29" s="704">
        <f t="shared" ref="W29:W47" si="14">J29</f>
        <v>100</v>
      </c>
      <c r="X29" s="1353"/>
      <c r="Y29" s="364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64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649"/>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8"/>
      <c r="Q32" s="1350">
        <f t="shared" si="11"/>
        <v>111</v>
      </c>
      <c r="R32" s="703" t="s">
        <v>14</v>
      </c>
      <c r="S32" s="704">
        <f t="shared" si="12"/>
        <v>100</v>
      </c>
      <c r="T32" s="703" t="s">
        <v>14</v>
      </c>
      <c r="U32" s="704">
        <f t="shared" si="13"/>
        <v>100</v>
      </c>
      <c r="V32" s="703" t="s">
        <v>14</v>
      </c>
      <c r="W32" s="704">
        <f t="shared" si="14"/>
        <v>100</v>
      </c>
      <c r="X32" s="1353"/>
      <c r="Y32" s="364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34" t="s">
        <v>1696</v>
      </c>
      <c r="Q33" s="1350" t="str">
        <f t="shared" si="11"/>
        <v>建筑类型</v>
      </c>
      <c r="R33" s="703" t="s">
        <v>14</v>
      </c>
      <c r="S33" s="704">
        <f t="shared" si="12"/>
        <v>100</v>
      </c>
      <c r="T33" s="703" t="s">
        <v>14</v>
      </c>
      <c r="U33" s="704">
        <f t="shared" si="13"/>
        <v>100</v>
      </c>
      <c r="V33" s="703" t="s">
        <v>14</v>
      </c>
      <c r="W33" s="704">
        <f t="shared" si="14"/>
        <v>100</v>
      </c>
      <c r="X33" s="1353"/>
      <c r="Y33" s="365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5"/>
      <c r="Q34" s="705" t="str">
        <f t="shared" si="11"/>
        <v>项目建筑规模</v>
      </c>
      <c r="R34" s="706" t="s">
        <v>14</v>
      </c>
      <c r="S34" s="707" t="e">
        <f t="shared" si="12"/>
        <v>#N/A</v>
      </c>
      <c r="T34" s="706" t="s">
        <v>14</v>
      </c>
      <c r="U34" s="707" t="e">
        <f t="shared" si="13"/>
        <v>#N/A</v>
      </c>
      <c r="V34" s="706" t="s">
        <v>14</v>
      </c>
      <c r="W34" s="707" t="e">
        <f t="shared" si="14"/>
        <v>#N/A</v>
      </c>
      <c r="X34" s="708"/>
      <c r="Y34" s="3651"/>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5"/>
      <c r="Q35" s="1350" t="str">
        <f t="shared" si="11"/>
        <v>建筑结构</v>
      </c>
      <c r="R35" s="703" t="s">
        <v>14</v>
      </c>
      <c r="S35" s="704">
        <f t="shared" si="12"/>
        <v>100</v>
      </c>
      <c r="T35" s="703" t="s">
        <v>14</v>
      </c>
      <c r="U35" s="704">
        <f t="shared" si="13"/>
        <v>100</v>
      </c>
      <c r="V35" s="703" t="s">
        <v>14</v>
      </c>
      <c r="W35" s="704">
        <f t="shared" si="14"/>
        <v>100</v>
      </c>
      <c r="X35" s="1353"/>
      <c r="Y35" s="3651"/>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5"/>
      <c r="Q36" s="1350" t="str">
        <f t="shared" si="11"/>
        <v>公共部分装修</v>
      </c>
      <c r="R36" s="703" t="s">
        <v>14</v>
      </c>
      <c r="S36" s="704">
        <f t="shared" si="12"/>
        <v>100</v>
      </c>
      <c r="T36" s="703" t="s">
        <v>14</v>
      </c>
      <c r="U36" s="704">
        <f t="shared" si="13"/>
        <v>100</v>
      </c>
      <c r="V36" s="703" t="s">
        <v>14</v>
      </c>
      <c r="W36" s="704">
        <f t="shared" si="14"/>
        <v>100</v>
      </c>
      <c r="X36" s="1353"/>
      <c r="Y36" s="3651"/>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5"/>
      <c r="Q37" s="1350" t="str">
        <f t="shared" si="11"/>
        <v>成新度</v>
      </c>
      <c r="R37" s="703" t="s">
        <v>14</v>
      </c>
      <c r="S37" s="704" t="e">
        <f t="shared" si="12"/>
        <v>#N/A</v>
      </c>
      <c r="T37" s="703" t="s">
        <v>14</v>
      </c>
      <c r="U37" s="704" t="e">
        <f t="shared" si="13"/>
        <v>#N/A</v>
      </c>
      <c r="V37" s="703" t="s">
        <v>14</v>
      </c>
      <c r="W37" s="704" t="e">
        <f t="shared" si="14"/>
        <v>#N/A</v>
      </c>
      <c r="X37" s="1353"/>
      <c r="Y37" s="3651"/>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5"/>
      <c r="Q38" s="1341" t="str">
        <f t="shared" si="11"/>
        <v>写字楼等级</v>
      </c>
      <c r="R38" s="699" t="s">
        <v>14</v>
      </c>
      <c r="S38" s="700">
        <f t="shared" si="12"/>
        <v>100</v>
      </c>
      <c r="T38" s="699" t="s">
        <v>14</v>
      </c>
      <c r="U38" s="700">
        <f t="shared" si="13"/>
        <v>100</v>
      </c>
      <c r="V38" s="699" t="s">
        <v>14</v>
      </c>
      <c r="W38" s="700">
        <f t="shared" si="14"/>
        <v>100</v>
      </c>
      <c r="X38" s="701"/>
      <c r="Y38" s="3651"/>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5" t="s">
        <v>1696</v>
      </c>
      <c r="Q39" s="1350" t="str">
        <f t="shared" si="11"/>
        <v>物业管理</v>
      </c>
      <c r="R39" s="703" t="s">
        <v>14</v>
      </c>
      <c r="S39" s="704">
        <f t="shared" si="12"/>
        <v>100</v>
      </c>
      <c r="T39" s="703" t="s">
        <v>14</v>
      </c>
      <c r="U39" s="704">
        <f t="shared" si="13"/>
        <v>100</v>
      </c>
      <c r="V39" s="703" t="s">
        <v>14</v>
      </c>
      <c r="W39" s="704">
        <f t="shared" si="14"/>
        <v>100</v>
      </c>
      <c r="X39" s="1353"/>
      <c r="Y39" s="3651"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5"/>
      <c r="Q40" s="1350" t="str">
        <f t="shared" si="11"/>
        <v>市政基础设施</v>
      </c>
      <c r="R40" s="703" t="s">
        <v>14</v>
      </c>
      <c r="S40" s="704">
        <f t="shared" si="12"/>
        <v>100</v>
      </c>
      <c r="T40" s="703" t="s">
        <v>14</v>
      </c>
      <c r="U40" s="704">
        <f t="shared" si="13"/>
        <v>100</v>
      </c>
      <c r="V40" s="703" t="s">
        <v>14</v>
      </c>
      <c r="W40" s="704">
        <f t="shared" si="14"/>
        <v>100</v>
      </c>
      <c r="X40" s="1353"/>
      <c r="Y40" s="365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5"/>
      <c r="Q41" s="1350" t="str">
        <f t="shared" si="11"/>
        <v>层高</v>
      </c>
      <c r="R41" s="703" t="s">
        <v>14</v>
      </c>
      <c r="S41" s="704">
        <f t="shared" si="12"/>
        <v>100</v>
      </c>
      <c r="T41" s="703" t="s">
        <v>14</v>
      </c>
      <c r="U41" s="704">
        <f t="shared" si="13"/>
        <v>100</v>
      </c>
      <c r="V41" s="703" t="s">
        <v>14</v>
      </c>
      <c r="W41" s="704">
        <f t="shared" si="14"/>
        <v>100</v>
      </c>
      <c r="X41" s="1353"/>
      <c r="Y41" s="365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5"/>
      <c r="Q42" s="705" t="str">
        <f t="shared" si="11"/>
        <v>单套建筑面积</v>
      </c>
      <c r="R42" s="706" t="s">
        <v>14</v>
      </c>
      <c r="S42" s="707">
        <f t="shared" si="12"/>
        <v>100</v>
      </c>
      <c r="T42" s="706" t="s">
        <v>14</v>
      </c>
      <c r="U42" s="707">
        <f t="shared" si="13"/>
        <v>100</v>
      </c>
      <c r="V42" s="706" t="s">
        <v>14</v>
      </c>
      <c r="W42" s="707">
        <f t="shared" si="14"/>
        <v>100</v>
      </c>
      <c r="X42" s="708"/>
      <c r="Y42" s="3651"/>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5"/>
      <c r="Q43" s="1350" t="str">
        <f t="shared" si="11"/>
        <v>内部装修</v>
      </c>
      <c r="R43" s="703" t="s">
        <v>14</v>
      </c>
      <c r="S43" s="704">
        <f t="shared" si="12"/>
        <v>100</v>
      </c>
      <c r="T43" s="703" t="s">
        <v>14</v>
      </c>
      <c r="U43" s="704">
        <f t="shared" si="13"/>
        <v>100</v>
      </c>
      <c r="V43" s="703" t="s">
        <v>14</v>
      </c>
      <c r="W43" s="704">
        <f t="shared" si="14"/>
        <v>100</v>
      </c>
      <c r="X43" s="1353"/>
      <c r="Y43" s="3651"/>
      <c r="Z43" s="1354" t="str">
        <f t="shared" si="15"/>
        <v>内部装修</v>
      </c>
      <c r="AA43" s="1351">
        <f t="shared" si="3"/>
        <v>1</v>
      </c>
      <c r="AB43" s="1351">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35"/>
      <c r="Q44" s="1350" t="str">
        <f t="shared" si="11"/>
        <v>内部装修维护情况</v>
      </c>
      <c r="R44" s="703" t="s">
        <v>14</v>
      </c>
      <c r="S44" s="704">
        <f t="shared" si="12"/>
        <v>100</v>
      </c>
      <c r="T44" s="703" t="s">
        <v>14</v>
      </c>
      <c r="U44" s="704">
        <f t="shared" si="13"/>
        <v>100</v>
      </c>
      <c r="V44" s="703" t="s">
        <v>14</v>
      </c>
      <c r="W44" s="704">
        <f t="shared" si="14"/>
        <v>100</v>
      </c>
      <c r="X44" s="1353"/>
      <c r="Y44" s="365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5"/>
      <c r="Q45" s="1341">
        <f t="shared" si="11"/>
        <v>111</v>
      </c>
      <c r="R45" s="699" t="s">
        <v>14</v>
      </c>
      <c r="S45" s="700">
        <f t="shared" si="12"/>
        <v>100</v>
      </c>
      <c r="T45" s="699" t="s">
        <v>14</v>
      </c>
      <c r="U45" s="700">
        <f t="shared" si="13"/>
        <v>100</v>
      </c>
      <c r="V45" s="699" t="s">
        <v>14</v>
      </c>
      <c r="W45" s="700">
        <f t="shared" si="14"/>
        <v>100</v>
      </c>
      <c r="X45" s="701"/>
      <c r="Y45" s="365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5"/>
      <c r="Q46" s="1350">
        <f t="shared" si="11"/>
        <v>111</v>
      </c>
      <c r="R46" s="703" t="s">
        <v>14</v>
      </c>
      <c r="S46" s="704">
        <f t="shared" si="12"/>
        <v>100</v>
      </c>
      <c r="T46" s="703" t="s">
        <v>14</v>
      </c>
      <c r="U46" s="704">
        <f t="shared" si="13"/>
        <v>100</v>
      </c>
      <c r="V46" s="703" t="s">
        <v>14</v>
      </c>
      <c r="W46" s="704">
        <f t="shared" si="14"/>
        <v>100</v>
      </c>
      <c r="X46" s="1353"/>
      <c r="Y46" s="3651"/>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6"/>
      <c r="Q47" s="1350">
        <f t="shared" si="11"/>
        <v>111</v>
      </c>
      <c r="R47" s="703" t="s">
        <v>14</v>
      </c>
      <c r="S47" s="704">
        <f t="shared" si="12"/>
        <v>100</v>
      </c>
      <c r="T47" s="703" t="s">
        <v>14</v>
      </c>
      <c r="U47" s="704">
        <f t="shared" si="13"/>
        <v>100</v>
      </c>
      <c r="V47" s="703" t="s">
        <v>14</v>
      </c>
      <c r="W47" s="704">
        <f t="shared" si="14"/>
        <v>100</v>
      </c>
      <c r="X47" s="1353"/>
      <c r="Y47" s="3652"/>
      <c r="Z47" s="1354">
        <f t="shared" si="15"/>
        <v>111</v>
      </c>
      <c r="AA47" s="1351">
        <f t="shared" si="3"/>
        <v>1</v>
      </c>
      <c r="AB47" s="1351">
        <f t="shared" si="4"/>
        <v>1</v>
      </c>
      <c r="AC47" s="1960">
        <f t="shared" si="5"/>
        <v>1</v>
      </c>
    </row>
    <row r="48" spans="1:29" ht="14.4">
      <c r="A48" s="430" t="s">
        <v>1708</v>
      </c>
      <c r="B48" s="431"/>
      <c r="C48" s="1152" t="s">
        <v>0</v>
      </c>
      <c r="D48" s="1153"/>
      <c r="E48" s="1154"/>
      <c r="F48" s="1155"/>
      <c r="G48" s="1156"/>
      <c r="H48" s="1157"/>
      <c r="I48" s="1154"/>
      <c r="J48" s="436"/>
      <c r="K48" s="712"/>
      <c r="L48" s="2722"/>
      <c r="M48" s="2714"/>
      <c r="N48" s="2714"/>
      <c r="O48" s="2714"/>
      <c r="P48" s="3739" t="str">
        <f>A48</f>
        <v>成交单价（元/平方米）</v>
      </c>
      <c r="Q48" s="3643"/>
      <c r="R48" s="3644">
        <f>E48</f>
        <v>0</v>
      </c>
      <c r="S48" s="3644"/>
      <c r="T48" s="3644">
        <f>G48</f>
        <v>0</v>
      </c>
      <c r="U48" s="3644"/>
      <c r="V48" s="3644">
        <f>I48</f>
        <v>0</v>
      </c>
      <c r="W48" s="3644"/>
      <c r="X48" s="397"/>
      <c r="Y48" s="710"/>
      <c r="Z48" s="397"/>
      <c r="AA48" s="397"/>
      <c r="AB48" s="397"/>
      <c r="AC48" s="578"/>
    </row>
    <row r="49" spans="1:29" ht="1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739"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 thickBot="1">
      <c r="A50" s="441" t="s">
        <v>1794</v>
      </c>
      <c r="B50" s="442"/>
      <c r="C50" s="1161" t="e">
        <f>R50</f>
        <v>#DIV/0!</v>
      </c>
      <c r="D50" s="1161"/>
      <c r="E50" s="1161"/>
      <c r="F50" s="1161"/>
      <c r="G50" s="1161"/>
      <c r="H50" s="1161"/>
      <c r="I50" s="1161"/>
      <c r="J50" s="443"/>
      <c r="K50" s="713"/>
      <c r="L50" s="2722"/>
      <c r="M50" s="2714"/>
      <c r="N50" s="2714"/>
      <c r="O50" s="2714"/>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1" priority="20" stopIfTrue="1" operator="containsText" text="超过">
      <formula>NOT(ISERROR(SEARCH("超过",F53)))</formula>
    </cfRule>
  </conditionalFormatting>
  <conditionalFormatting sqref="H55">
    <cfRule type="containsText" dxfId="90" priority="19" stopIfTrue="1" operator="containsText" text="超过">
      <formula>NOT(ISERROR(SEARCH("超过",H55)))</formula>
    </cfRule>
  </conditionalFormatting>
  <conditionalFormatting sqref="F55">
    <cfRule type="containsText" dxfId="89" priority="18" stopIfTrue="1" operator="containsText" text="超过">
      <formula>NOT(ISERROR(SEARCH("超过",F55)))</formula>
    </cfRule>
  </conditionalFormatting>
  <conditionalFormatting sqref="F54 H54">
    <cfRule type="containsText" dxfId="88" priority="17" stopIfTrue="1" operator="containsText" text="超过">
      <formula>NOT(ISERROR(SEARCH("超过",F54)))</formula>
    </cfRule>
  </conditionalFormatting>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G55">
    <cfRule type="expression" dxfId="84" priority="13" stopIfTrue="1">
      <formula>$H$55="超过30%"</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J53">
    <cfRule type="containsText" dxfId="81" priority="10" stopIfTrue="1" operator="containsText" text="超过">
      <formula>NOT(ISERROR(SEARCH("超过",J53)))</formula>
    </cfRule>
  </conditionalFormatting>
  <conditionalFormatting sqref="J55">
    <cfRule type="containsText" dxfId="80" priority="9" stopIfTrue="1" operator="containsText" text="超过">
      <formula>NOT(ISERROR(SEARCH("超过",J55)))</formula>
    </cfRule>
  </conditionalFormatting>
  <conditionalFormatting sqref="J54">
    <cfRule type="containsText" dxfId="79" priority="8" stopIfTrue="1" operator="containsText" text="超过">
      <formula>NOT(ISERROR(SEARCH("超过",J54)))</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F7:F47 H7:H47 J7:J47">
    <cfRule type="cellIs" dxfId="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4.4">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7" t="s">
        <v>1680</v>
      </c>
      <c r="Q7" s="3679"/>
      <c r="R7" s="699" t="s">
        <v>14</v>
      </c>
      <c r="S7" s="700">
        <f t="shared" ref="S7:S14" si="0">F7</f>
        <v>0</v>
      </c>
      <c r="T7" s="699" t="s">
        <v>14</v>
      </c>
      <c r="U7" s="700">
        <f t="shared" ref="U7:U14" si="1">H7</f>
        <v>0</v>
      </c>
      <c r="V7" s="699" t="s">
        <v>14</v>
      </c>
      <c r="W7" s="700">
        <f t="shared" ref="W7:W14" si="2">J7</f>
        <v>0</v>
      </c>
      <c r="X7" s="701"/>
      <c r="Y7" s="3677" t="s">
        <v>1680</v>
      </c>
      <c r="Z7" s="3678"/>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3" t="s">
        <v>1686</v>
      </c>
      <c r="Q9" s="1341" t="str">
        <f t="shared" ref="Q9:Q14" si="6">B9</f>
        <v>用途</v>
      </c>
      <c r="R9" s="699" t="s">
        <v>14</v>
      </c>
      <c r="S9" s="700">
        <f t="shared" si="0"/>
        <v>100</v>
      </c>
      <c r="T9" s="699" t="s">
        <v>14</v>
      </c>
      <c r="U9" s="700">
        <f t="shared" si="1"/>
        <v>100</v>
      </c>
      <c r="V9" s="699" t="s">
        <v>14</v>
      </c>
      <c r="W9" s="700">
        <f t="shared" si="2"/>
        <v>100</v>
      </c>
      <c r="X9" s="701"/>
      <c r="Y9" s="3547" t="s">
        <v>1687</v>
      </c>
      <c r="Z9" s="52" t="str">
        <f t="shared" ref="Z9:Z14" si="7">Q9</f>
        <v>用途</v>
      </c>
      <c r="AA9" s="702">
        <f t="shared" si="3"/>
        <v>1</v>
      </c>
      <c r="AB9" s="702">
        <f t="shared" si="4"/>
        <v>1</v>
      </c>
      <c r="AC9" s="702">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3"/>
      <c r="Q11" s="1341">
        <f t="shared" si="6"/>
        <v>111</v>
      </c>
      <c r="R11" s="699" t="s">
        <v>14</v>
      </c>
      <c r="S11" s="700">
        <f t="shared" si="0"/>
        <v>100</v>
      </c>
      <c r="T11" s="699" t="s">
        <v>14</v>
      </c>
      <c r="U11" s="700">
        <f t="shared" si="1"/>
        <v>100</v>
      </c>
      <c r="V11" s="699" t="s">
        <v>14</v>
      </c>
      <c r="W11" s="700">
        <f t="shared" si="2"/>
        <v>100</v>
      </c>
      <c r="X11" s="701"/>
      <c r="Y11" s="354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49"/>
      <c r="Q15" s="1350"/>
      <c r="R15" s="703"/>
      <c r="S15" s="704"/>
      <c r="T15" s="703"/>
      <c r="U15" s="704"/>
      <c r="V15" s="703"/>
      <c r="W15" s="704"/>
      <c r="X15" s="1353"/>
      <c r="Y15" s="3649"/>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49"/>
      <c r="Q17" s="1350"/>
      <c r="R17" s="703"/>
      <c r="S17" s="704"/>
      <c r="T17" s="703"/>
      <c r="U17" s="704"/>
      <c r="V17" s="703"/>
      <c r="W17" s="704"/>
      <c r="X17" s="1353"/>
      <c r="Y17" s="3649"/>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49"/>
      <c r="Q19" s="1350"/>
      <c r="R19" s="703"/>
      <c r="S19" s="704"/>
      <c r="T19" s="703"/>
      <c r="U19" s="704"/>
      <c r="V19" s="703"/>
      <c r="W19" s="704"/>
      <c r="X19" s="1353"/>
      <c r="Y19" s="3649"/>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49"/>
      <c r="Q21" s="1350"/>
      <c r="R21" s="703"/>
      <c r="S21" s="704"/>
      <c r="T21" s="703"/>
      <c r="U21" s="704"/>
      <c r="V21" s="703"/>
      <c r="W21" s="704"/>
      <c r="X21" s="1353"/>
      <c r="Y21" s="364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49"/>
      <c r="Q24" s="1350">
        <f t="shared" ref="Q24:Q36"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5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1"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1"/>
      <c r="Q27" s="705" t="str">
        <f t="shared" si="11"/>
        <v>项目停车位配比</v>
      </c>
      <c r="R27" s="706" t="s">
        <v>14</v>
      </c>
      <c r="S27" s="707">
        <f t="shared" si="12"/>
        <v>100</v>
      </c>
      <c r="T27" s="706" t="s">
        <v>14</v>
      </c>
      <c r="U27" s="707">
        <f t="shared" si="13"/>
        <v>100</v>
      </c>
      <c r="V27" s="706" t="s">
        <v>14</v>
      </c>
      <c r="W27" s="707">
        <f t="shared" si="14"/>
        <v>100</v>
      </c>
      <c r="X27" s="708"/>
      <c r="Y27" s="3651"/>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1"/>
      <c r="Q28" s="1350" t="str">
        <f t="shared" si="11"/>
        <v>公共部分装修</v>
      </c>
      <c r="R28" s="703" t="s">
        <v>14</v>
      </c>
      <c r="S28" s="704">
        <f t="shared" si="12"/>
        <v>100</v>
      </c>
      <c r="T28" s="703" t="s">
        <v>14</v>
      </c>
      <c r="U28" s="704">
        <f t="shared" si="13"/>
        <v>100</v>
      </c>
      <c r="V28" s="703" t="s">
        <v>14</v>
      </c>
      <c r="W28" s="704">
        <f t="shared" si="14"/>
        <v>100</v>
      </c>
      <c r="X28" s="1353"/>
      <c r="Y28" s="3651"/>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1"/>
      <c r="Q29" s="1350" t="str">
        <f t="shared" si="11"/>
        <v>成新率</v>
      </c>
      <c r="R29" s="703" t="s">
        <v>14</v>
      </c>
      <c r="S29" s="704" t="e">
        <f t="shared" si="12"/>
        <v>#N/A</v>
      </c>
      <c r="T29" s="703" t="s">
        <v>14</v>
      </c>
      <c r="U29" s="704" t="e">
        <f t="shared" si="13"/>
        <v>#N/A</v>
      </c>
      <c r="V29" s="703" t="s">
        <v>14</v>
      </c>
      <c r="W29" s="704" t="e">
        <f t="shared" si="14"/>
        <v>#N/A</v>
      </c>
      <c r="X29" s="1353"/>
      <c r="Y29" s="3651"/>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1"/>
      <c r="Q30" s="1350" t="str">
        <f t="shared" si="11"/>
        <v>物业等级</v>
      </c>
      <c r="R30" s="703" t="s">
        <v>14</v>
      </c>
      <c r="S30" s="704">
        <f t="shared" si="12"/>
        <v>100</v>
      </c>
      <c r="T30" s="703" t="s">
        <v>14</v>
      </c>
      <c r="U30" s="704">
        <f t="shared" si="13"/>
        <v>100</v>
      </c>
      <c r="V30" s="703" t="s">
        <v>14</v>
      </c>
      <c r="W30" s="704">
        <f t="shared" si="14"/>
        <v>100</v>
      </c>
      <c r="X30" s="1353"/>
      <c r="Y30" s="3651"/>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1"/>
      <c r="Q31" s="1341" t="str">
        <f t="shared" si="11"/>
        <v>停车位面积</v>
      </c>
      <c r="R31" s="699" t="s">
        <v>14</v>
      </c>
      <c r="S31" s="700" t="e">
        <f t="shared" si="12"/>
        <v>#N/A</v>
      </c>
      <c r="T31" s="699" t="s">
        <v>14</v>
      </c>
      <c r="U31" s="700" t="e">
        <f t="shared" si="13"/>
        <v>#N/A</v>
      </c>
      <c r="V31" s="699" t="s">
        <v>14</v>
      </c>
      <c r="W31" s="700" t="e">
        <f t="shared" si="14"/>
        <v>#N/A</v>
      </c>
      <c r="X31" s="701"/>
      <c r="Y31" s="3651"/>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1" t="s">
        <v>1696</v>
      </c>
      <c r="Q32" s="1350" t="str">
        <f t="shared" si="11"/>
        <v>车位类型</v>
      </c>
      <c r="R32" s="703" t="s">
        <v>14</v>
      </c>
      <c r="S32" s="704">
        <f t="shared" si="12"/>
        <v>100</v>
      </c>
      <c r="T32" s="703" t="s">
        <v>14</v>
      </c>
      <c r="U32" s="704">
        <f t="shared" si="13"/>
        <v>100</v>
      </c>
      <c r="V32" s="703" t="s">
        <v>14</v>
      </c>
      <c r="W32" s="704">
        <f t="shared" si="14"/>
        <v>100</v>
      </c>
      <c r="X32" s="1353"/>
      <c r="Y32" s="3651"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1"/>
      <c r="Q33" s="1350" t="str">
        <f t="shared" si="11"/>
        <v>是否直接入户</v>
      </c>
      <c r="R33" s="703" t="s">
        <v>14</v>
      </c>
      <c r="S33" s="704">
        <f t="shared" si="12"/>
        <v>100</v>
      </c>
      <c r="T33" s="703" t="s">
        <v>14</v>
      </c>
      <c r="U33" s="704">
        <f t="shared" si="13"/>
        <v>100</v>
      </c>
      <c r="V33" s="703" t="s">
        <v>14</v>
      </c>
      <c r="W33" s="704">
        <f t="shared" si="14"/>
        <v>100</v>
      </c>
      <c r="X33" s="1353"/>
      <c r="Y33" s="365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1"/>
      <c r="Q34" s="1350">
        <f t="shared" si="11"/>
        <v>111</v>
      </c>
      <c r="R34" s="703" t="s">
        <v>14</v>
      </c>
      <c r="S34" s="704">
        <f t="shared" si="12"/>
        <v>100</v>
      </c>
      <c r="T34" s="703" t="s">
        <v>14</v>
      </c>
      <c r="U34" s="704">
        <f t="shared" si="13"/>
        <v>100</v>
      </c>
      <c r="V34" s="703" t="s">
        <v>14</v>
      </c>
      <c r="W34" s="704">
        <f t="shared" si="14"/>
        <v>100</v>
      </c>
      <c r="X34" s="1353"/>
      <c r="Y34" s="365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1"/>
      <c r="Q35" s="705">
        <f t="shared" si="11"/>
        <v>111</v>
      </c>
      <c r="R35" s="706" t="s">
        <v>14</v>
      </c>
      <c r="S35" s="707">
        <f t="shared" si="12"/>
        <v>100</v>
      </c>
      <c r="T35" s="706" t="s">
        <v>14</v>
      </c>
      <c r="U35" s="707">
        <f t="shared" si="13"/>
        <v>100</v>
      </c>
      <c r="V35" s="706" t="s">
        <v>14</v>
      </c>
      <c r="W35" s="707">
        <f t="shared" si="14"/>
        <v>100</v>
      </c>
      <c r="X35" s="708"/>
      <c r="Y35" s="3651"/>
      <c r="Z35" s="709">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1"/>
      <c r="Q36" s="1350">
        <f t="shared" si="11"/>
        <v>111</v>
      </c>
      <c r="R36" s="703" t="s">
        <v>14</v>
      </c>
      <c r="S36" s="704">
        <f t="shared" si="12"/>
        <v>100</v>
      </c>
      <c r="T36" s="703" t="s">
        <v>14</v>
      </c>
      <c r="U36" s="704">
        <f t="shared" si="13"/>
        <v>100</v>
      </c>
      <c r="V36" s="703" t="s">
        <v>14</v>
      </c>
      <c r="W36" s="704">
        <f t="shared" si="14"/>
        <v>100</v>
      </c>
      <c r="X36" s="1353"/>
      <c r="Y36" s="3651"/>
      <c r="Z36" s="1354">
        <f t="shared" si="15"/>
        <v>111</v>
      </c>
      <c r="AA36" s="1351">
        <f t="shared" si="3"/>
        <v>1</v>
      </c>
      <c r="AB36" s="1351">
        <f t="shared" si="4"/>
        <v>1</v>
      </c>
      <c r="AC36" s="1351">
        <f t="shared" si="5"/>
        <v>1</v>
      </c>
    </row>
    <row r="37" spans="1:29" ht="14.4">
      <c r="A37" s="430" t="s">
        <v>1844</v>
      </c>
      <c r="B37" s="1971" t="s">
        <v>3358</v>
      </c>
      <c r="C37" s="1152" t="s">
        <v>0</v>
      </c>
      <c r="D37" s="1153"/>
      <c r="E37" s="1154"/>
      <c r="F37" s="1155"/>
      <c r="G37" s="1156"/>
      <c r="H37" s="1157"/>
      <c r="I37" s="1154"/>
      <c r="J37" s="1157"/>
      <c r="K37" s="568"/>
      <c r="L37" s="2722"/>
      <c r="M37" s="2723"/>
      <c r="N37" s="2714"/>
      <c r="O37" s="2723"/>
      <c r="P37" s="3643" t="str">
        <f>A37</f>
        <v>成交单价</v>
      </c>
      <c r="Q37" s="3643"/>
      <c r="R37" s="3644">
        <f>E37</f>
        <v>0</v>
      </c>
      <c r="S37" s="3644"/>
      <c r="T37" s="3644">
        <f>G37</f>
        <v>0</v>
      </c>
      <c r="U37" s="3644"/>
      <c r="V37" s="3644">
        <f>I37</f>
        <v>0</v>
      </c>
      <c r="W37" s="3644"/>
      <c r="X37" s="688"/>
      <c r="Y37" s="710"/>
      <c r="Z37" s="688"/>
      <c r="AA37" s="688"/>
      <c r="AB37" s="688"/>
      <c r="AC37" s="688"/>
    </row>
    <row r="38" spans="1:29" ht="1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 thickBot="1">
      <c r="A39" s="441" t="s">
        <v>1846</v>
      </c>
      <c r="B39" s="442"/>
      <c r="C39" s="1161" t="e">
        <f>R39</f>
        <v>#DIV/0!</v>
      </c>
      <c r="D39" s="1161"/>
      <c r="E39" s="1161"/>
      <c r="F39" s="1161"/>
      <c r="G39" s="1161"/>
      <c r="H39" s="1161"/>
      <c r="I39" s="1161"/>
      <c r="J39" s="1161"/>
      <c r="K39" s="569"/>
      <c r="L39" s="2722"/>
      <c r="M39" s="2723"/>
      <c r="N39" s="2723"/>
      <c r="O39" s="2723"/>
      <c r="P39" s="3645" t="str">
        <f>A39</f>
        <v>估价对象XX用房的比较价值（楼面单价，元/平方米）</v>
      </c>
      <c r="Q39" s="3646"/>
      <c r="R39" s="3757" t="e">
        <f>IF(F1="售价",ROUND(IF(D38="简单平均",AVERAGE(R38:W38),R38*F38+T38*H38+V38*J38),0),ROUND(IF(D38="简单平均",AVERAGE(R38:V38),R38*F38+T38*H38+V38*J38),1))</f>
        <v>#DIV/0!</v>
      </c>
      <c r="S39" s="3757"/>
      <c r="T39" s="3757"/>
      <c r="U39" s="3757"/>
      <c r="V39" s="3757"/>
      <c r="W39" s="3757"/>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4.4">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 thickBot="1">
      <c r="A7" s="362" t="s">
        <v>1679</v>
      </c>
      <c r="B7" s="363"/>
      <c r="C7" s="364">
        <f>'数据-取费表'!B2</f>
        <v>45159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7" t="s">
        <v>1680</v>
      </c>
      <c r="Q7" s="3679"/>
      <c r="R7" s="699" t="s">
        <v>14</v>
      </c>
      <c r="S7" s="700">
        <f t="shared" ref="S7:S14" si="0">F7</f>
        <v>0</v>
      </c>
      <c r="T7" s="699" t="s">
        <v>14</v>
      </c>
      <c r="U7" s="700">
        <f t="shared" ref="U7:U14" si="1">H7</f>
        <v>0</v>
      </c>
      <c r="V7" s="699" t="s">
        <v>14</v>
      </c>
      <c r="W7" s="700">
        <f t="shared" ref="W7:W14" si="2">J7</f>
        <v>0</v>
      </c>
      <c r="X7" s="701"/>
      <c r="Y7" s="3677" t="s">
        <v>1680</v>
      </c>
      <c r="Z7" s="3678"/>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7" t="s">
        <v>1683</v>
      </c>
      <c r="Q8" s="3678"/>
      <c r="R8" s="699" t="s">
        <v>14</v>
      </c>
      <c r="S8" s="700">
        <f t="shared" si="0"/>
        <v>100</v>
      </c>
      <c r="T8" s="699" t="s">
        <v>14</v>
      </c>
      <c r="U8" s="700">
        <f t="shared" si="1"/>
        <v>100</v>
      </c>
      <c r="V8" s="699" t="s">
        <v>14</v>
      </c>
      <c r="W8" s="700">
        <f t="shared" si="2"/>
        <v>100</v>
      </c>
      <c r="X8" s="701"/>
      <c r="Y8" s="3677" t="s">
        <v>1683</v>
      </c>
      <c r="Z8" s="3678"/>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3" t="s">
        <v>1686</v>
      </c>
      <c r="Q9" s="1341" t="str">
        <f t="shared" ref="Q9:Q14" si="6">B9</f>
        <v>用途</v>
      </c>
      <c r="R9" s="699" t="s">
        <v>14</v>
      </c>
      <c r="S9" s="700">
        <f t="shared" si="0"/>
        <v>100</v>
      </c>
      <c r="T9" s="699" t="s">
        <v>14</v>
      </c>
      <c r="U9" s="700">
        <f t="shared" si="1"/>
        <v>100</v>
      </c>
      <c r="V9" s="699" t="s">
        <v>14</v>
      </c>
      <c r="W9" s="700">
        <f t="shared" si="2"/>
        <v>100</v>
      </c>
      <c r="X9" s="701"/>
      <c r="Y9" s="3547" t="s">
        <v>1687</v>
      </c>
      <c r="Z9" s="52" t="str">
        <f t="shared" ref="Z9:Z14" si="7">Q9</f>
        <v>用途</v>
      </c>
      <c r="AA9" s="702">
        <f t="shared" si="3"/>
        <v>1</v>
      </c>
      <c r="AB9" s="702">
        <f t="shared" si="4"/>
        <v>1</v>
      </c>
      <c r="AC9" s="702">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3"/>
      <c r="Q10" s="1341" t="str">
        <f t="shared" si="6"/>
        <v>土地使用年限（年）</v>
      </c>
      <c r="R10" s="699" t="s">
        <v>14</v>
      </c>
      <c r="S10" s="700">
        <f t="shared" si="0"/>
        <v>100</v>
      </c>
      <c r="T10" s="699" t="s">
        <v>14</v>
      </c>
      <c r="U10" s="700">
        <f t="shared" si="1"/>
        <v>100</v>
      </c>
      <c r="V10" s="699" t="s">
        <v>14</v>
      </c>
      <c r="W10" s="700">
        <f t="shared" si="2"/>
        <v>100</v>
      </c>
      <c r="X10" s="701"/>
      <c r="Y10" s="354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3"/>
      <c r="Q11" s="1341">
        <f t="shared" si="6"/>
        <v>111</v>
      </c>
      <c r="R11" s="699" t="s">
        <v>14</v>
      </c>
      <c r="S11" s="700">
        <f t="shared" si="0"/>
        <v>100</v>
      </c>
      <c r="T11" s="699" t="s">
        <v>14</v>
      </c>
      <c r="U11" s="700">
        <f t="shared" si="1"/>
        <v>100</v>
      </c>
      <c r="V11" s="699" t="s">
        <v>14</v>
      </c>
      <c r="W11" s="700">
        <f t="shared" si="2"/>
        <v>100</v>
      </c>
      <c r="X11" s="701"/>
      <c r="Y11" s="354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48" t="s">
        <v>1691</v>
      </c>
      <c r="Q14" s="1350" t="str">
        <f t="shared" si="6"/>
        <v>交通便捷度</v>
      </c>
      <c r="R14" s="703" t="s">
        <v>14</v>
      </c>
      <c r="S14" s="704">
        <f t="shared" si="0"/>
        <v>100</v>
      </c>
      <c r="T14" s="703" t="s">
        <v>14</v>
      </c>
      <c r="U14" s="704">
        <f t="shared" si="1"/>
        <v>100</v>
      </c>
      <c r="V14" s="703" t="s">
        <v>14</v>
      </c>
      <c r="W14" s="704">
        <f t="shared" si="2"/>
        <v>100</v>
      </c>
      <c r="X14" s="1353"/>
      <c r="Y14" s="364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49"/>
      <c r="Q15" s="1350"/>
      <c r="R15" s="703"/>
      <c r="S15" s="704"/>
      <c r="T15" s="703"/>
      <c r="U15" s="704"/>
      <c r="V15" s="703"/>
      <c r="W15" s="704"/>
      <c r="X15" s="1353"/>
      <c r="Y15" s="3649"/>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49"/>
      <c r="Q16" s="1350" t="str">
        <f>B16</f>
        <v>公共配套设施</v>
      </c>
      <c r="R16" s="703" t="s">
        <v>14</v>
      </c>
      <c r="S16" s="704">
        <f>F16</f>
        <v>100</v>
      </c>
      <c r="T16" s="703" t="s">
        <v>14</v>
      </c>
      <c r="U16" s="704">
        <f>H16</f>
        <v>100</v>
      </c>
      <c r="V16" s="703" t="s">
        <v>14</v>
      </c>
      <c r="W16" s="704">
        <f>J16</f>
        <v>100</v>
      </c>
      <c r="X16" s="1353"/>
      <c r="Y16" s="364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49"/>
      <c r="Q17" s="1350"/>
      <c r="R17" s="703"/>
      <c r="S17" s="704"/>
      <c r="T17" s="703"/>
      <c r="U17" s="704"/>
      <c r="V17" s="703"/>
      <c r="W17" s="704"/>
      <c r="X17" s="1353"/>
      <c r="Y17" s="3649"/>
      <c r="Z17" s="1354"/>
      <c r="AA17" s="1351">
        <v>1</v>
      </c>
      <c r="AB17" s="1351">
        <v>1</v>
      </c>
      <c r="AC17" s="1351">
        <v>1</v>
      </c>
    </row>
    <row r="18" spans="1:29" ht="41.4">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49"/>
      <c r="Q18" s="1350" t="str">
        <f>B18</f>
        <v>基础设施水平</v>
      </c>
      <c r="R18" s="703" t="s">
        <v>14</v>
      </c>
      <c r="S18" s="704">
        <f>F18</f>
        <v>100</v>
      </c>
      <c r="T18" s="703" t="s">
        <v>14</v>
      </c>
      <c r="U18" s="704">
        <f>H18</f>
        <v>100</v>
      </c>
      <c r="V18" s="703" t="s">
        <v>14</v>
      </c>
      <c r="W18" s="704">
        <f>J18</f>
        <v>100</v>
      </c>
      <c r="X18" s="1353"/>
      <c r="Y18" s="364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49"/>
      <c r="Q19" s="1350"/>
      <c r="R19" s="703"/>
      <c r="S19" s="704"/>
      <c r="T19" s="703"/>
      <c r="U19" s="704"/>
      <c r="V19" s="703"/>
      <c r="W19" s="704"/>
      <c r="X19" s="1353"/>
      <c r="Y19" s="3649"/>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49"/>
      <c r="Q20" s="1350" t="str">
        <f>B20</f>
        <v>自然及人文环境</v>
      </c>
      <c r="R20" s="703" t="s">
        <v>14</v>
      </c>
      <c r="S20" s="704">
        <f>F20</f>
        <v>100</v>
      </c>
      <c r="T20" s="703" t="s">
        <v>14</v>
      </c>
      <c r="U20" s="704">
        <f>H20</f>
        <v>100</v>
      </c>
      <c r="V20" s="703" t="s">
        <v>14</v>
      </c>
      <c r="W20" s="704">
        <f>J20</f>
        <v>100</v>
      </c>
      <c r="X20" s="1353"/>
      <c r="Y20" s="364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49"/>
      <c r="Q21" s="1350"/>
      <c r="R21" s="703"/>
      <c r="S21" s="704"/>
      <c r="T21" s="703"/>
      <c r="U21" s="704"/>
      <c r="V21" s="703"/>
      <c r="W21" s="704"/>
      <c r="X21" s="1353"/>
      <c r="Y21" s="364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49"/>
      <c r="Q22" s="1350" t="str">
        <f>B22</f>
        <v>楼层</v>
      </c>
      <c r="R22" s="703" t="s">
        <v>14</v>
      </c>
      <c r="S22" s="704">
        <f>F22</f>
        <v>100</v>
      </c>
      <c r="T22" s="703" t="s">
        <v>14</v>
      </c>
      <c r="U22" s="704">
        <f>H22</f>
        <v>100</v>
      </c>
      <c r="V22" s="703" t="s">
        <v>14</v>
      </c>
      <c r="W22" s="704">
        <f>J22</f>
        <v>100</v>
      </c>
      <c r="X22" s="1353"/>
      <c r="Y22" s="364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49"/>
      <c r="Q23" s="1350">
        <f>B23</f>
        <v>111</v>
      </c>
      <c r="R23" s="703" t="s">
        <v>14</v>
      </c>
      <c r="S23" s="704">
        <f>F23</f>
        <v>100</v>
      </c>
      <c r="T23" s="703" t="s">
        <v>14</v>
      </c>
      <c r="U23" s="704">
        <f>H23</f>
        <v>100</v>
      </c>
      <c r="V23" s="703" t="s">
        <v>14</v>
      </c>
      <c r="W23" s="704">
        <f>J23</f>
        <v>100</v>
      </c>
      <c r="X23" s="1353"/>
      <c r="Y23" s="364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49"/>
      <c r="Q24" s="1350">
        <f t="shared" ref="Q24:Q34" si="11">B24</f>
        <v>111</v>
      </c>
      <c r="R24" s="703" t="s">
        <v>14</v>
      </c>
      <c r="S24" s="704">
        <f>F24</f>
        <v>100</v>
      </c>
      <c r="T24" s="703" t="s">
        <v>14</v>
      </c>
      <c r="U24" s="704">
        <f>H24</f>
        <v>100</v>
      </c>
      <c r="V24" s="703" t="s">
        <v>14</v>
      </c>
      <c r="W24" s="704">
        <f>J24</f>
        <v>100</v>
      </c>
      <c r="X24" s="1353"/>
      <c r="Y24" s="3649"/>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49"/>
      <c r="Q25" s="1341">
        <f t="shared" si="11"/>
        <v>111</v>
      </c>
      <c r="R25" s="699" t="s">
        <v>14</v>
      </c>
      <c r="S25" s="700">
        <f>F25</f>
        <v>100</v>
      </c>
      <c r="T25" s="699" t="s">
        <v>14</v>
      </c>
      <c r="U25" s="700">
        <f>H25</f>
        <v>100</v>
      </c>
      <c r="V25" s="699" t="s">
        <v>14</v>
      </c>
      <c r="W25" s="700">
        <f>J25</f>
        <v>100</v>
      </c>
      <c r="X25" s="701"/>
      <c r="Y25" s="3649"/>
      <c r="Z25" s="52">
        <f>Q25</f>
        <v>111</v>
      </c>
      <c r="AA25" s="1351">
        <f>D25/F25</f>
        <v>1</v>
      </c>
      <c r="AB25" s="1351">
        <f>D25/H25</f>
        <v>1</v>
      </c>
      <c r="AC25" s="1351">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5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1"/>
      <c r="Q27" s="705" t="str">
        <f t="shared" si="11"/>
        <v>成新率</v>
      </c>
      <c r="R27" s="706" t="s">
        <v>14</v>
      </c>
      <c r="S27" s="707" t="e">
        <f t="shared" si="12"/>
        <v>#N/A</v>
      </c>
      <c r="T27" s="706" t="s">
        <v>14</v>
      </c>
      <c r="U27" s="707" t="e">
        <f t="shared" si="13"/>
        <v>#N/A</v>
      </c>
      <c r="V27" s="706" t="s">
        <v>14</v>
      </c>
      <c r="W27" s="707" t="e">
        <f t="shared" si="14"/>
        <v>#N/A</v>
      </c>
      <c r="X27" s="708"/>
      <c r="Y27" s="3651"/>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1"/>
      <c r="Q28" s="1350" t="str">
        <f t="shared" si="11"/>
        <v>物业等级</v>
      </c>
      <c r="R28" s="703" t="s">
        <v>14</v>
      </c>
      <c r="S28" s="704">
        <f t="shared" si="12"/>
        <v>100</v>
      </c>
      <c r="T28" s="703" t="s">
        <v>14</v>
      </c>
      <c r="U28" s="704">
        <f t="shared" si="13"/>
        <v>100</v>
      </c>
      <c r="V28" s="703" t="s">
        <v>14</v>
      </c>
      <c r="W28" s="704">
        <f t="shared" si="14"/>
        <v>100</v>
      </c>
      <c r="X28" s="1353"/>
      <c r="Y28" s="3651"/>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1"/>
      <c r="Q29" s="1350" t="str">
        <f t="shared" si="11"/>
        <v>有无电梯</v>
      </c>
      <c r="R29" s="703" t="s">
        <v>14</v>
      </c>
      <c r="S29" s="704">
        <f t="shared" si="12"/>
        <v>100</v>
      </c>
      <c r="T29" s="703" t="s">
        <v>14</v>
      </c>
      <c r="U29" s="704">
        <f t="shared" si="13"/>
        <v>100</v>
      </c>
      <c r="V29" s="703" t="s">
        <v>14</v>
      </c>
      <c r="W29" s="704">
        <f t="shared" si="14"/>
        <v>100</v>
      </c>
      <c r="X29" s="1353"/>
      <c r="Y29" s="365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1"/>
      <c r="Q30" s="1350" t="str">
        <f t="shared" si="11"/>
        <v>建筑面积</v>
      </c>
      <c r="R30" s="703" t="s">
        <v>14</v>
      </c>
      <c r="S30" s="704" t="e">
        <f t="shared" si="12"/>
        <v>#N/A</v>
      </c>
      <c r="T30" s="703" t="s">
        <v>14</v>
      </c>
      <c r="U30" s="704" t="e">
        <f t="shared" si="13"/>
        <v>#N/A</v>
      </c>
      <c r="V30" s="703" t="s">
        <v>14</v>
      </c>
      <c r="W30" s="704" t="e">
        <f t="shared" si="14"/>
        <v>#N/A</v>
      </c>
      <c r="X30" s="1353"/>
      <c r="Y30" s="3651"/>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1"/>
      <c r="Q31" s="1341" t="str">
        <f t="shared" si="11"/>
        <v>是否封闭</v>
      </c>
      <c r="R31" s="699" t="s">
        <v>14</v>
      </c>
      <c r="S31" s="700">
        <f t="shared" si="12"/>
        <v>100</v>
      </c>
      <c r="T31" s="699" t="s">
        <v>14</v>
      </c>
      <c r="U31" s="700">
        <f t="shared" si="13"/>
        <v>100</v>
      </c>
      <c r="V31" s="699" t="s">
        <v>14</v>
      </c>
      <c r="W31" s="700">
        <f t="shared" si="14"/>
        <v>100</v>
      </c>
      <c r="X31" s="701"/>
      <c r="Y31" s="365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1" t="s">
        <v>1696</v>
      </c>
      <c r="Q32" s="1350">
        <f t="shared" si="11"/>
        <v>111</v>
      </c>
      <c r="R32" s="703" t="s">
        <v>14</v>
      </c>
      <c r="S32" s="704">
        <f t="shared" si="12"/>
        <v>100</v>
      </c>
      <c r="T32" s="703" t="s">
        <v>14</v>
      </c>
      <c r="U32" s="704">
        <f t="shared" si="13"/>
        <v>100</v>
      </c>
      <c r="V32" s="703" t="s">
        <v>14</v>
      </c>
      <c r="W32" s="704">
        <f t="shared" si="14"/>
        <v>100</v>
      </c>
      <c r="X32" s="1353"/>
      <c r="Y32" s="365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1"/>
      <c r="Q33" s="1350">
        <f t="shared" si="11"/>
        <v>111</v>
      </c>
      <c r="R33" s="703" t="s">
        <v>14</v>
      </c>
      <c r="S33" s="704">
        <f t="shared" si="12"/>
        <v>100</v>
      </c>
      <c r="T33" s="703" t="s">
        <v>14</v>
      </c>
      <c r="U33" s="704">
        <f t="shared" si="13"/>
        <v>100</v>
      </c>
      <c r="V33" s="703" t="s">
        <v>14</v>
      </c>
      <c r="W33" s="704">
        <f t="shared" si="14"/>
        <v>100</v>
      </c>
      <c r="X33" s="1353"/>
      <c r="Y33" s="3651"/>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1"/>
      <c r="Q34" s="1350">
        <f t="shared" si="11"/>
        <v>111</v>
      </c>
      <c r="R34" s="703" t="s">
        <v>14</v>
      </c>
      <c r="S34" s="704">
        <f t="shared" si="12"/>
        <v>100</v>
      </c>
      <c r="T34" s="703" t="s">
        <v>14</v>
      </c>
      <c r="U34" s="704">
        <f t="shared" si="13"/>
        <v>100</v>
      </c>
      <c r="V34" s="703" t="s">
        <v>14</v>
      </c>
      <c r="W34" s="704">
        <f t="shared" si="14"/>
        <v>100</v>
      </c>
      <c r="X34" s="1353"/>
      <c r="Y34" s="3651"/>
      <c r="Z34" s="1354">
        <f t="shared" si="15"/>
        <v>111</v>
      </c>
      <c r="AA34" s="1351">
        <f t="shared" si="3"/>
        <v>1</v>
      </c>
      <c r="AB34" s="1351">
        <f t="shared" si="4"/>
        <v>1</v>
      </c>
      <c r="AC34" s="1351">
        <f t="shared" si="5"/>
        <v>1</v>
      </c>
    </row>
    <row r="35" spans="1:30" ht="14.4">
      <c r="A35" s="430" t="s">
        <v>1708</v>
      </c>
      <c r="B35" s="431"/>
      <c r="C35" s="1152" t="s">
        <v>0</v>
      </c>
      <c r="D35" s="1153"/>
      <c r="E35" s="1154"/>
      <c r="F35" s="1155"/>
      <c r="G35" s="1156"/>
      <c r="H35" s="1157"/>
      <c r="I35" s="1154"/>
      <c r="J35" s="1157"/>
      <c r="K35" s="712"/>
      <c r="L35" s="2722"/>
      <c r="M35" s="2723"/>
      <c r="N35" s="2714"/>
      <c r="O35" s="2723"/>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 thickBot="1">
      <c r="A37" s="441" t="s">
        <v>1794</v>
      </c>
      <c r="B37" s="442"/>
      <c r="C37" s="1161" t="e">
        <f>R37</f>
        <v>#DIV/0!</v>
      </c>
      <c r="D37" s="1161"/>
      <c r="E37" s="1161"/>
      <c r="F37" s="1161"/>
      <c r="G37" s="1161"/>
      <c r="H37" s="1161"/>
      <c r="I37" s="1161"/>
      <c r="J37" s="1161"/>
      <c r="K37" s="713"/>
      <c r="L37" s="2722"/>
      <c r="M37" s="2723"/>
      <c r="N37" s="2723"/>
      <c r="O37" s="2723"/>
      <c r="P37" s="3645" t="str">
        <f>A37</f>
        <v>估价对象XX用房的比较价值（楼面单价，元/平方米）</v>
      </c>
      <c r="Q37" s="3646"/>
      <c r="R37" s="3757" t="e">
        <f>IF(F1="售价",ROUND(IF(D36="简单平均",AVERAGE(R36:W36),R36*F36+T36*H36+V36*J36),0),ROUND(IF(D36="简单平均",AVERAGE(R36:V36),R36*F36+T36*H36+V36*J36),1))</f>
        <v>#DIV/0!</v>
      </c>
      <c r="S37" s="3757"/>
      <c r="T37" s="3757"/>
      <c r="U37" s="3757"/>
      <c r="V37" s="3757"/>
      <c r="W37" s="3757"/>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4.4">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30">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30" ht="15" thickBot="1">
      <c r="A6" s="360"/>
      <c r="B6" s="361"/>
      <c r="C6" s="3673" t="s">
        <v>1677</v>
      </c>
      <c r="D6" s="3674"/>
      <c r="E6" s="3681" t="s">
        <v>1677</v>
      </c>
      <c r="F6" s="3682"/>
      <c r="G6" s="3673" t="s">
        <v>1677</v>
      </c>
      <c r="H6" s="3674"/>
      <c r="I6" s="3673" t="s">
        <v>1677</v>
      </c>
      <c r="J6" s="3674"/>
      <c r="K6" s="559" t="s">
        <v>1678</v>
      </c>
      <c r="L6" s="2713"/>
      <c r="M6" s="2714"/>
      <c r="N6" s="2714"/>
      <c r="O6" s="2714"/>
      <c r="P6" s="3664"/>
      <c r="Q6" s="3665"/>
      <c r="R6" s="3668"/>
      <c r="S6" s="3669"/>
      <c r="T6" s="3670"/>
      <c r="U6" s="3671"/>
      <c r="V6" s="3672"/>
      <c r="W6" s="3672"/>
      <c r="X6" s="1353"/>
      <c r="Y6" s="3670"/>
      <c r="Z6" s="3671"/>
      <c r="AA6" s="3655"/>
      <c r="AB6" s="3655"/>
      <c r="AC6" s="3655"/>
    </row>
    <row r="7" spans="1:30" s="108" customFormat="1" ht="15" thickBot="1">
      <c r="A7" s="362" t="s">
        <v>1679</v>
      </c>
      <c r="B7" s="363"/>
      <c r="C7" s="364">
        <f>'数据-取费表'!B2</f>
        <v>45159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7" t="s">
        <v>1683</v>
      </c>
      <c r="Q8" s="3678"/>
      <c r="R8" s="699" t="s">
        <v>14</v>
      </c>
      <c r="S8" s="700">
        <f t="shared" si="0"/>
        <v>0</v>
      </c>
      <c r="T8" s="699" t="s">
        <v>14</v>
      </c>
      <c r="U8" s="700">
        <f t="shared" si="1"/>
        <v>0</v>
      </c>
      <c r="V8" s="699" t="s">
        <v>14</v>
      </c>
      <c r="W8" s="700">
        <f t="shared" si="2"/>
        <v>0</v>
      </c>
      <c r="X8" s="701"/>
      <c r="Y8" s="3677" t="s">
        <v>1683</v>
      </c>
      <c r="Z8" s="3678"/>
      <c r="AA8" s="702" t="e">
        <f t="shared" ref="AA8:AA45" si="3">D8/F8</f>
        <v>#DIV/0!</v>
      </c>
      <c r="AB8" s="702" t="e">
        <f t="shared" ref="AB8:AB45" si="4">D8/H8</f>
        <v>#DIV/0!</v>
      </c>
      <c r="AC8" s="702"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107</v>
      </c>
      <c r="G10" s="414"/>
      <c r="H10" s="127">
        <f>ROUND(100/'数据-取费表'!G16,0)</f>
        <v>107</v>
      </c>
      <c r="I10" s="414"/>
      <c r="J10" s="127">
        <f>ROUND(100/'数据-取费表'!G16,0)</f>
        <v>107</v>
      </c>
      <c r="K10" s="620"/>
      <c r="L10" s="2717"/>
      <c r="M10" s="2718"/>
      <c r="N10" s="2718"/>
      <c r="O10" s="2771"/>
      <c r="P10" s="3643"/>
      <c r="Q10" s="1341" t="str">
        <f t="shared" si="6"/>
        <v>土地使用年限（年）</v>
      </c>
      <c r="R10" s="699" t="s">
        <v>14</v>
      </c>
      <c r="S10" s="700">
        <f t="shared" si="0"/>
        <v>107</v>
      </c>
      <c r="T10" s="699" t="s">
        <v>14</v>
      </c>
      <c r="U10" s="700">
        <f t="shared" si="1"/>
        <v>107</v>
      </c>
      <c r="V10" s="699" t="s">
        <v>14</v>
      </c>
      <c r="W10" s="700">
        <f t="shared" si="2"/>
        <v>107</v>
      </c>
      <c r="X10" s="701"/>
      <c r="Y10" s="3547"/>
      <c r="Z10" s="52" t="str">
        <f t="shared" si="7"/>
        <v>土地使用年限（年）</v>
      </c>
      <c r="AA10" s="702">
        <f t="shared" si="3"/>
        <v>0.93457943925233644</v>
      </c>
      <c r="AB10" s="702">
        <f t="shared" si="4"/>
        <v>0.93457943925233644</v>
      </c>
      <c r="AC10" s="702">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3"/>
      <c r="Q12" s="1341" t="str">
        <f t="shared" si="6"/>
        <v>配建</v>
      </c>
      <c r="R12" s="699" t="s">
        <v>14</v>
      </c>
      <c r="S12" s="700">
        <f t="shared" si="0"/>
        <v>100</v>
      </c>
      <c r="T12" s="699" t="s">
        <v>14</v>
      </c>
      <c r="U12" s="700">
        <f t="shared" si="1"/>
        <v>100</v>
      </c>
      <c r="V12" s="699" t="s">
        <v>14</v>
      </c>
      <c r="W12" s="700">
        <f t="shared" si="2"/>
        <v>100</v>
      </c>
      <c r="X12" s="701"/>
      <c r="Y12" s="354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D13/F13</f>
        <v>1</v>
      </c>
      <c r="AB13" s="702">
        <f>D13/H13</f>
        <v>1</v>
      </c>
      <c r="AC13" s="702">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D14/F14</f>
        <v>1</v>
      </c>
      <c r="AB14" s="702">
        <f>D14/H14</f>
        <v>1</v>
      </c>
      <c r="AC14" s="702">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48" t="s">
        <v>1691</v>
      </c>
      <c r="Q15" s="1350" t="str">
        <f t="shared" si="6"/>
        <v>居住社区成熟度</v>
      </c>
      <c r="R15" s="703" t="s">
        <v>14</v>
      </c>
      <c r="S15" s="704">
        <f t="shared" si="0"/>
        <v>100</v>
      </c>
      <c r="T15" s="703" t="s">
        <v>14</v>
      </c>
      <c r="U15" s="704">
        <f t="shared" si="1"/>
        <v>100</v>
      </c>
      <c r="V15" s="703" t="s">
        <v>14</v>
      </c>
      <c r="W15" s="704">
        <f t="shared" si="2"/>
        <v>100</v>
      </c>
      <c r="X15" s="1353"/>
      <c r="Y15" s="364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49"/>
      <c r="Q17" s="1350" t="str">
        <f>B17</f>
        <v>商业繁华度</v>
      </c>
      <c r="R17" s="703" t="s">
        <v>14</v>
      </c>
      <c r="S17" s="704">
        <f>F17</f>
        <v>100</v>
      </c>
      <c r="T17" s="703" t="s">
        <v>14</v>
      </c>
      <c r="U17" s="704">
        <f>H17</f>
        <v>100</v>
      </c>
      <c r="V17" s="703" t="s">
        <v>14</v>
      </c>
      <c r="W17" s="704">
        <f>J17</f>
        <v>100</v>
      </c>
      <c r="X17" s="1353"/>
      <c r="Y17" s="364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49"/>
      <c r="Q19" s="1350" t="str">
        <f>B19</f>
        <v>办公集聚程度</v>
      </c>
      <c r="R19" s="703" t="s">
        <v>14</v>
      </c>
      <c r="S19" s="704">
        <f>F19</f>
        <v>100</v>
      </c>
      <c r="T19" s="703" t="s">
        <v>14</v>
      </c>
      <c r="U19" s="704">
        <f>H19</f>
        <v>100</v>
      </c>
      <c r="V19" s="703" t="s">
        <v>14</v>
      </c>
      <c r="W19" s="704">
        <f>J19</f>
        <v>100</v>
      </c>
      <c r="X19" s="1353"/>
      <c r="Y19" s="364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49"/>
      <c r="Q20" s="1350"/>
      <c r="R20" s="703"/>
      <c r="S20" s="704"/>
      <c r="T20" s="703"/>
      <c r="U20" s="704"/>
      <c r="V20" s="703"/>
      <c r="W20" s="704"/>
      <c r="X20" s="1353"/>
      <c r="Y20" s="3649"/>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49"/>
      <c r="Q21" s="1350" t="str">
        <f>B21</f>
        <v>交通便捷度</v>
      </c>
      <c r="R21" s="703" t="s">
        <v>14</v>
      </c>
      <c r="S21" s="704">
        <f>F21</f>
        <v>100</v>
      </c>
      <c r="T21" s="703" t="s">
        <v>14</v>
      </c>
      <c r="U21" s="704">
        <f>H21</f>
        <v>100</v>
      </c>
      <c r="V21" s="703" t="s">
        <v>14</v>
      </c>
      <c r="W21" s="704">
        <f>J21</f>
        <v>100</v>
      </c>
      <c r="X21" s="1353"/>
      <c r="Y21" s="364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ht="28.8">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49"/>
      <c r="Q23" s="1350" t="str">
        <f t="shared" ref="Q23:Q37" si="8">B23</f>
        <v>区域土地利用方向</v>
      </c>
      <c r="R23" s="703" t="s">
        <v>14</v>
      </c>
      <c r="S23" s="704">
        <f>F23</f>
        <v>100</v>
      </c>
      <c r="T23" s="703" t="s">
        <v>14</v>
      </c>
      <c r="U23" s="704">
        <f>H23</f>
        <v>100</v>
      </c>
      <c r="V23" s="703" t="s">
        <v>14</v>
      </c>
      <c r="W23" s="704">
        <f>J23</f>
        <v>100</v>
      </c>
      <c r="X23" s="1353"/>
      <c r="Y23" s="364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49"/>
      <c r="Q24" s="1350"/>
      <c r="R24" s="703"/>
      <c r="S24" s="704"/>
      <c r="T24" s="703"/>
      <c r="U24" s="704"/>
      <c r="V24" s="703"/>
      <c r="W24" s="704"/>
      <c r="X24" s="1353"/>
      <c r="Y24" s="3649"/>
      <c r="Z24" s="1354"/>
      <c r="AA24" s="1351"/>
      <c r="AB24" s="1351"/>
      <c r="AC24" s="1351"/>
    </row>
    <row r="25" spans="1:29" ht="55.2">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49"/>
      <c r="Q25" s="1350" t="str">
        <f t="shared" si="8"/>
        <v>自然及人文环境状况</v>
      </c>
      <c r="R25" s="703" t="s">
        <v>14</v>
      </c>
      <c r="S25" s="704">
        <f>F25</f>
        <v>100</v>
      </c>
      <c r="T25" s="703" t="s">
        <v>14</v>
      </c>
      <c r="U25" s="704">
        <f>H25</f>
        <v>100</v>
      </c>
      <c r="V25" s="703" t="s">
        <v>14</v>
      </c>
      <c r="W25" s="704">
        <f>J25</f>
        <v>100</v>
      </c>
      <c r="X25" s="1353"/>
      <c r="Y25" s="364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49"/>
      <c r="Q26" s="1350"/>
      <c r="R26" s="703"/>
      <c r="S26" s="704"/>
      <c r="T26" s="703"/>
      <c r="U26" s="704"/>
      <c r="V26" s="703"/>
      <c r="W26" s="704"/>
      <c r="X26" s="1353"/>
      <c r="Y26" s="3649"/>
      <c r="Z26" s="1354"/>
      <c r="AA26" s="1351">
        <v>1</v>
      </c>
      <c r="AB26" s="1351">
        <v>1</v>
      </c>
      <c r="AC26" s="1351">
        <v>1</v>
      </c>
    </row>
    <row r="27" spans="1:29" s="108" customFormat="1" ht="41.4">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49"/>
      <c r="Q27" s="1341" t="str">
        <f t="shared" si="8"/>
        <v>公共配套设施</v>
      </c>
      <c r="R27" s="699" t="s">
        <v>14</v>
      </c>
      <c r="S27" s="700">
        <f>F27</f>
        <v>100</v>
      </c>
      <c r="T27" s="699" t="s">
        <v>14</v>
      </c>
      <c r="U27" s="700">
        <f>H27</f>
        <v>100</v>
      </c>
      <c r="V27" s="699" t="s">
        <v>14</v>
      </c>
      <c r="W27" s="700">
        <f>J27</f>
        <v>100</v>
      </c>
      <c r="X27" s="701"/>
      <c r="Y27" s="364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49"/>
      <c r="Q28" s="1341"/>
      <c r="R28" s="699"/>
      <c r="S28" s="700"/>
      <c r="T28" s="699"/>
      <c r="U28" s="700"/>
      <c r="V28" s="699"/>
      <c r="W28" s="700"/>
      <c r="X28" s="701"/>
      <c r="Y28" s="3649"/>
      <c r="Z28" s="52"/>
      <c r="AA28" s="1351">
        <v>1</v>
      </c>
      <c r="AB28" s="1351">
        <v>1</v>
      </c>
      <c r="AC28" s="1351">
        <v>1</v>
      </c>
    </row>
    <row r="29" spans="1:29" s="108" customFormat="1" ht="41.4">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49"/>
      <c r="Q29" s="1341" t="str">
        <f t="shared" ref="Q29" si="9">B29</f>
        <v>基础设施水平</v>
      </c>
      <c r="R29" s="699" t="s">
        <v>14</v>
      </c>
      <c r="S29" s="700">
        <f>F29</f>
        <v>100</v>
      </c>
      <c r="T29" s="699" t="s">
        <v>14</v>
      </c>
      <c r="U29" s="700">
        <f>H29</f>
        <v>100</v>
      </c>
      <c r="V29" s="699" t="s">
        <v>14</v>
      </c>
      <c r="W29" s="700">
        <f>J29</f>
        <v>100</v>
      </c>
      <c r="X29" s="701"/>
      <c r="Y29" s="364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49"/>
      <c r="Q30" s="1341"/>
      <c r="R30" s="699"/>
      <c r="S30" s="700"/>
      <c r="T30" s="699"/>
      <c r="U30" s="700"/>
      <c r="V30" s="699"/>
      <c r="W30" s="700"/>
      <c r="X30" s="701"/>
      <c r="Y30" s="364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4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49"/>
      <c r="Z31" s="1354" t="str">
        <f t="shared" ref="Z31:Z45" si="13">Q31</f>
        <v>临街状况</v>
      </c>
      <c r="AA31" s="1351">
        <f t="shared" si="3"/>
        <v>1</v>
      </c>
      <c r="AB31" s="1351">
        <f t="shared" si="4"/>
        <v>1</v>
      </c>
      <c r="AC31" s="1351">
        <f t="shared" si="5"/>
        <v>1</v>
      </c>
    </row>
    <row r="32" spans="1:29" ht="28.8">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49"/>
      <c r="Q32" s="1350" t="str">
        <f t="shared" si="8"/>
        <v>毗邻道路的类型与等级</v>
      </c>
      <c r="R32" s="703" t="s">
        <v>14</v>
      </c>
      <c r="S32" s="704">
        <f t="shared" si="10"/>
        <v>100</v>
      </c>
      <c r="T32" s="703" t="s">
        <v>14</v>
      </c>
      <c r="U32" s="704">
        <f t="shared" si="11"/>
        <v>100</v>
      </c>
      <c r="V32" s="703" t="s">
        <v>14</v>
      </c>
      <c r="W32" s="704">
        <f t="shared" si="12"/>
        <v>100</v>
      </c>
      <c r="X32" s="1353"/>
      <c r="Y32" s="364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49"/>
      <c r="Q33" s="1350"/>
      <c r="R33" s="703"/>
      <c r="S33" s="704"/>
      <c r="T33" s="703"/>
      <c r="U33" s="704"/>
      <c r="V33" s="703"/>
      <c r="W33" s="704"/>
      <c r="X33" s="1353"/>
      <c r="Y33" s="364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49"/>
      <c r="Q34" s="1350" t="str">
        <f t="shared" si="8"/>
        <v>土地级别</v>
      </c>
      <c r="R34" s="703" t="s">
        <v>14</v>
      </c>
      <c r="S34" s="704">
        <f t="shared" si="10"/>
        <v>100</v>
      </c>
      <c r="T34" s="703" t="s">
        <v>14</v>
      </c>
      <c r="U34" s="704">
        <f t="shared" si="11"/>
        <v>100</v>
      </c>
      <c r="V34" s="703" t="s">
        <v>14</v>
      </c>
      <c r="W34" s="704">
        <f t="shared" si="12"/>
        <v>100</v>
      </c>
      <c r="X34" s="1353"/>
      <c r="Y34" s="364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49"/>
      <c r="Q35" s="1350">
        <f t="shared" si="8"/>
        <v>111</v>
      </c>
      <c r="R35" s="703" t="s">
        <v>14</v>
      </c>
      <c r="S35" s="704">
        <f t="shared" si="10"/>
        <v>100</v>
      </c>
      <c r="T35" s="703" t="s">
        <v>14</v>
      </c>
      <c r="U35" s="704">
        <f t="shared" si="11"/>
        <v>100</v>
      </c>
      <c r="V35" s="703" t="s">
        <v>14</v>
      </c>
      <c r="W35" s="704">
        <f t="shared" si="12"/>
        <v>100</v>
      </c>
      <c r="X35" s="1353"/>
      <c r="Y35" s="364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50" t="s">
        <v>1696</v>
      </c>
      <c r="Q36" s="1350">
        <f t="shared" si="8"/>
        <v>111</v>
      </c>
      <c r="R36" s="703" t="s">
        <v>14</v>
      </c>
      <c r="S36" s="704">
        <f t="shared" si="10"/>
        <v>100</v>
      </c>
      <c r="T36" s="703" t="s">
        <v>14</v>
      </c>
      <c r="U36" s="704">
        <f t="shared" si="11"/>
        <v>100</v>
      </c>
      <c r="V36" s="703" t="s">
        <v>14</v>
      </c>
      <c r="W36" s="704">
        <f t="shared" si="12"/>
        <v>100</v>
      </c>
      <c r="X36" s="1353"/>
      <c r="Y36" s="3651" t="s">
        <v>1696</v>
      </c>
      <c r="Z36" s="1354">
        <f t="shared" si="13"/>
        <v>111</v>
      </c>
      <c r="AA36" s="1351">
        <f t="shared" si="3"/>
        <v>1</v>
      </c>
      <c r="AB36" s="1351">
        <f t="shared" si="4"/>
        <v>1</v>
      </c>
      <c r="AC36" s="1351">
        <f t="shared" si="5"/>
        <v>1</v>
      </c>
    </row>
    <row r="37" spans="1:29" s="422" customFormat="1" ht="15.6"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1"/>
      <c r="Q37" s="1350">
        <f t="shared" si="8"/>
        <v>111</v>
      </c>
      <c r="R37" s="706" t="s">
        <v>14</v>
      </c>
      <c r="S37" s="707">
        <f t="shared" si="10"/>
        <v>100</v>
      </c>
      <c r="T37" s="706" t="s">
        <v>14</v>
      </c>
      <c r="U37" s="707">
        <f t="shared" si="11"/>
        <v>100</v>
      </c>
      <c r="V37" s="706" t="s">
        <v>14</v>
      </c>
      <c r="W37" s="707">
        <f t="shared" si="12"/>
        <v>100</v>
      </c>
      <c r="X37" s="708"/>
      <c r="Y37" s="3651"/>
      <c r="Z37" s="709">
        <f t="shared" si="13"/>
        <v>111</v>
      </c>
      <c r="AA37" s="1351">
        <f t="shared" si="3"/>
        <v>1</v>
      </c>
      <c r="AB37" s="1351">
        <f t="shared" si="4"/>
        <v>1</v>
      </c>
      <c r="AC37" s="1351">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1"/>
      <c r="Q38" s="1350" t="str">
        <f>B38</f>
        <v>宗地面积</v>
      </c>
      <c r="R38" s="703" t="s">
        <v>14</v>
      </c>
      <c r="S38" s="704" t="e">
        <f t="shared" si="10"/>
        <v>#N/A</v>
      </c>
      <c r="T38" s="703" t="s">
        <v>14</v>
      </c>
      <c r="U38" s="704" t="e">
        <f t="shared" si="11"/>
        <v>#N/A</v>
      </c>
      <c r="V38" s="703" t="s">
        <v>14</v>
      </c>
      <c r="W38" s="704" t="e">
        <f t="shared" si="12"/>
        <v>#N/A</v>
      </c>
      <c r="X38" s="1353"/>
      <c r="Y38" s="365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1"/>
      <c r="Q39" s="1350" t="str">
        <f t="shared" ref="Q39:Q45" si="14">B39</f>
        <v>宗地形状</v>
      </c>
      <c r="R39" s="703" t="s">
        <v>14</v>
      </c>
      <c r="S39" s="704">
        <f t="shared" si="10"/>
        <v>100</v>
      </c>
      <c r="T39" s="703" t="s">
        <v>14</v>
      </c>
      <c r="U39" s="704">
        <f t="shared" si="11"/>
        <v>100</v>
      </c>
      <c r="V39" s="703" t="s">
        <v>14</v>
      </c>
      <c r="W39" s="704">
        <f t="shared" si="12"/>
        <v>100</v>
      </c>
      <c r="X39" s="1353"/>
      <c r="Y39" s="365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1"/>
      <c r="Q40" s="1350" t="str">
        <f t="shared" si="14"/>
        <v>临街宽度及深度</v>
      </c>
      <c r="R40" s="703" t="s">
        <v>14</v>
      </c>
      <c r="S40" s="704">
        <f t="shared" si="10"/>
        <v>100</v>
      </c>
      <c r="T40" s="703" t="s">
        <v>14</v>
      </c>
      <c r="U40" s="704">
        <f t="shared" si="11"/>
        <v>100</v>
      </c>
      <c r="V40" s="703" t="s">
        <v>14</v>
      </c>
      <c r="W40" s="704">
        <f t="shared" si="12"/>
        <v>100</v>
      </c>
      <c r="X40" s="1353"/>
      <c r="Y40" s="365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1"/>
      <c r="Q41" s="1350" t="str">
        <f t="shared" si="14"/>
        <v>宗地开发程度</v>
      </c>
      <c r="R41" s="699" t="s">
        <v>14</v>
      </c>
      <c r="S41" s="700">
        <f t="shared" si="10"/>
        <v>100</v>
      </c>
      <c r="T41" s="699" t="s">
        <v>14</v>
      </c>
      <c r="U41" s="700">
        <f t="shared" si="11"/>
        <v>100</v>
      </c>
      <c r="V41" s="699" t="s">
        <v>14</v>
      </c>
      <c r="W41" s="700">
        <f t="shared" si="12"/>
        <v>100</v>
      </c>
      <c r="X41" s="701"/>
      <c r="Y41" s="3651"/>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1" t="s">
        <v>1696</v>
      </c>
      <c r="Q42" s="1350" t="str">
        <f t="shared" si="14"/>
        <v>工程地质条件</v>
      </c>
      <c r="R42" s="703" t="s">
        <v>14</v>
      </c>
      <c r="S42" s="704">
        <f t="shared" si="10"/>
        <v>100</v>
      </c>
      <c r="T42" s="703" t="s">
        <v>14</v>
      </c>
      <c r="U42" s="704">
        <f t="shared" si="11"/>
        <v>100</v>
      </c>
      <c r="V42" s="703" t="s">
        <v>14</v>
      </c>
      <c r="W42" s="704">
        <f t="shared" si="12"/>
        <v>100</v>
      </c>
      <c r="X42" s="1353"/>
      <c r="Y42" s="365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1"/>
      <c r="Q43" s="1350">
        <f t="shared" si="14"/>
        <v>111</v>
      </c>
      <c r="R43" s="703" t="s">
        <v>14</v>
      </c>
      <c r="S43" s="704">
        <f t="shared" si="10"/>
        <v>100</v>
      </c>
      <c r="T43" s="703" t="s">
        <v>14</v>
      </c>
      <c r="U43" s="704">
        <f t="shared" si="11"/>
        <v>100</v>
      </c>
      <c r="V43" s="703" t="s">
        <v>14</v>
      </c>
      <c r="W43" s="704">
        <f t="shared" si="12"/>
        <v>100</v>
      </c>
      <c r="X43" s="1353"/>
      <c r="Y43" s="365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1"/>
      <c r="Q44" s="1350">
        <f t="shared" si="14"/>
        <v>111</v>
      </c>
      <c r="R44" s="703" t="s">
        <v>14</v>
      </c>
      <c r="S44" s="704">
        <f t="shared" si="10"/>
        <v>100</v>
      </c>
      <c r="T44" s="703" t="s">
        <v>14</v>
      </c>
      <c r="U44" s="704">
        <f t="shared" si="11"/>
        <v>100</v>
      </c>
      <c r="V44" s="703" t="s">
        <v>14</v>
      </c>
      <c r="W44" s="704">
        <f t="shared" si="12"/>
        <v>100</v>
      </c>
      <c r="X44" s="1353"/>
      <c r="Y44" s="3651"/>
      <c r="Z44" s="1354">
        <f t="shared" si="13"/>
        <v>111</v>
      </c>
      <c r="AA44" s="1351">
        <f t="shared" si="3"/>
        <v>1</v>
      </c>
      <c r="AB44" s="1351">
        <f t="shared" si="4"/>
        <v>1</v>
      </c>
      <c r="AC44" s="1351">
        <f t="shared" si="5"/>
        <v>1</v>
      </c>
    </row>
    <row r="45" spans="1:29" s="422" customFormat="1" ht="15.6"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1"/>
      <c r="Q45" s="1350">
        <f t="shared" si="14"/>
        <v>111</v>
      </c>
      <c r="R45" s="706" t="s">
        <v>14</v>
      </c>
      <c r="S45" s="707">
        <f t="shared" si="10"/>
        <v>100</v>
      </c>
      <c r="T45" s="706" t="s">
        <v>14</v>
      </c>
      <c r="U45" s="707">
        <f t="shared" si="11"/>
        <v>100</v>
      </c>
      <c r="V45" s="706" t="s">
        <v>14</v>
      </c>
      <c r="W45" s="707">
        <f t="shared" si="12"/>
        <v>100</v>
      </c>
      <c r="X45" s="708"/>
      <c r="Y45" s="3651"/>
      <c r="Z45" s="709">
        <f t="shared" si="13"/>
        <v>111</v>
      </c>
      <c r="AA45" s="1351">
        <f t="shared" si="3"/>
        <v>1</v>
      </c>
      <c r="AB45" s="1351">
        <f t="shared" si="4"/>
        <v>1</v>
      </c>
      <c r="AC45" s="1351">
        <f t="shared" si="5"/>
        <v>1</v>
      </c>
    </row>
    <row r="46" spans="1:29" ht="14.4">
      <c r="A46" s="430" t="s">
        <v>1844</v>
      </c>
      <c r="B46" s="1980" t="s">
        <v>1879</v>
      </c>
      <c r="C46" s="630" t="s">
        <v>0</v>
      </c>
      <c r="D46" s="432"/>
      <c r="E46" s="433"/>
      <c r="F46" s="434"/>
      <c r="G46" s="435"/>
      <c r="H46" s="436"/>
      <c r="I46" s="433"/>
      <c r="J46" s="436"/>
      <c r="K46" s="712"/>
      <c r="L46" s="2722"/>
      <c r="M46" s="2723"/>
      <c r="N46" s="2714"/>
      <c r="O46" s="2723"/>
      <c r="P46" s="3643" t="str">
        <f>A46</f>
        <v>成交单价</v>
      </c>
      <c r="Q46" s="3643"/>
      <c r="R46" s="3672">
        <f>E46</f>
        <v>0</v>
      </c>
      <c r="S46" s="3672"/>
      <c r="T46" s="3672">
        <f>G46</f>
        <v>0</v>
      </c>
      <c r="U46" s="3672"/>
      <c r="V46" s="3672">
        <f>I46</f>
        <v>0</v>
      </c>
      <c r="W46" s="3672"/>
      <c r="X46" s="688"/>
      <c r="Y46" s="710"/>
      <c r="Z46" s="688"/>
      <c r="AA46" s="688"/>
      <c r="AB46" s="688"/>
      <c r="AC46" s="688"/>
    </row>
    <row r="47" spans="1:29" ht="1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3" t="str">
        <f>A47</f>
        <v>比较价值（元/平方米）</v>
      </c>
      <c r="Q47" s="3643"/>
      <c r="R47" s="3758" t="e">
        <f>ROUND(PRODUCT(R46,AA7:AA45),0)</f>
        <v>#DIV/0!</v>
      </c>
      <c r="S47" s="3758"/>
      <c r="T47" s="3758" t="e">
        <f>ROUND(PRODUCT(T46,AB7:AB45),0)</f>
        <v>#DIV/0!</v>
      </c>
      <c r="U47" s="3758"/>
      <c r="V47" s="3758" t="e">
        <f>ROUND(PRODUCT(V46,AC7:AC45),0)</f>
        <v>#DIV/0!</v>
      </c>
      <c r="W47" s="3758"/>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22"/>
      <c r="M48" s="2723"/>
      <c r="N48" s="2723"/>
      <c r="O48" s="2723"/>
      <c r="P48" s="3645" t="str">
        <f>A48</f>
        <v>估价对象XX用房的比较价值（楼面单价，元/平方米）</v>
      </c>
      <c r="Q48" s="3646"/>
      <c r="R48" s="3759" t="e">
        <f>ROUND(IF(D47="简单平均",AVERAGE(R47:W47),R47*F47+T47*H47+V47*J47),0)</f>
        <v>#DIV/0!</v>
      </c>
      <c r="S48" s="3759"/>
      <c r="T48" s="3759"/>
      <c r="U48" s="3759"/>
      <c r="V48" s="3759"/>
      <c r="W48" s="3759"/>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56" t="s">
        <v>1887</v>
      </c>
      <c r="H55" s="376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78042.850000000006</v>
      </c>
      <c r="F56" s="884" t="e">
        <f t="shared" ref="F56:F64" si="15">ROUND(B56*E56/10000,0)</f>
        <v>#DIV/0!</v>
      </c>
      <c r="G56" s="3739"/>
      <c r="H56" s="364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78042.850000000006</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2.2"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4.4">
      <c r="A4" s="355" t="s">
        <v>1769</v>
      </c>
      <c r="B4" s="356"/>
      <c r="C4" s="3656" t="s">
        <v>1770</v>
      </c>
      <c r="D4" s="3657"/>
      <c r="E4" s="3658" t="s">
        <v>1771</v>
      </c>
      <c r="F4" s="3659"/>
      <c r="G4" s="3656" t="s">
        <v>1772</v>
      </c>
      <c r="H4" s="3657"/>
      <c r="I4" s="3656" t="s">
        <v>1773</v>
      </c>
      <c r="J4" s="3657"/>
      <c r="K4" s="559" t="s">
        <v>1774</v>
      </c>
      <c r="L4" s="2713"/>
      <c r="M4" s="2714"/>
      <c r="N4" s="2714"/>
      <c r="O4" s="2714"/>
      <c r="P4" s="3660" t="s">
        <v>1775</v>
      </c>
      <c r="Q4" s="3661"/>
      <c r="R4" s="3666" t="s">
        <v>1771</v>
      </c>
      <c r="S4" s="3667"/>
      <c r="T4" s="3666" t="s">
        <v>1772</v>
      </c>
      <c r="U4" s="3667"/>
      <c r="V4" s="3672" t="s">
        <v>1773</v>
      </c>
      <c r="W4" s="3672"/>
      <c r="X4" s="1353"/>
      <c r="Y4" s="3666" t="s">
        <v>1775</v>
      </c>
      <c r="Z4" s="3667"/>
      <c r="AA4" s="3653" t="s">
        <v>1771</v>
      </c>
      <c r="AB4" s="3654" t="s">
        <v>1772</v>
      </c>
      <c r="AC4" s="3653" t="s">
        <v>1773</v>
      </c>
    </row>
    <row r="5" spans="1:29">
      <c r="A5" s="358"/>
      <c r="B5" s="359"/>
      <c r="C5" s="3680" t="s">
        <v>1673</v>
      </c>
      <c r="D5" s="3676"/>
      <c r="E5" s="3740" t="s">
        <v>1674</v>
      </c>
      <c r="F5" s="3741"/>
      <c r="G5" s="3680" t="s">
        <v>1675</v>
      </c>
      <c r="H5" s="3676"/>
      <c r="I5" s="3680" t="s">
        <v>1676</v>
      </c>
      <c r="J5" s="3676"/>
      <c r="K5" s="559"/>
      <c r="L5" s="2713"/>
      <c r="M5" s="2714"/>
      <c r="N5" s="2714"/>
      <c r="O5" s="2714"/>
      <c r="P5" s="3662"/>
      <c r="Q5" s="3663"/>
      <c r="R5" s="3668"/>
      <c r="S5" s="3669"/>
      <c r="T5" s="3668"/>
      <c r="U5" s="3669"/>
      <c r="V5" s="3672"/>
      <c r="W5" s="3672"/>
      <c r="X5" s="1353"/>
      <c r="Y5" s="3668"/>
      <c r="Z5" s="3669"/>
      <c r="AA5" s="3654"/>
      <c r="AB5" s="3654"/>
      <c r="AC5" s="3654"/>
    </row>
    <row r="6" spans="1:29" ht="15" thickBot="1">
      <c r="A6" s="360"/>
      <c r="B6" s="361"/>
      <c r="C6" s="3761" t="s">
        <v>1919</v>
      </c>
      <c r="D6" s="3762"/>
      <c r="E6" s="3763" t="s">
        <v>1919</v>
      </c>
      <c r="F6" s="3764"/>
      <c r="G6" s="3761" t="s">
        <v>1919</v>
      </c>
      <c r="H6" s="3762"/>
      <c r="I6" s="3761" t="s">
        <v>1919</v>
      </c>
      <c r="J6" s="3762"/>
      <c r="K6" s="559" t="s">
        <v>1678</v>
      </c>
      <c r="L6" s="2713"/>
      <c r="M6" s="2714"/>
      <c r="N6" s="2714"/>
      <c r="O6" s="2714"/>
      <c r="P6" s="3664"/>
      <c r="Q6" s="3665"/>
      <c r="R6" s="3668"/>
      <c r="S6" s="3669"/>
      <c r="T6" s="3670"/>
      <c r="U6" s="3671"/>
      <c r="V6" s="3672"/>
      <c r="W6" s="3672"/>
      <c r="X6" s="1353"/>
      <c r="Y6" s="3670"/>
      <c r="Z6" s="3671"/>
      <c r="AA6" s="3655"/>
      <c r="AB6" s="3655"/>
      <c r="AC6" s="3655"/>
    </row>
    <row r="7" spans="1:29" s="108" customFormat="1" ht="15" thickBot="1">
      <c r="A7" s="362" t="s">
        <v>1679</v>
      </c>
      <c r="B7" s="363"/>
      <c r="C7" s="364">
        <f>'数据-取费表'!B2</f>
        <v>45159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7" t="s">
        <v>1680</v>
      </c>
      <c r="Q7" s="3679"/>
      <c r="R7" s="699" t="s">
        <v>14</v>
      </c>
      <c r="S7" s="700">
        <f t="shared" ref="S7:S15" si="0">F7</f>
        <v>0</v>
      </c>
      <c r="T7" s="699" t="s">
        <v>14</v>
      </c>
      <c r="U7" s="700">
        <f t="shared" ref="U7:U15" si="1">H7</f>
        <v>0</v>
      </c>
      <c r="V7" s="699" t="s">
        <v>14</v>
      </c>
      <c r="W7" s="700">
        <f t="shared" ref="W7:W15" si="2">J7</f>
        <v>0</v>
      </c>
      <c r="X7" s="701"/>
      <c r="Y7" s="3677" t="s">
        <v>1680</v>
      </c>
      <c r="Z7" s="3678"/>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7" t="s">
        <v>1683</v>
      </c>
      <c r="Q8" s="3678"/>
      <c r="R8" s="699" t="s">
        <v>14</v>
      </c>
      <c r="S8" s="700">
        <f t="shared" si="0"/>
        <v>0</v>
      </c>
      <c r="T8" s="699" t="s">
        <v>14</v>
      </c>
      <c r="U8" s="700">
        <f t="shared" si="1"/>
        <v>0</v>
      </c>
      <c r="V8" s="699" t="s">
        <v>14</v>
      </c>
      <c r="W8" s="700">
        <f t="shared" si="2"/>
        <v>0</v>
      </c>
      <c r="X8" s="701"/>
      <c r="Y8" s="3677" t="s">
        <v>1683</v>
      </c>
      <c r="Z8" s="3678"/>
      <c r="AA8" s="702" t="e">
        <f t="shared" ref="AA8:AA40" si="3">D8/F8</f>
        <v>#DIV/0!</v>
      </c>
      <c r="AB8" s="702" t="e">
        <f t="shared" ref="AB8:AB40" si="4">D8/H8</f>
        <v>#DIV/0!</v>
      </c>
      <c r="AC8" s="702"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107</v>
      </c>
      <c r="G10" s="383"/>
      <c r="H10" s="127">
        <f>ROUND(100/'数据-取费表'!G16,0)</f>
        <v>107</v>
      </c>
      <c r="I10" s="383"/>
      <c r="J10" s="127">
        <f>ROUND(100/'数据-取费表'!G16,0)</f>
        <v>107</v>
      </c>
      <c r="K10" s="620"/>
      <c r="L10" s="2717"/>
      <c r="M10" s="2718"/>
      <c r="N10" s="2718"/>
      <c r="O10" s="2771"/>
      <c r="P10" s="3643"/>
      <c r="Q10" s="1341" t="str">
        <f t="shared" si="6"/>
        <v>土地使用年限（年）</v>
      </c>
      <c r="R10" s="699" t="s">
        <v>14</v>
      </c>
      <c r="S10" s="700">
        <f t="shared" si="0"/>
        <v>107</v>
      </c>
      <c r="T10" s="699" t="s">
        <v>14</v>
      </c>
      <c r="U10" s="700">
        <f t="shared" si="1"/>
        <v>107</v>
      </c>
      <c r="V10" s="699" t="s">
        <v>14</v>
      </c>
      <c r="W10" s="700">
        <f t="shared" si="2"/>
        <v>107</v>
      </c>
      <c r="X10" s="701"/>
      <c r="Y10" s="3547"/>
      <c r="Z10" s="52" t="str">
        <f t="shared" si="7"/>
        <v>土地使用年限（年）</v>
      </c>
      <c r="AA10" s="702">
        <f t="shared" si="3"/>
        <v>0.93457943925233644</v>
      </c>
      <c r="AB10" s="702">
        <f t="shared" si="4"/>
        <v>0.93457943925233644</v>
      </c>
      <c r="AC10" s="702">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7"/>
      <c r="Z13" s="52">
        <f t="shared" si="7"/>
        <v>111</v>
      </c>
      <c r="AA13" s="702">
        <f t="shared" si="3"/>
        <v>1</v>
      </c>
      <c r="AB13" s="702">
        <f t="shared" si="4"/>
        <v>1</v>
      </c>
      <c r="AC13" s="702">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7"/>
      <c r="Z14" s="52">
        <f t="shared" si="7"/>
        <v>111</v>
      </c>
      <c r="AA14" s="702">
        <f t="shared" si="3"/>
        <v>1</v>
      </c>
      <c r="AB14" s="702">
        <f t="shared" si="4"/>
        <v>1</v>
      </c>
      <c r="AC14" s="702">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48" t="s">
        <v>1691</v>
      </c>
      <c r="Q15" s="1350" t="str">
        <f t="shared" si="6"/>
        <v>产业集聚程度</v>
      </c>
      <c r="R15" s="703" t="s">
        <v>14</v>
      </c>
      <c r="S15" s="704">
        <f t="shared" si="0"/>
        <v>100</v>
      </c>
      <c r="T15" s="703" t="s">
        <v>14</v>
      </c>
      <c r="U15" s="704">
        <f t="shared" si="1"/>
        <v>100</v>
      </c>
      <c r="V15" s="703" t="s">
        <v>14</v>
      </c>
      <c r="W15" s="704">
        <f t="shared" si="2"/>
        <v>100</v>
      </c>
      <c r="X15" s="1353"/>
      <c r="Y15" s="364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49"/>
      <c r="Q16" s="1350"/>
      <c r="R16" s="703"/>
      <c r="S16" s="704"/>
      <c r="T16" s="703"/>
      <c r="U16" s="704"/>
      <c r="V16" s="703"/>
      <c r="W16" s="704"/>
      <c r="X16" s="1353"/>
      <c r="Y16" s="3649"/>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49"/>
      <c r="Q17" s="1350" t="str">
        <f>B17</f>
        <v>交通便捷度</v>
      </c>
      <c r="R17" s="703" t="s">
        <v>14</v>
      </c>
      <c r="S17" s="704">
        <f>F17</f>
        <v>100</v>
      </c>
      <c r="T17" s="703" t="s">
        <v>14</v>
      </c>
      <c r="U17" s="704">
        <f>H17</f>
        <v>100</v>
      </c>
      <c r="V17" s="703" t="s">
        <v>14</v>
      </c>
      <c r="W17" s="704">
        <f>J17</f>
        <v>100</v>
      </c>
      <c r="X17" s="1353"/>
      <c r="Y17" s="364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49"/>
      <c r="Q18" s="1350"/>
      <c r="R18" s="703"/>
      <c r="S18" s="704"/>
      <c r="T18" s="703"/>
      <c r="U18" s="704"/>
      <c r="V18" s="703"/>
      <c r="W18" s="704"/>
      <c r="X18" s="1353"/>
      <c r="Y18" s="3649"/>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49"/>
      <c r="Q19" s="1350" t="str">
        <f t="shared" ref="Q19:Q33" si="8">B19</f>
        <v>区域土地利用方向</v>
      </c>
      <c r="R19" s="703" t="s">
        <v>14</v>
      </c>
      <c r="S19" s="704">
        <f>F19</f>
        <v>100</v>
      </c>
      <c r="T19" s="703" t="s">
        <v>14</v>
      </c>
      <c r="U19" s="704">
        <f>H19</f>
        <v>100</v>
      </c>
      <c r="V19" s="703" t="s">
        <v>14</v>
      </c>
      <c r="W19" s="704">
        <f>J19</f>
        <v>100</v>
      </c>
      <c r="X19" s="1353"/>
      <c r="Y19" s="364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49"/>
      <c r="Q20" s="1350"/>
      <c r="R20" s="703"/>
      <c r="S20" s="704"/>
      <c r="T20" s="703"/>
      <c r="U20" s="704"/>
      <c r="V20" s="703"/>
      <c r="W20" s="704"/>
      <c r="X20" s="1353"/>
      <c r="Y20" s="3649"/>
      <c r="Z20" s="1354"/>
      <c r="AA20" s="1351"/>
      <c r="AB20" s="1351"/>
      <c r="AC20" s="1351"/>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49"/>
      <c r="Q21" s="1350" t="str">
        <f t="shared" si="8"/>
        <v>环境状况</v>
      </c>
      <c r="R21" s="703" t="s">
        <v>14</v>
      </c>
      <c r="S21" s="704">
        <f>F21</f>
        <v>100</v>
      </c>
      <c r="T21" s="703" t="s">
        <v>14</v>
      </c>
      <c r="U21" s="704">
        <f>H21</f>
        <v>100</v>
      </c>
      <c r="V21" s="703" t="s">
        <v>14</v>
      </c>
      <c r="W21" s="704">
        <f>J21</f>
        <v>100</v>
      </c>
      <c r="X21" s="1353"/>
      <c r="Y21" s="364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49"/>
      <c r="Q22" s="1350"/>
      <c r="R22" s="703"/>
      <c r="S22" s="704"/>
      <c r="T22" s="703"/>
      <c r="U22" s="704"/>
      <c r="V22" s="703"/>
      <c r="W22" s="704"/>
      <c r="X22" s="1353"/>
      <c r="Y22" s="3649"/>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49"/>
      <c r="Q23" s="1341" t="str">
        <f t="shared" si="8"/>
        <v>公共配套设施</v>
      </c>
      <c r="R23" s="699" t="s">
        <v>14</v>
      </c>
      <c r="S23" s="700">
        <f>F23</f>
        <v>100</v>
      </c>
      <c r="T23" s="699" t="s">
        <v>14</v>
      </c>
      <c r="U23" s="700">
        <f>H23</f>
        <v>100</v>
      </c>
      <c r="V23" s="699" t="s">
        <v>14</v>
      </c>
      <c r="W23" s="700">
        <f>J23</f>
        <v>100</v>
      </c>
      <c r="X23" s="701"/>
      <c r="Y23" s="364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49"/>
      <c r="Q24" s="1341"/>
      <c r="R24" s="699"/>
      <c r="S24" s="700"/>
      <c r="T24" s="699"/>
      <c r="U24" s="700"/>
      <c r="V24" s="699"/>
      <c r="W24" s="700"/>
      <c r="X24" s="701"/>
      <c r="Y24" s="3649"/>
      <c r="Z24" s="52"/>
      <c r="AA24" s="702">
        <v>1</v>
      </c>
      <c r="AB24" s="702">
        <v>1</v>
      </c>
      <c r="AC24" s="702">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49"/>
      <c r="Q25" s="1341" t="str">
        <f t="shared" ref="Q25" si="9">B25</f>
        <v>基础设施水平</v>
      </c>
      <c r="R25" s="699" t="s">
        <v>14</v>
      </c>
      <c r="S25" s="700">
        <f>F25</f>
        <v>100</v>
      </c>
      <c r="T25" s="699" t="s">
        <v>14</v>
      </c>
      <c r="U25" s="700">
        <f>H25</f>
        <v>100</v>
      </c>
      <c r="V25" s="699" t="s">
        <v>14</v>
      </c>
      <c r="W25" s="700">
        <f>J25</f>
        <v>100</v>
      </c>
      <c r="X25" s="701"/>
      <c r="Y25" s="364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49"/>
      <c r="Q26" s="1341"/>
      <c r="R26" s="699"/>
      <c r="S26" s="700"/>
      <c r="T26" s="699"/>
      <c r="U26" s="700"/>
      <c r="V26" s="699"/>
      <c r="W26" s="700"/>
      <c r="X26" s="701"/>
      <c r="Y26" s="364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4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49"/>
      <c r="Z27" s="1354" t="str">
        <f t="shared" ref="Z27:Z40" si="13">Q27</f>
        <v>临街状况</v>
      </c>
      <c r="AA27" s="1351">
        <f t="shared" si="3"/>
        <v>1</v>
      </c>
      <c r="AB27" s="1351">
        <f t="shared" si="4"/>
        <v>1</v>
      </c>
      <c r="AC27" s="1351">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49"/>
      <c r="Q28" s="1350" t="str">
        <f t="shared" si="8"/>
        <v>毗邻道路的类型与等级</v>
      </c>
      <c r="R28" s="703" t="s">
        <v>14</v>
      </c>
      <c r="S28" s="704">
        <f t="shared" si="10"/>
        <v>100</v>
      </c>
      <c r="T28" s="703" t="s">
        <v>14</v>
      </c>
      <c r="U28" s="704">
        <f t="shared" si="11"/>
        <v>100</v>
      </c>
      <c r="V28" s="703" t="s">
        <v>14</v>
      </c>
      <c r="W28" s="704">
        <f t="shared" si="12"/>
        <v>100</v>
      </c>
      <c r="X28" s="1353"/>
      <c r="Y28" s="364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49"/>
      <c r="Q29" s="1350"/>
      <c r="R29" s="703"/>
      <c r="S29" s="704"/>
      <c r="T29" s="703"/>
      <c r="U29" s="704"/>
      <c r="V29" s="703"/>
      <c r="W29" s="704"/>
      <c r="X29" s="1353"/>
      <c r="Y29" s="364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49"/>
      <c r="Q30" s="1350" t="str">
        <f t="shared" si="8"/>
        <v>土地级别</v>
      </c>
      <c r="R30" s="703" t="s">
        <v>14</v>
      </c>
      <c r="S30" s="704">
        <f t="shared" si="10"/>
        <v>100</v>
      </c>
      <c r="T30" s="703" t="s">
        <v>14</v>
      </c>
      <c r="U30" s="704">
        <f t="shared" si="11"/>
        <v>100</v>
      </c>
      <c r="V30" s="703" t="s">
        <v>14</v>
      </c>
      <c r="W30" s="704">
        <f t="shared" si="12"/>
        <v>100</v>
      </c>
      <c r="X30" s="1353"/>
      <c r="Y30" s="364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49"/>
      <c r="Q31" s="1350">
        <f t="shared" si="8"/>
        <v>111</v>
      </c>
      <c r="R31" s="703" t="s">
        <v>14</v>
      </c>
      <c r="S31" s="704">
        <f t="shared" si="10"/>
        <v>100</v>
      </c>
      <c r="T31" s="703" t="s">
        <v>14</v>
      </c>
      <c r="U31" s="704">
        <f t="shared" si="11"/>
        <v>100</v>
      </c>
      <c r="V31" s="703" t="s">
        <v>14</v>
      </c>
      <c r="W31" s="704">
        <f t="shared" si="12"/>
        <v>100</v>
      </c>
      <c r="X31" s="1353"/>
      <c r="Y31" s="364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50" t="s">
        <v>1696</v>
      </c>
      <c r="Q32" s="1350">
        <f t="shared" si="8"/>
        <v>111</v>
      </c>
      <c r="R32" s="703" t="s">
        <v>14</v>
      </c>
      <c r="S32" s="704">
        <f t="shared" si="10"/>
        <v>100</v>
      </c>
      <c r="T32" s="703" t="s">
        <v>14</v>
      </c>
      <c r="U32" s="704">
        <f t="shared" si="11"/>
        <v>100</v>
      </c>
      <c r="V32" s="703" t="s">
        <v>14</v>
      </c>
      <c r="W32" s="704">
        <f t="shared" si="12"/>
        <v>100</v>
      </c>
      <c r="X32" s="1353"/>
      <c r="Y32" s="3651" t="s">
        <v>1696</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1"/>
      <c r="Q33" s="1350">
        <f t="shared" si="8"/>
        <v>111</v>
      </c>
      <c r="R33" s="706" t="s">
        <v>14</v>
      </c>
      <c r="S33" s="707">
        <f t="shared" si="10"/>
        <v>100</v>
      </c>
      <c r="T33" s="706" t="s">
        <v>14</v>
      </c>
      <c r="U33" s="707">
        <f t="shared" si="11"/>
        <v>100</v>
      </c>
      <c r="V33" s="706" t="s">
        <v>14</v>
      </c>
      <c r="W33" s="707">
        <f t="shared" si="12"/>
        <v>100</v>
      </c>
      <c r="X33" s="708"/>
      <c r="Y33" s="3651"/>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1"/>
      <c r="Q34" s="1350" t="str">
        <f>B34</f>
        <v>宗地面积</v>
      </c>
      <c r="R34" s="703" t="s">
        <v>14</v>
      </c>
      <c r="S34" s="704" t="e">
        <f t="shared" si="10"/>
        <v>#N/A</v>
      </c>
      <c r="T34" s="703" t="s">
        <v>14</v>
      </c>
      <c r="U34" s="704" t="e">
        <f t="shared" si="11"/>
        <v>#N/A</v>
      </c>
      <c r="V34" s="703" t="s">
        <v>14</v>
      </c>
      <c r="W34" s="704" t="e">
        <f t="shared" si="12"/>
        <v>#N/A</v>
      </c>
      <c r="X34" s="1353"/>
      <c r="Y34" s="365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1"/>
      <c r="Q35" s="1350" t="str">
        <f t="shared" ref="Q35:Q40" si="14">B35</f>
        <v>宗地形状</v>
      </c>
      <c r="R35" s="703" t="s">
        <v>14</v>
      </c>
      <c r="S35" s="704">
        <f t="shared" si="10"/>
        <v>100</v>
      </c>
      <c r="T35" s="703" t="s">
        <v>14</v>
      </c>
      <c r="U35" s="704">
        <f t="shared" si="11"/>
        <v>100</v>
      </c>
      <c r="V35" s="703" t="s">
        <v>14</v>
      </c>
      <c r="W35" s="704">
        <f t="shared" si="12"/>
        <v>100</v>
      </c>
      <c r="X35" s="1353"/>
      <c r="Y35" s="365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1"/>
      <c r="Q36" s="1350" t="str">
        <f t="shared" si="14"/>
        <v>宗地开发程度</v>
      </c>
      <c r="R36" s="699" t="s">
        <v>14</v>
      </c>
      <c r="S36" s="700">
        <f t="shared" si="10"/>
        <v>100</v>
      </c>
      <c r="T36" s="699" t="s">
        <v>14</v>
      </c>
      <c r="U36" s="700">
        <f t="shared" si="11"/>
        <v>100</v>
      </c>
      <c r="V36" s="699" t="s">
        <v>14</v>
      </c>
      <c r="W36" s="700">
        <f t="shared" si="12"/>
        <v>100</v>
      </c>
      <c r="X36" s="701"/>
      <c r="Y36" s="3651"/>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1" t="s">
        <v>1696</v>
      </c>
      <c r="Q37" s="1350" t="str">
        <f t="shared" si="14"/>
        <v>工程地质条件</v>
      </c>
      <c r="R37" s="703" t="s">
        <v>14</v>
      </c>
      <c r="S37" s="704">
        <f t="shared" si="10"/>
        <v>100</v>
      </c>
      <c r="T37" s="703" t="s">
        <v>14</v>
      </c>
      <c r="U37" s="704">
        <f t="shared" si="11"/>
        <v>100</v>
      </c>
      <c r="V37" s="703" t="s">
        <v>14</v>
      </c>
      <c r="W37" s="704">
        <f t="shared" si="12"/>
        <v>100</v>
      </c>
      <c r="X37" s="1353"/>
      <c r="Y37" s="365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1"/>
      <c r="Q38" s="1350">
        <f t="shared" si="14"/>
        <v>111</v>
      </c>
      <c r="R38" s="703" t="s">
        <v>14</v>
      </c>
      <c r="S38" s="704">
        <f t="shared" si="10"/>
        <v>100</v>
      </c>
      <c r="T38" s="703" t="s">
        <v>14</v>
      </c>
      <c r="U38" s="704">
        <f t="shared" si="11"/>
        <v>100</v>
      </c>
      <c r="V38" s="703" t="s">
        <v>14</v>
      </c>
      <c r="W38" s="704">
        <f t="shared" si="12"/>
        <v>100</v>
      </c>
      <c r="X38" s="1353"/>
      <c r="Y38" s="365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1"/>
      <c r="Q39" s="1350">
        <f t="shared" si="14"/>
        <v>111</v>
      </c>
      <c r="R39" s="703" t="s">
        <v>14</v>
      </c>
      <c r="S39" s="704">
        <f t="shared" si="10"/>
        <v>100</v>
      </c>
      <c r="T39" s="703" t="s">
        <v>14</v>
      </c>
      <c r="U39" s="704">
        <f t="shared" si="11"/>
        <v>100</v>
      </c>
      <c r="V39" s="703" t="s">
        <v>14</v>
      </c>
      <c r="W39" s="704">
        <f t="shared" si="12"/>
        <v>100</v>
      </c>
      <c r="X39" s="1353"/>
      <c r="Y39" s="3651"/>
      <c r="Z39" s="1354">
        <f t="shared" si="13"/>
        <v>111</v>
      </c>
      <c r="AA39" s="1351">
        <f t="shared" si="3"/>
        <v>1</v>
      </c>
      <c r="AB39" s="1351">
        <f t="shared" si="4"/>
        <v>1</v>
      </c>
      <c r="AC39" s="1351">
        <f t="shared" si="5"/>
        <v>1</v>
      </c>
    </row>
    <row r="40" spans="1:31" s="422" customFormat="1" ht="15.6"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1"/>
      <c r="Q40" s="1350">
        <f t="shared" si="14"/>
        <v>111</v>
      </c>
      <c r="R40" s="706" t="s">
        <v>14</v>
      </c>
      <c r="S40" s="707">
        <f t="shared" si="10"/>
        <v>100</v>
      </c>
      <c r="T40" s="706" t="s">
        <v>14</v>
      </c>
      <c r="U40" s="707">
        <f t="shared" si="11"/>
        <v>100</v>
      </c>
      <c r="V40" s="706" t="s">
        <v>14</v>
      </c>
      <c r="W40" s="707">
        <f t="shared" si="12"/>
        <v>100</v>
      </c>
      <c r="X40" s="708"/>
      <c r="Y40" s="3651"/>
      <c r="Z40" s="709">
        <f t="shared" si="13"/>
        <v>111</v>
      </c>
      <c r="AA40" s="1351">
        <f t="shared" si="3"/>
        <v>1</v>
      </c>
      <c r="AB40" s="1351">
        <f t="shared" si="4"/>
        <v>1</v>
      </c>
      <c r="AC40" s="1351">
        <f t="shared" si="5"/>
        <v>1</v>
      </c>
    </row>
    <row r="41" spans="1:31" ht="14.4">
      <c r="A41" s="430" t="s">
        <v>1844</v>
      </c>
      <c r="B41" s="1980" t="s">
        <v>1922</v>
      </c>
      <c r="C41" s="630" t="s">
        <v>0</v>
      </c>
      <c r="D41" s="432"/>
      <c r="E41" s="433">
        <v>9000</v>
      </c>
      <c r="F41" s="434"/>
      <c r="G41" s="435">
        <f>E41</f>
        <v>9000</v>
      </c>
      <c r="H41" s="436"/>
      <c r="I41" s="433"/>
      <c r="J41" s="436"/>
      <c r="K41" s="712"/>
      <c r="L41" s="2722"/>
      <c r="M41" s="2714"/>
      <c r="N41" s="2714"/>
      <c r="O41" s="2723"/>
      <c r="P41" s="3643" t="str">
        <f>A41</f>
        <v>成交单价</v>
      </c>
      <c r="Q41" s="3643"/>
      <c r="R41" s="3672">
        <f>E41</f>
        <v>9000</v>
      </c>
      <c r="S41" s="3672"/>
      <c r="T41" s="3672">
        <f>G41</f>
        <v>9000</v>
      </c>
      <c r="U41" s="3672"/>
      <c r="V41" s="3672">
        <f>I41</f>
        <v>0</v>
      </c>
      <c r="W41" s="3672"/>
      <c r="X41" s="688"/>
      <c r="Y41" s="710"/>
      <c r="Z41" s="688"/>
      <c r="AA41" s="688"/>
      <c r="AB41" s="688"/>
      <c r="AC41" s="688"/>
    </row>
    <row r="42" spans="1:31" ht="1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3" t="str">
        <f>A42</f>
        <v>比较价值（元/平方米）</v>
      </c>
      <c r="Q42" s="3643"/>
      <c r="R42" s="3758" t="e">
        <f>ROUND(PRODUCT(R41,AA7:AA40),0)</f>
        <v>#DIV/0!</v>
      </c>
      <c r="S42" s="3758"/>
      <c r="T42" s="3758" t="e">
        <f>ROUND(PRODUCT(T41,AB7:AB40),0)</f>
        <v>#DIV/0!</v>
      </c>
      <c r="U42" s="3758"/>
      <c r="V42" s="3758" t="e">
        <f>ROUND(PRODUCT(V41,AC7:AC40),0)</f>
        <v>#DIV/0!</v>
      </c>
      <c r="W42" s="3758"/>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22"/>
      <c r="M43" s="2714"/>
      <c r="N43" s="2714"/>
      <c r="O43" s="2723"/>
      <c r="P43" s="3645" t="str">
        <f>A43</f>
        <v>估价对象XX用房的比较价值（楼面单价，元/平方米）</v>
      </c>
      <c r="Q43" s="3646"/>
      <c r="R43" s="3759" t="e">
        <f>ROUND(IF(D42="简单平均",AVERAGE(R42:W42),R42*F42+T42*H42+V42*J42),0)</f>
        <v>#DIV/0!</v>
      </c>
      <c r="S43" s="3759"/>
      <c r="T43" s="3759"/>
      <c r="U43" s="3759"/>
      <c r="V43" s="3759"/>
      <c r="W43" s="3759"/>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656" t="s">
        <v>1887</v>
      </c>
      <c r="H50" s="376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78042.850000000006</v>
      </c>
      <c r="F51" s="639" t="e">
        <f t="shared" ref="F51:F60" si="15">ROUND(B51*E51/10000,0)</f>
        <v>#DIV/0!</v>
      </c>
      <c r="G51" s="3739"/>
      <c r="H51" s="364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2.2"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6212</v>
      </c>
      <c r="C2" s="2143" t="s">
        <v>2074</v>
      </c>
      <c r="D2" s="2143" t="s">
        <v>2075</v>
      </c>
      <c r="E2" s="2610">
        <f ca="1">SUMIF(E6:E13,"&lt;&gt;#ref!",E6:E13)</f>
        <v>78042.850000000006</v>
      </c>
      <c r="F2" s="2791"/>
      <c r="G2" s="2791"/>
      <c r="H2" s="2791"/>
      <c r="I2" s="2791"/>
      <c r="J2" s="2791"/>
      <c r="K2" s="2791"/>
      <c r="L2" s="2791"/>
      <c r="M2" s="2791"/>
      <c r="N2" s="2791"/>
      <c r="O2" s="2791"/>
      <c r="P2" s="2791"/>
    </row>
    <row r="3" spans="1:16" ht="15.6">
      <c r="A3" s="2143" t="s">
        <v>2076</v>
      </c>
      <c r="B3" s="2600">
        <f ca="1">ROUND(B2*10000/E2,0)</f>
        <v>796</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6212</v>
      </c>
      <c r="C6" s="2143" t="s">
        <v>2074</v>
      </c>
      <c r="D6" s="2791"/>
      <c r="E6" s="2610">
        <f ca="1">SUMIF(INDIRECT("'"&amp;A6&amp;"'"&amp;"!C:C"),"建筑面积",INDIRECT("'"&amp;A6&amp;"'"&amp;"!D:D"))</f>
        <v>78042.850000000006</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4" t="s">
        <v>2610</v>
      </c>
      <c r="B20" s="3769" t="s">
        <v>2631</v>
      </c>
      <c r="C20" s="3101" t="s">
        <v>2442</v>
      </c>
      <c r="D20" s="3102"/>
      <c r="E20" s="3103">
        <v>1</v>
      </c>
      <c r="F20" s="3104" t="s">
        <v>2443</v>
      </c>
      <c r="G20" s="3104"/>
    </row>
    <row r="21" spans="1:13" ht="19.5" customHeight="1">
      <c r="A21" s="3775"/>
      <c r="B21" s="3768"/>
      <c r="C21" s="3105" t="s">
        <v>2444</v>
      </c>
      <c r="D21" s="3106"/>
      <c r="E21" s="3107">
        <v>1</v>
      </c>
      <c r="F21" s="3104" t="s">
        <v>2445</v>
      </c>
      <c r="G21" s="3104"/>
    </row>
    <row r="22" spans="1:13" ht="19.5" customHeight="1">
      <c r="A22" s="3775"/>
      <c r="B22" s="3768"/>
      <c r="C22" s="3105" t="s">
        <v>2446</v>
      </c>
      <c r="D22" s="3106"/>
      <c r="E22" s="3107">
        <v>0.9</v>
      </c>
      <c r="F22" s="3104" t="s">
        <v>2447</v>
      </c>
      <c r="G22" s="3104"/>
    </row>
    <row r="23" spans="1:13" ht="19.5" customHeight="1">
      <c r="A23" s="3775"/>
      <c r="B23" s="3768"/>
      <c r="C23" s="3105" t="s">
        <v>2448</v>
      </c>
      <c r="D23" s="3106"/>
      <c r="E23" s="3107">
        <v>0.9</v>
      </c>
      <c r="F23" s="3104" t="s">
        <v>2449</v>
      </c>
      <c r="G23" s="3104"/>
    </row>
    <row r="24" spans="1:13" ht="19.5" customHeight="1">
      <c r="A24" s="3775"/>
      <c r="B24" s="3768"/>
      <c r="C24" s="3105" t="s">
        <v>2450</v>
      </c>
      <c r="D24" s="3106"/>
      <c r="E24" s="3107">
        <v>0.8</v>
      </c>
      <c r="F24" s="3104" t="s">
        <v>2451</v>
      </c>
      <c r="G24" s="3104"/>
    </row>
    <row r="25" spans="1:13" ht="19.5" customHeight="1" thickBot="1">
      <c r="A25" s="3776"/>
      <c r="B25" s="377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1" t="s">
        <v>2634</v>
      </c>
      <c r="B27" s="3769" t="s">
        <v>2615</v>
      </c>
      <c r="C27" s="3101" t="s">
        <v>2455</v>
      </c>
      <c r="D27" s="3102"/>
      <c r="E27" s="3103">
        <v>1</v>
      </c>
      <c r="F27" s="3104" t="s">
        <v>2456</v>
      </c>
      <c r="G27" s="3104"/>
    </row>
    <row r="28" spans="1:13" ht="19.5" customHeight="1">
      <c r="A28" s="3772"/>
      <c r="B28" s="3768"/>
      <c r="C28" s="3105" t="s">
        <v>2457</v>
      </c>
      <c r="D28" s="3106"/>
      <c r="E28" s="3107">
        <v>1</v>
      </c>
      <c r="F28" s="3104" t="s">
        <v>2458</v>
      </c>
      <c r="G28" s="3104"/>
    </row>
    <row r="29" spans="1:13" ht="19.5" customHeight="1">
      <c r="A29" s="3772"/>
      <c r="B29" s="3768"/>
      <c r="C29" s="3105" t="s">
        <v>2459</v>
      </c>
      <c r="D29" s="3106"/>
      <c r="E29" s="3107">
        <v>0.8</v>
      </c>
      <c r="F29" s="3104" t="s">
        <v>2460</v>
      </c>
      <c r="G29" s="3104"/>
    </row>
    <row r="30" spans="1:13" ht="19.5" customHeight="1">
      <c r="A30" s="3772"/>
      <c r="B30" s="3768"/>
      <c r="C30" s="3105" t="s">
        <v>2461</v>
      </c>
      <c r="D30" s="3106"/>
      <c r="E30" s="3107">
        <v>0.8</v>
      </c>
      <c r="F30" s="3104" t="s">
        <v>2462</v>
      </c>
      <c r="G30" s="3104"/>
    </row>
    <row r="31" spans="1:13" ht="19.5" customHeight="1">
      <c r="A31" s="3772"/>
      <c r="B31" s="3768"/>
      <c r="C31" s="3105" t="s">
        <v>2463</v>
      </c>
      <c r="D31" s="3106"/>
      <c r="E31" s="3107">
        <v>0.8</v>
      </c>
      <c r="F31" s="3104" t="s">
        <v>2464</v>
      </c>
      <c r="G31" s="3104"/>
    </row>
    <row r="32" spans="1:13" ht="19.5" customHeight="1">
      <c r="A32" s="3772"/>
      <c r="B32" s="3768"/>
      <c r="C32" s="3105" t="s">
        <v>2465</v>
      </c>
      <c r="D32" s="3106"/>
      <c r="E32" s="3107">
        <v>0.7</v>
      </c>
      <c r="F32" s="3104" t="s">
        <v>2466</v>
      </c>
      <c r="G32" s="3104"/>
    </row>
    <row r="33" spans="1:7" ht="19.5" customHeight="1">
      <c r="A33" s="3772"/>
      <c r="B33" s="3768"/>
      <c r="C33" s="3105" t="s">
        <v>2467</v>
      </c>
      <c r="D33" s="3106"/>
      <c r="E33" s="3107">
        <v>0.8</v>
      </c>
      <c r="F33" s="3104" t="s">
        <v>2468</v>
      </c>
      <c r="G33" s="3104"/>
    </row>
    <row r="34" spans="1:7" ht="19.5" customHeight="1">
      <c r="A34" s="3772"/>
      <c r="B34" s="3768"/>
      <c r="C34" s="3105" t="s">
        <v>2469</v>
      </c>
      <c r="D34" s="3106"/>
      <c r="E34" s="3107">
        <v>0.6</v>
      </c>
      <c r="F34" s="3104" t="s">
        <v>2470</v>
      </c>
      <c r="G34" s="3104"/>
    </row>
    <row r="35" spans="1:7" ht="19.5" customHeight="1">
      <c r="A35" s="3772"/>
      <c r="B35" s="3768"/>
      <c r="C35" s="3105" t="s">
        <v>2471</v>
      </c>
      <c r="D35" s="3106"/>
      <c r="E35" s="3107">
        <v>0.2</v>
      </c>
      <c r="F35" s="3104" t="s">
        <v>2472</v>
      </c>
      <c r="G35" s="3104"/>
    </row>
    <row r="36" spans="1:7" ht="19.5" customHeight="1">
      <c r="A36" s="3772"/>
      <c r="B36" s="3768"/>
      <c r="C36" s="3105" t="s">
        <v>2473</v>
      </c>
      <c r="D36" s="3106"/>
      <c r="E36" s="3107">
        <v>0.2</v>
      </c>
      <c r="F36" s="3104" t="s">
        <v>2474</v>
      </c>
      <c r="G36" s="3104"/>
    </row>
    <row r="37" spans="1:7" ht="19.5" customHeight="1">
      <c r="A37" s="3772"/>
      <c r="B37" s="3766" t="s">
        <v>2635</v>
      </c>
      <c r="C37" s="3105" t="s">
        <v>2475</v>
      </c>
      <c r="D37" s="3106"/>
      <c r="E37" s="3107">
        <v>0.6</v>
      </c>
      <c r="F37" s="3104" t="s">
        <v>2476</v>
      </c>
      <c r="G37" s="3104"/>
    </row>
    <row r="38" spans="1:7" ht="19.5" customHeight="1">
      <c r="A38" s="3772"/>
      <c r="B38" s="3768"/>
      <c r="C38" s="3105" t="s">
        <v>2477</v>
      </c>
      <c r="D38" s="3106"/>
      <c r="E38" s="3107">
        <v>0.6</v>
      </c>
      <c r="F38" s="3104" t="s">
        <v>2478</v>
      </c>
      <c r="G38" s="3104"/>
    </row>
    <row r="39" spans="1:7" ht="19.5" customHeight="1" thickBot="1">
      <c r="A39" s="3773"/>
      <c r="B39" s="377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4" t="s">
        <v>2613</v>
      </c>
      <c r="B41" s="3769" t="s">
        <v>2637</v>
      </c>
      <c r="C41" s="3101" t="s">
        <v>2482</v>
      </c>
      <c r="D41" s="3102"/>
      <c r="E41" s="3103">
        <v>1</v>
      </c>
      <c r="F41" s="3104" t="s">
        <v>2483</v>
      </c>
      <c r="G41" s="3104"/>
    </row>
    <row r="42" spans="1:7" ht="19.5" customHeight="1">
      <c r="A42" s="3775"/>
      <c r="B42" s="3768"/>
      <c r="C42" s="3105" t="s">
        <v>2484</v>
      </c>
      <c r="D42" s="3106"/>
      <c r="E42" s="3107">
        <v>1</v>
      </c>
      <c r="F42" s="3104" t="s">
        <v>2485</v>
      </c>
      <c r="G42" s="3104"/>
    </row>
    <row r="43" spans="1:7" ht="19.5" customHeight="1">
      <c r="A43" s="3775"/>
      <c r="B43" s="3767"/>
      <c r="C43" s="3105" t="s">
        <v>2486</v>
      </c>
      <c r="D43" s="3106"/>
      <c r="E43" s="3107">
        <v>1.5</v>
      </c>
      <c r="F43" s="3104" t="s">
        <v>2487</v>
      </c>
      <c r="G43" s="3104"/>
    </row>
    <row r="44" spans="1:7" ht="19.5" customHeight="1">
      <c r="A44" s="3775"/>
      <c r="B44" s="3116" t="s">
        <v>2638</v>
      </c>
      <c r="C44" s="3105" t="s">
        <v>2639</v>
      </c>
      <c r="D44" s="3106"/>
      <c r="E44" s="3107">
        <v>2</v>
      </c>
      <c r="F44" s="3104" t="s">
        <v>2488</v>
      </c>
      <c r="G44" s="3104"/>
    </row>
    <row r="45" spans="1:7" ht="19.5" customHeight="1">
      <c r="A45" s="3775"/>
      <c r="B45" s="3766" t="s">
        <v>2640</v>
      </c>
      <c r="C45" s="3105" t="s">
        <v>2489</v>
      </c>
      <c r="D45" s="3106"/>
      <c r="E45" s="3107">
        <v>1</v>
      </c>
      <c r="F45" s="3104" t="s">
        <v>2490</v>
      </c>
      <c r="G45" s="3104"/>
    </row>
    <row r="46" spans="1:7" ht="19.5" customHeight="1">
      <c r="A46" s="3775"/>
      <c r="B46" s="3768"/>
      <c r="C46" s="3105" t="s">
        <v>2491</v>
      </c>
      <c r="D46" s="3106"/>
      <c r="E46" s="3107">
        <v>1</v>
      </c>
      <c r="F46" s="3104" t="s">
        <v>2492</v>
      </c>
      <c r="G46" s="3104"/>
    </row>
    <row r="47" spans="1:7" ht="19.5" customHeight="1">
      <c r="A47" s="3775"/>
      <c r="B47" s="3768"/>
      <c r="C47" s="3105" t="s">
        <v>2493</v>
      </c>
      <c r="D47" s="3106"/>
      <c r="E47" s="3107">
        <v>1</v>
      </c>
      <c r="F47" s="3104" t="s">
        <v>2494</v>
      </c>
      <c r="G47" s="3104"/>
    </row>
    <row r="48" spans="1:7" ht="19.5" customHeight="1">
      <c r="A48" s="3775"/>
      <c r="B48" s="3768"/>
      <c r="C48" s="3105" t="s">
        <v>2495</v>
      </c>
      <c r="D48" s="3106"/>
      <c r="E48" s="3107">
        <v>1</v>
      </c>
      <c r="F48" s="3104" t="s">
        <v>2496</v>
      </c>
      <c r="G48" s="3104"/>
    </row>
    <row r="49" spans="1:7" ht="19.5" customHeight="1">
      <c r="A49" s="3775"/>
      <c r="B49" s="3768"/>
      <c r="C49" s="3105" t="s">
        <v>2497</v>
      </c>
      <c r="D49" s="3106"/>
      <c r="E49" s="3107">
        <v>1</v>
      </c>
      <c r="F49" s="3104" t="s">
        <v>2498</v>
      </c>
      <c r="G49" s="3104"/>
    </row>
    <row r="50" spans="1:7" ht="19.5" customHeight="1">
      <c r="A50" s="3775"/>
      <c r="B50" s="3768"/>
      <c r="C50" s="3105" t="s">
        <v>2499</v>
      </c>
      <c r="D50" s="3106"/>
      <c r="E50" s="3107">
        <v>1</v>
      </c>
      <c r="F50" s="3104" t="s">
        <v>2500</v>
      </c>
      <c r="G50" s="3104"/>
    </row>
    <row r="51" spans="1:7" ht="19.5" customHeight="1" thickBot="1">
      <c r="A51" s="3776"/>
      <c r="B51" s="377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4.4">
      <c r="A72" s="3116"/>
      <c r="B72" s="3116"/>
      <c r="C72" s="3116" t="s">
        <v>2653</v>
      </c>
      <c r="D72" s="3116"/>
      <c r="E72" s="3116" t="s">
        <v>2624</v>
      </c>
      <c r="F72" s="3116" t="s">
        <v>2624</v>
      </c>
    </row>
    <row r="73" spans="1:7" ht="14.4">
      <c r="A73" s="3116">
        <v>1</v>
      </c>
      <c r="B73" s="3766" t="s">
        <v>2654</v>
      </c>
      <c r="C73" s="3090" t="s">
        <v>2655</v>
      </c>
      <c r="D73" s="3090" t="s">
        <v>2656</v>
      </c>
      <c r="E73" s="3116">
        <v>0.2</v>
      </c>
      <c r="F73" s="3116">
        <v>25</v>
      </c>
    </row>
    <row r="74" spans="1:7" ht="24">
      <c r="A74" s="3116">
        <v>2</v>
      </c>
      <c r="B74" s="3768"/>
      <c r="C74" s="3090" t="s">
        <v>2657</v>
      </c>
      <c r="D74" s="3090" t="s">
        <v>2658</v>
      </c>
      <c r="E74" s="3116">
        <v>0.2</v>
      </c>
      <c r="F74" s="3116">
        <v>25</v>
      </c>
    </row>
    <row r="75" spans="1:7" ht="24">
      <c r="A75" s="3116">
        <v>3</v>
      </c>
      <c r="B75" s="3768"/>
      <c r="C75" s="3090" t="s">
        <v>2659</v>
      </c>
      <c r="D75" s="3090" t="s">
        <v>2660</v>
      </c>
      <c r="E75" s="3116">
        <v>0.2</v>
      </c>
      <c r="F75" s="3116">
        <v>25</v>
      </c>
    </row>
    <row r="76" spans="1:7" ht="14.4">
      <c r="A76" s="3116">
        <v>4</v>
      </c>
      <c r="B76" s="3768"/>
      <c r="C76" s="3090" t="s">
        <v>2661</v>
      </c>
      <c r="D76" s="3090" t="s">
        <v>2662</v>
      </c>
      <c r="E76" s="3116">
        <v>0.15</v>
      </c>
      <c r="F76" s="3116">
        <v>20</v>
      </c>
    </row>
    <row r="77" spans="1:7" ht="24">
      <c r="A77" s="3116">
        <v>5</v>
      </c>
      <c r="B77" s="3768"/>
      <c r="C77" s="3090" t="s">
        <v>2663</v>
      </c>
      <c r="D77" s="3090" t="s">
        <v>2664</v>
      </c>
      <c r="E77" s="3116">
        <v>0.15</v>
      </c>
      <c r="F77" s="3116">
        <v>20</v>
      </c>
    </row>
    <row r="78" spans="1:7" ht="24">
      <c r="A78" s="3116">
        <v>6</v>
      </c>
      <c r="B78" s="3768"/>
      <c r="C78" s="3090" t="s">
        <v>2665</v>
      </c>
      <c r="D78" s="3090" t="s">
        <v>2666</v>
      </c>
      <c r="E78" s="3116">
        <v>0.15</v>
      </c>
      <c r="F78" s="3116">
        <v>20</v>
      </c>
    </row>
    <row r="79" spans="1:7" ht="24">
      <c r="A79" s="3116">
        <v>7</v>
      </c>
      <c r="B79" s="3768"/>
      <c r="C79" s="3090" t="s">
        <v>2667</v>
      </c>
      <c r="D79" s="3090" t="s">
        <v>2668</v>
      </c>
      <c r="E79" s="3116">
        <v>0.15</v>
      </c>
      <c r="F79" s="3116">
        <v>20</v>
      </c>
    </row>
    <row r="80" spans="1:7" ht="24">
      <c r="A80" s="3116">
        <v>8</v>
      </c>
      <c r="B80" s="3768"/>
      <c r="C80" s="3090" t="s">
        <v>2669</v>
      </c>
      <c r="D80" s="3090" t="s">
        <v>2670</v>
      </c>
      <c r="E80" s="3116">
        <v>0.1</v>
      </c>
      <c r="F80" s="3116">
        <v>15</v>
      </c>
    </row>
    <row r="81" spans="1:6" ht="24">
      <c r="A81" s="3116">
        <v>9</v>
      </c>
      <c r="B81" s="3768"/>
      <c r="C81" s="3090" t="s">
        <v>2671</v>
      </c>
      <c r="D81" s="3090" t="s">
        <v>2672</v>
      </c>
      <c r="E81" s="3116">
        <v>0.1</v>
      </c>
      <c r="F81" s="3116">
        <v>15</v>
      </c>
    </row>
    <row r="82" spans="1:6" ht="24">
      <c r="A82" s="3116">
        <v>10</v>
      </c>
      <c r="B82" s="3768"/>
      <c r="C82" s="3090" t="s">
        <v>2673</v>
      </c>
      <c r="D82" s="3090" t="s">
        <v>2674</v>
      </c>
      <c r="E82" s="3116">
        <v>0.1</v>
      </c>
      <c r="F82" s="3116">
        <v>15</v>
      </c>
    </row>
    <row r="83" spans="1:6" ht="24">
      <c r="A83" s="3116">
        <v>11</v>
      </c>
      <c r="B83" s="3768"/>
      <c r="C83" s="3090" t="s">
        <v>2675</v>
      </c>
      <c r="D83" s="3090" t="s">
        <v>2676</v>
      </c>
      <c r="E83" s="3116">
        <v>0.1</v>
      </c>
      <c r="F83" s="3116">
        <v>15</v>
      </c>
    </row>
    <row r="84" spans="1:6" ht="24">
      <c r="A84" s="3116">
        <v>12</v>
      </c>
      <c r="B84" s="3768"/>
      <c r="C84" s="3090" t="s">
        <v>2677</v>
      </c>
      <c r="D84" s="3090" t="s">
        <v>2678</v>
      </c>
      <c r="E84" s="3116">
        <v>0.1</v>
      </c>
      <c r="F84" s="3116">
        <v>15</v>
      </c>
    </row>
    <row r="85" spans="1:6" ht="24">
      <c r="A85" s="3116">
        <v>13</v>
      </c>
      <c r="B85" s="3768"/>
      <c r="C85" s="3090" t="s">
        <v>2679</v>
      </c>
      <c r="D85" s="3090" t="s">
        <v>2680</v>
      </c>
      <c r="E85" s="3116">
        <v>0.1</v>
      </c>
      <c r="F85" s="3116">
        <v>15</v>
      </c>
    </row>
    <row r="86" spans="1:6" ht="24">
      <c r="A86" s="3116">
        <v>14</v>
      </c>
      <c r="B86" s="3768"/>
      <c r="C86" s="3090" t="s">
        <v>2681</v>
      </c>
      <c r="D86" s="3090" t="s">
        <v>2682</v>
      </c>
      <c r="E86" s="3116">
        <v>0.1</v>
      </c>
      <c r="F86" s="3116">
        <v>15</v>
      </c>
    </row>
    <row r="87" spans="1:6" ht="24">
      <c r="A87" s="3116">
        <v>15</v>
      </c>
      <c r="B87" s="3768"/>
      <c r="C87" s="3090" t="s">
        <v>2683</v>
      </c>
      <c r="D87" s="3090" t="s">
        <v>2684</v>
      </c>
      <c r="E87" s="3116">
        <v>0.1</v>
      </c>
      <c r="F87" s="3116">
        <v>15</v>
      </c>
    </row>
    <row r="88" spans="1:6" ht="24">
      <c r="A88" s="3116">
        <v>16</v>
      </c>
      <c r="B88" s="3768"/>
      <c r="C88" s="3090" t="s">
        <v>2685</v>
      </c>
      <c r="D88" s="3090" t="s">
        <v>2686</v>
      </c>
      <c r="E88" s="3116">
        <v>0.1</v>
      </c>
      <c r="F88" s="3116">
        <v>15</v>
      </c>
    </row>
    <row r="89" spans="1:6" ht="24">
      <c r="A89" s="3116">
        <v>17</v>
      </c>
      <c r="B89" s="3767"/>
      <c r="C89" s="3090" t="s">
        <v>2687</v>
      </c>
      <c r="D89" s="3090" t="s">
        <v>2688</v>
      </c>
      <c r="E89" s="3116">
        <v>0.1</v>
      </c>
      <c r="F89" s="3116">
        <v>15</v>
      </c>
    </row>
    <row r="90" spans="1:6" ht="14.4">
      <c r="A90" s="3116">
        <v>18</v>
      </c>
      <c r="B90" s="3766" t="s">
        <v>2689</v>
      </c>
      <c r="C90" s="3090" t="s">
        <v>2690</v>
      </c>
      <c r="D90" s="3090" t="s">
        <v>2691</v>
      </c>
      <c r="E90" s="3116">
        <v>0.2</v>
      </c>
      <c r="F90" s="3116">
        <v>25</v>
      </c>
    </row>
    <row r="91" spans="1:6" ht="24">
      <c r="A91" s="3116">
        <v>19</v>
      </c>
      <c r="B91" s="3768"/>
      <c r="C91" s="3090" t="s">
        <v>2692</v>
      </c>
      <c r="D91" s="3090" t="s">
        <v>2693</v>
      </c>
      <c r="E91" s="3116">
        <v>0.2</v>
      </c>
      <c r="F91" s="3116">
        <v>25</v>
      </c>
    </row>
    <row r="92" spans="1:6" ht="14.4">
      <c r="A92" s="3116">
        <v>20</v>
      </c>
      <c r="B92" s="3768"/>
      <c r="C92" s="3090" t="s">
        <v>2694</v>
      </c>
      <c r="D92" s="3090" t="s">
        <v>2695</v>
      </c>
      <c r="E92" s="3116">
        <v>0.15</v>
      </c>
      <c r="F92" s="3116">
        <v>20</v>
      </c>
    </row>
    <row r="93" spans="1:6" ht="24">
      <c r="A93" s="3116">
        <v>21</v>
      </c>
      <c r="B93" s="3768"/>
      <c r="C93" s="3090" t="s">
        <v>2696</v>
      </c>
      <c r="D93" s="3090" t="s">
        <v>2697</v>
      </c>
      <c r="E93" s="3116">
        <v>0.15</v>
      </c>
      <c r="F93" s="3116">
        <v>20</v>
      </c>
    </row>
    <row r="94" spans="1:6" ht="24">
      <c r="A94" s="3116">
        <v>22</v>
      </c>
      <c r="B94" s="3768"/>
      <c r="C94" s="3090" t="s">
        <v>2698</v>
      </c>
      <c r="D94" s="3090" t="s">
        <v>2699</v>
      </c>
      <c r="E94" s="3116">
        <v>0.15</v>
      </c>
      <c r="F94" s="3116">
        <v>20</v>
      </c>
    </row>
    <row r="95" spans="1:6" ht="36">
      <c r="A95" s="3116">
        <v>23</v>
      </c>
      <c r="B95" s="3768"/>
      <c r="C95" s="3090" t="s">
        <v>2700</v>
      </c>
      <c r="D95" s="3090" t="s">
        <v>2701</v>
      </c>
      <c r="E95" s="3116">
        <v>0.15</v>
      </c>
      <c r="F95" s="3116">
        <v>20</v>
      </c>
    </row>
    <row r="96" spans="1:6" ht="24">
      <c r="A96" s="3116">
        <v>24</v>
      </c>
      <c r="B96" s="3768"/>
      <c r="C96" s="3090" t="s">
        <v>2702</v>
      </c>
      <c r="D96" s="3090" t="s">
        <v>2703</v>
      </c>
      <c r="E96" s="3116">
        <v>0.1</v>
      </c>
      <c r="F96" s="3116">
        <v>15</v>
      </c>
    </row>
    <row r="97" spans="1:6" ht="24">
      <c r="A97" s="3116">
        <v>25</v>
      </c>
      <c r="B97" s="3768"/>
      <c r="C97" s="3090" t="s">
        <v>2704</v>
      </c>
      <c r="D97" s="3090" t="s">
        <v>2705</v>
      </c>
      <c r="E97" s="3116">
        <v>0.1</v>
      </c>
      <c r="F97" s="3116">
        <v>15</v>
      </c>
    </row>
    <row r="98" spans="1:6" ht="24">
      <c r="A98" s="3116">
        <v>26</v>
      </c>
      <c r="B98" s="3768"/>
      <c r="C98" s="3090" t="s">
        <v>2706</v>
      </c>
      <c r="D98" s="3090" t="s">
        <v>2707</v>
      </c>
      <c r="E98" s="3116">
        <v>0.1</v>
      </c>
      <c r="F98" s="3116">
        <v>15</v>
      </c>
    </row>
    <row r="99" spans="1:6" ht="24">
      <c r="A99" s="3116">
        <v>27</v>
      </c>
      <c r="B99" s="3768"/>
      <c r="C99" s="3090" t="s">
        <v>2708</v>
      </c>
      <c r="D99" s="3090" t="s">
        <v>2709</v>
      </c>
      <c r="E99" s="3116">
        <v>0.1</v>
      </c>
      <c r="F99" s="3116">
        <v>15</v>
      </c>
    </row>
    <row r="100" spans="1:6" ht="24">
      <c r="A100" s="3116">
        <v>28</v>
      </c>
      <c r="B100" s="3768"/>
      <c r="C100" s="3090" t="s">
        <v>2710</v>
      </c>
      <c r="D100" s="3090" t="s">
        <v>2711</v>
      </c>
      <c r="E100" s="3116">
        <v>0.1</v>
      </c>
      <c r="F100" s="3116">
        <v>15</v>
      </c>
    </row>
    <row r="101" spans="1:6" ht="24">
      <c r="A101" s="3116">
        <v>29</v>
      </c>
      <c r="B101" s="3768"/>
      <c r="C101" s="3090" t="s">
        <v>2712</v>
      </c>
      <c r="D101" s="3090" t="s">
        <v>2713</v>
      </c>
      <c r="E101" s="3116">
        <v>0.1</v>
      </c>
      <c r="F101" s="3116">
        <v>15</v>
      </c>
    </row>
    <row r="102" spans="1:6" ht="24">
      <c r="A102" s="3116">
        <v>30</v>
      </c>
      <c r="B102" s="3768"/>
      <c r="C102" s="3090" t="s">
        <v>2714</v>
      </c>
      <c r="D102" s="3090" t="s">
        <v>2715</v>
      </c>
      <c r="E102" s="3116">
        <v>0.1</v>
      </c>
      <c r="F102" s="3116">
        <v>15</v>
      </c>
    </row>
    <row r="103" spans="1:6" ht="24">
      <c r="A103" s="3116">
        <v>31</v>
      </c>
      <c r="B103" s="3768"/>
      <c r="C103" s="3090" t="s">
        <v>2716</v>
      </c>
      <c r="D103" s="3090" t="s">
        <v>2717</v>
      </c>
      <c r="E103" s="3116">
        <v>0.1</v>
      </c>
      <c r="F103" s="3116">
        <v>15</v>
      </c>
    </row>
    <row r="104" spans="1:6" ht="24">
      <c r="A104" s="3116">
        <v>32</v>
      </c>
      <c r="B104" s="3768"/>
      <c r="C104" s="3090" t="s">
        <v>2718</v>
      </c>
      <c r="D104" s="3090" t="s">
        <v>2719</v>
      </c>
      <c r="E104" s="3116">
        <v>0.1</v>
      </c>
      <c r="F104" s="3116">
        <v>15</v>
      </c>
    </row>
    <row r="105" spans="1:6" ht="24">
      <c r="A105" s="3116">
        <v>33</v>
      </c>
      <c r="B105" s="3768"/>
      <c r="C105" s="3090" t="s">
        <v>2720</v>
      </c>
      <c r="D105" s="3090" t="s">
        <v>2721</v>
      </c>
      <c r="E105" s="3116">
        <v>0.1</v>
      </c>
      <c r="F105" s="3116">
        <v>15</v>
      </c>
    </row>
    <row r="106" spans="1:6" ht="24">
      <c r="A106" s="3116">
        <v>34</v>
      </c>
      <c r="B106" s="3767"/>
      <c r="C106" s="3090" t="s">
        <v>2722</v>
      </c>
      <c r="D106" s="3090" t="s">
        <v>2723</v>
      </c>
      <c r="E106" s="3116">
        <v>0.1</v>
      </c>
      <c r="F106" s="3116">
        <v>15</v>
      </c>
    </row>
    <row r="107" spans="1:6" ht="36">
      <c r="A107" s="3116">
        <v>35</v>
      </c>
      <c r="B107" s="3766" t="s">
        <v>2724</v>
      </c>
      <c r="C107" s="3116" t="s">
        <v>2725</v>
      </c>
      <c r="D107" s="3090" t="s">
        <v>2726</v>
      </c>
      <c r="E107" s="3116">
        <v>0.15</v>
      </c>
      <c r="F107" s="3116">
        <v>20</v>
      </c>
    </row>
    <row r="108" spans="1:6" ht="24">
      <c r="A108" s="3116">
        <v>36</v>
      </c>
      <c r="B108" s="3768"/>
      <c r="C108" s="3116" t="s">
        <v>2727</v>
      </c>
      <c r="D108" s="3090" t="s">
        <v>2728</v>
      </c>
      <c r="E108" s="3116">
        <v>0.15</v>
      </c>
      <c r="F108" s="3116">
        <v>20</v>
      </c>
    </row>
    <row r="109" spans="1:6" ht="24">
      <c r="A109" s="3116">
        <v>37</v>
      </c>
      <c r="B109" s="3768"/>
      <c r="C109" s="3116" t="s">
        <v>2729</v>
      </c>
      <c r="D109" s="3090" t="s">
        <v>2730</v>
      </c>
      <c r="E109" s="3116">
        <v>0.15</v>
      </c>
      <c r="F109" s="3116">
        <v>20</v>
      </c>
    </row>
    <row r="110" spans="1:6" ht="24">
      <c r="A110" s="3116">
        <v>38</v>
      </c>
      <c r="B110" s="3768"/>
      <c r="C110" s="3116" t="s">
        <v>2731</v>
      </c>
      <c r="D110" s="3090" t="s">
        <v>2732</v>
      </c>
      <c r="E110" s="3116">
        <v>0.1</v>
      </c>
      <c r="F110" s="3116">
        <v>15</v>
      </c>
    </row>
    <row r="111" spans="1:6" ht="24">
      <c r="A111" s="3116">
        <v>39</v>
      </c>
      <c r="B111" s="3768"/>
      <c r="C111" s="3116" t="s">
        <v>2733</v>
      </c>
      <c r="D111" s="3090" t="s">
        <v>2734</v>
      </c>
      <c r="E111" s="3116">
        <v>0.1</v>
      </c>
      <c r="F111" s="3116">
        <v>15</v>
      </c>
    </row>
    <row r="112" spans="1:6" ht="24">
      <c r="A112" s="3116">
        <v>40</v>
      </c>
      <c r="B112" s="3767"/>
      <c r="C112" s="3116" t="s">
        <v>2735</v>
      </c>
      <c r="D112" s="3090" t="s">
        <v>2736</v>
      </c>
      <c r="E112" s="3116">
        <v>0.1</v>
      </c>
      <c r="F112" s="3116">
        <v>15</v>
      </c>
    </row>
    <row r="113" spans="1:6" ht="24">
      <c r="A113" s="3116">
        <v>41</v>
      </c>
      <c r="B113" s="3765" t="s">
        <v>2737</v>
      </c>
      <c r="C113" s="3116" t="s">
        <v>2738</v>
      </c>
      <c r="D113" s="3090" t="s">
        <v>2739</v>
      </c>
      <c r="E113" s="3116">
        <v>0.1</v>
      </c>
      <c r="F113" s="3116">
        <v>15</v>
      </c>
    </row>
    <row r="114" spans="1:6" ht="24">
      <c r="A114" s="3116">
        <v>42</v>
      </c>
      <c r="B114" s="3765"/>
      <c r="C114" s="3116" t="s">
        <v>2740</v>
      </c>
      <c r="D114" s="3090" t="s">
        <v>2741</v>
      </c>
      <c r="E114" s="3116">
        <v>0.1</v>
      </c>
      <c r="F114" s="3116">
        <v>15</v>
      </c>
    </row>
    <row r="115" spans="1:6" ht="24">
      <c r="A115" s="3116">
        <v>43</v>
      </c>
      <c r="B115" s="3765"/>
      <c r="C115" s="3116" t="s">
        <v>2742</v>
      </c>
      <c r="D115" s="3090" t="s">
        <v>2743</v>
      </c>
      <c r="E115" s="3116">
        <v>0.1</v>
      </c>
      <c r="F115" s="3116">
        <v>15</v>
      </c>
    </row>
    <row r="116" spans="1:6" ht="24">
      <c r="A116" s="3116">
        <v>44</v>
      </c>
      <c r="B116" s="3766" t="s">
        <v>2744</v>
      </c>
      <c r="C116" s="3116" t="s">
        <v>2745</v>
      </c>
      <c r="D116" s="3090" t="s">
        <v>2746</v>
      </c>
      <c r="E116" s="3116">
        <v>0.1</v>
      </c>
      <c r="F116" s="3116">
        <v>15</v>
      </c>
    </row>
    <row r="117" spans="1:6" ht="24">
      <c r="A117" s="3116">
        <v>45</v>
      </c>
      <c r="B117" s="3767"/>
      <c r="C117" s="3090" t="s">
        <v>2747</v>
      </c>
      <c r="D117" s="3090" t="s">
        <v>2748</v>
      </c>
      <c r="E117" s="3116">
        <v>0.1</v>
      </c>
      <c r="F117" s="3116">
        <v>15</v>
      </c>
    </row>
    <row r="118" spans="1:6" ht="24">
      <c r="A118" s="3116">
        <v>46</v>
      </c>
      <c r="B118" s="3766" t="s">
        <v>2749</v>
      </c>
      <c r="C118" s="3116" t="s">
        <v>2750</v>
      </c>
      <c r="D118" s="3090" t="s">
        <v>2751</v>
      </c>
      <c r="E118" s="3116">
        <v>0.1</v>
      </c>
      <c r="F118" s="3116">
        <v>15</v>
      </c>
    </row>
    <row r="119" spans="1:6" ht="24">
      <c r="A119" s="3116">
        <v>47</v>
      </c>
      <c r="B119" s="3767"/>
      <c r="C119" s="3116" t="s">
        <v>2752</v>
      </c>
      <c r="D119" s="3090" t="s">
        <v>2753</v>
      </c>
      <c r="E119" s="3116">
        <v>0.1</v>
      </c>
      <c r="F119" s="3116">
        <v>15</v>
      </c>
    </row>
    <row r="120" spans="1:6" ht="24">
      <c r="A120" s="3116">
        <v>48</v>
      </c>
      <c r="B120" s="3766" t="s">
        <v>2754</v>
      </c>
      <c r="C120" s="3116" t="s">
        <v>2755</v>
      </c>
      <c r="D120" s="3090" t="s">
        <v>2756</v>
      </c>
      <c r="E120" s="3116">
        <v>0.1</v>
      </c>
      <c r="F120" s="3116">
        <v>15</v>
      </c>
    </row>
    <row r="121" spans="1:6" ht="24">
      <c r="A121" s="3116">
        <v>49</v>
      </c>
      <c r="B121" s="3767"/>
      <c r="C121" s="3116" t="s">
        <v>2757</v>
      </c>
      <c r="D121" s="3090" t="s">
        <v>2758</v>
      </c>
      <c r="E121" s="3116">
        <v>0.1</v>
      </c>
      <c r="F121" s="3116">
        <v>15</v>
      </c>
    </row>
    <row r="122" spans="1:6" ht="24">
      <c r="A122" s="3116">
        <v>50</v>
      </c>
      <c r="B122" s="3765" t="s">
        <v>2759</v>
      </c>
      <c r="C122" s="3116" t="s">
        <v>2760</v>
      </c>
      <c r="D122" s="3090" t="s">
        <v>2761</v>
      </c>
      <c r="E122" s="3116">
        <v>0.1</v>
      </c>
      <c r="F122" s="3116">
        <v>15</v>
      </c>
    </row>
    <row r="123" spans="1:6" ht="24">
      <c r="A123" s="3116">
        <v>51</v>
      </c>
      <c r="B123" s="3765"/>
      <c r="C123" s="3116" t="s">
        <v>2762</v>
      </c>
      <c r="D123" s="3090" t="s">
        <v>2763</v>
      </c>
      <c r="E123" s="3116">
        <v>0.1</v>
      </c>
      <c r="F123" s="3116">
        <v>15</v>
      </c>
    </row>
    <row r="124" spans="1:6" ht="24">
      <c r="A124" s="3116">
        <v>52</v>
      </c>
      <c r="B124" s="3765" t="s">
        <v>2764</v>
      </c>
      <c r="C124" s="3116" t="s">
        <v>2765</v>
      </c>
      <c r="D124" s="3090" t="s">
        <v>2766</v>
      </c>
      <c r="E124" s="3116">
        <v>0.1</v>
      </c>
      <c r="F124" s="3116">
        <v>15</v>
      </c>
    </row>
    <row r="125" spans="1:6" ht="24">
      <c r="A125" s="3116">
        <v>53</v>
      </c>
      <c r="B125" s="3765"/>
      <c r="C125" s="3116" t="s">
        <v>2767</v>
      </c>
      <c r="D125" s="3090" t="s">
        <v>2768</v>
      </c>
      <c r="E125" s="3116">
        <v>0.1</v>
      </c>
      <c r="F125" s="3116">
        <v>15</v>
      </c>
    </row>
    <row r="126" spans="1:6" ht="24">
      <c r="A126" s="3116">
        <v>54</v>
      </c>
      <c r="B126" s="3116" t="s">
        <v>2769</v>
      </c>
      <c r="C126" s="3116" t="s">
        <v>2770</v>
      </c>
      <c r="D126" s="3090" t="s">
        <v>2771</v>
      </c>
      <c r="E126" s="3116">
        <v>0.1</v>
      </c>
      <c r="F126" s="3116">
        <v>15</v>
      </c>
    </row>
    <row r="127" spans="1:6" ht="24">
      <c r="A127" s="3116">
        <v>55</v>
      </c>
      <c r="B127" s="3765" t="s">
        <v>2772</v>
      </c>
      <c r="C127" s="3116" t="s">
        <v>2773</v>
      </c>
      <c r="D127" s="3090" t="s">
        <v>2774</v>
      </c>
      <c r="E127" s="3116">
        <v>0.1</v>
      </c>
      <c r="F127" s="3116">
        <v>15</v>
      </c>
    </row>
    <row r="128" spans="1:6" ht="24">
      <c r="A128" s="3116">
        <v>56</v>
      </c>
      <c r="B128" s="3765"/>
      <c r="C128" s="3116" t="s">
        <v>2775</v>
      </c>
      <c r="D128" s="3090" t="s">
        <v>2776</v>
      </c>
      <c r="E128" s="3116">
        <v>0.1</v>
      </c>
      <c r="F128" s="3116">
        <v>15</v>
      </c>
    </row>
    <row r="129" spans="1:6" ht="24">
      <c r="A129" s="3116">
        <v>57</v>
      </c>
      <c r="B129" s="3765"/>
      <c r="C129" s="3116" t="s">
        <v>2777</v>
      </c>
      <c r="D129" s="3090" t="s">
        <v>2778</v>
      </c>
      <c r="E129" s="3116">
        <v>0.1</v>
      </c>
      <c r="F129" s="3116">
        <v>15</v>
      </c>
    </row>
    <row r="130" spans="1:6" ht="24">
      <c r="A130" s="3116">
        <v>58</v>
      </c>
      <c r="B130" s="3765" t="s">
        <v>2779</v>
      </c>
      <c r="C130" s="3116" t="s">
        <v>2780</v>
      </c>
      <c r="D130" s="3090" t="s">
        <v>2781</v>
      </c>
      <c r="E130" s="3116">
        <v>0.1</v>
      </c>
      <c r="F130" s="3116">
        <v>15</v>
      </c>
    </row>
    <row r="131" spans="1:6" ht="24">
      <c r="A131" s="3116">
        <v>59</v>
      </c>
      <c r="B131" s="3765"/>
      <c r="C131" s="3116" t="s">
        <v>2782</v>
      </c>
      <c r="D131" s="3090" t="s">
        <v>2783</v>
      </c>
      <c r="E131" s="3116">
        <v>0.1</v>
      </c>
      <c r="F131" s="3116">
        <v>15</v>
      </c>
    </row>
    <row r="132" spans="1:6" ht="24">
      <c r="A132" s="3116">
        <v>60</v>
      </c>
      <c r="B132" s="3766" t="s">
        <v>2784</v>
      </c>
      <c r="C132" s="3116" t="s">
        <v>2785</v>
      </c>
      <c r="D132" s="3090" t="s">
        <v>2786</v>
      </c>
      <c r="E132" s="3116">
        <v>0.1</v>
      </c>
      <c r="F132" s="3116">
        <v>15</v>
      </c>
    </row>
    <row r="133" spans="1:6" ht="24">
      <c r="A133" s="3116">
        <v>61</v>
      </c>
      <c r="B133" s="376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24">
      <c r="A135" s="3116">
        <v>63</v>
      </c>
      <c r="B135" s="3765" t="s">
        <v>2792</v>
      </c>
      <c r="C135" s="3116" t="s">
        <v>2793</v>
      </c>
      <c r="D135" s="3090" t="s">
        <v>2794</v>
      </c>
      <c r="E135" s="3116">
        <v>0.1</v>
      </c>
      <c r="F135" s="3116">
        <v>15</v>
      </c>
    </row>
    <row r="136" spans="1:6" ht="24">
      <c r="A136" s="3116">
        <v>64</v>
      </c>
      <c r="B136" s="3765"/>
      <c r="C136" s="3116" t="s">
        <v>2795</v>
      </c>
      <c r="D136" s="3090" t="s">
        <v>2796</v>
      </c>
      <c r="E136" s="3116">
        <v>0.1</v>
      </c>
      <c r="F136" s="3116">
        <v>15</v>
      </c>
    </row>
    <row r="137" spans="1:6" ht="24">
      <c r="A137" s="3116">
        <v>65</v>
      </c>
      <c r="B137" s="3116" t="s">
        <v>2797</v>
      </c>
      <c r="C137" s="3116" t="s">
        <v>2798</v>
      </c>
      <c r="D137" s="3090" t="s">
        <v>2799</v>
      </c>
      <c r="E137" s="3116">
        <v>0.1</v>
      </c>
      <c r="F137" s="3116">
        <v>15</v>
      </c>
    </row>
    <row r="138" spans="1:6" ht="14.4">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48"/>
  </cols>
  <sheetData>
    <row r="1" spans="1:20" ht="16.2"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7.399999999999999">
      <c r="A3" s="3463" t="str">
        <f>IF(项目基本情况!B9="房地产市场价值","估价结果一览表（市场价值不需“结果表-1”）","估价结果一览表")</f>
        <v>估价结果一览表</v>
      </c>
      <c r="B3" s="3463"/>
      <c r="C3" s="3463"/>
      <c r="D3" s="3463"/>
      <c r="E3" s="3463"/>
    </row>
    <row r="4" spans="1:5" ht="18" thickBot="1">
      <c r="A4" s="1491"/>
      <c r="B4" s="3461" t="s">
        <v>917</v>
      </c>
      <c r="C4" s="3461"/>
      <c r="D4" s="3461"/>
      <c r="E4" s="1491"/>
    </row>
    <row r="5" spans="1:5" ht="16.2" thickTop="1">
      <c r="A5" s="1489"/>
      <c r="B5" s="3459" t="s">
        <v>909</v>
      </c>
      <c r="C5" s="1492" t="s">
        <v>910</v>
      </c>
      <c r="D5" s="848">
        <f ca="1">结果表!H101</f>
        <v>63139</v>
      </c>
      <c r="E5" s="1489"/>
    </row>
    <row r="6" spans="1:5" ht="15.6">
      <c r="A6" s="1489"/>
      <c r="B6" s="3459"/>
      <c r="C6" s="1492" t="s">
        <v>911</v>
      </c>
      <c r="D6" s="848" t="str">
        <f ca="1">NUMBERSTRING(INT(D5*10000),2)&amp;"元整"</f>
        <v>陆亿叁仟壹佰叁拾玖万元整</v>
      </c>
      <c r="E6" s="1489"/>
    </row>
    <row r="7" spans="1:5" ht="15.6">
      <c r="A7" s="1489"/>
      <c r="B7" s="3464"/>
      <c r="C7" s="1493" t="s">
        <v>912</v>
      </c>
      <c r="D7" s="849">
        <f ca="1">结果表!H102</f>
        <v>8090</v>
      </c>
      <c r="E7" s="1489"/>
    </row>
    <row r="8" spans="1:5" ht="15.6">
      <c r="A8" s="1489"/>
      <c r="B8" s="3465" t="str">
        <f>结果表!E103</f>
        <v>2.估价师知悉的法定优先受偿款</v>
      </c>
      <c r="C8" s="1494" t="s">
        <v>913</v>
      </c>
      <c r="D8" s="849">
        <f>结果表!H103</f>
        <v>0</v>
      </c>
      <c r="E8" s="1489"/>
    </row>
    <row r="9" spans="1:5" ht="15.6">
      <c r="A9" s="1489"/>
      <c r="B9" s="3467"/>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458" t="str">
        <f>结果表!E107</f>
        <v>3.房地产抵押价值</v>
      </c>
      <c r="C13" s="1497" t="s">
        <v>910</v>
      </c>
      <c r="D13" s="851">
        <f ca="1">结果表!H107</f>
        <v>63139</v>
      </c>
      <c r="E13" s="1489"/>
    </row>
    <row r="14" spans="1:5" ht="15.6">
      <c r="A14" s="1489"/>
      <c r="B14" s="3459"/>
      <c r="C14" s="1492" t="s">
        <v>911</v>
      </c>
      <c r="D14" s="848" t="str">
        <f ca="1">NUMBERSTRING(INT(D13*10000),2)&amp;"元整"</f>
        <v>陆亿叁仟壹佰叁拾玖万元整</v>
      </c>
      <c r="E14" s="1489"/>
    </row>
    <row r="15" spans="1:5" ht="15.6">
      <c r="A15" s="1489"/>
      <c r="B15" s="3464"/>
      <c r="C15" s="1493" t="s">
        <v>921</v>
      </c>
      <c r="D15" s="857">
        <f ca="1">结果表!H108</f>
        <v>8090</v>
      </c>
      <c r="E15" s="1489"/>
    </row>
    <row r="16" spans="1:5" ht="15.6">
      <c r="A16" s="1489"/>
      <c r="B16" s="3465" t="str">
        <f>结果表!E109</f>
        <v>——</v>
      </c>
      <c r="C16" s="1497" t="s">
        <v>922</v>
      </c>
      <c r="D16" s="1498" t="str">
        <f>结果表!H109</f>
        <v>——</v>
      </c>
      <c r="E16" s="1489"/>
    </row>
    <row r="17" spans="1:5" ht="15.6">
      <c r="A17" s="1489"/>
      <c r="B17" s="3466"/>
      <c r="C17" s="1492" t="s">
        <v>923</v>
      </c>
      <c r="D17" s="848" t="e">
        <f>NUMBERSTRING(INT(D16*10000),2)&amp;"元整"</f>
        <v>#VALUE!</v>
      </c>
      <c r="E17" s="1489"/>
    </row>
    <row r="18" spans="1:5" ht="15.6">
      <c r="A18" s="1489"/>
      <c r="B18" s="3467"/>
      <c r="C18" s="1493" t="s">
        <v>912</v>
      </c>
      <c r="D18" s="857" t="str">
        <f>结果表!H110</f>
        <v>——</v>
      </c>
      <c r="E18" s="1489"/>
    </row>
    <row r="19" spans="1:5" ht="15.6">
      <c r="A19" s="1489"/>
      <c r="B19" s="3458" t="str">
        <f>结果表!E111</f>
        <v>——</v>
      </c>
      <c r="C19" s="1497" t="s">
        <v>910</v>
      </c>
      <c r="D19" s="849" t="str">
        <f>结果表!H111</f>
        <v>——</v>
      </c>
      <c r="E19" s="1489"/>
    </row>
    <row r="20" spans="1:5" ht="15.6">
      <c r="A20" s="1489"/>
      <c r="B20" s="3459"/>
      <c r="C20" s="1492" t="s">
        <v>923</v>
      </c>
      <c r="D20" s="848" t="e">
        <f>NUMBERSTRING(INT(D19*10000),2)&amp;"元整"</f>
        <v>#VALUE!</v>
      </c>
      <c r="E20" s="1489"/>
    </row>
    <row r="21" spans="1:5" ht="16.2" thickBot="1">
      <c r="A21" s="1489"/>
      <c r="B21" s="3460"/>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66522</v>
      </c>
      <c r="C2" s="2" t="s">
        <v>106</v>
      </c>
      <c r="D2" s="199"/>
      <c r="E2" s="199"/>
      <c r="F2" s="199"/>
      <c r="G2" s="199"/>
    </row>
    <row r="3" spans="1:7" s="200" customFormat="1" ht="18" customHeight="1" thickBot="1">
      <c r="A3" s="203" t="s">
        <v>58</v>
      </c>
      <c r="B3" s="204">
        <f ca="1">ROUND(B2*10000/'数据-汇总表'!E3,0)</f>
        <v>8524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1171</v>
      </c>
      <c r="D10" s="843">
        <f>'数据-汇总表'!E6</f>
        <v>78042.850000000006</v>
      </c>
      <c r="E10" s="225">
        <f>'数据-取费表'!B28</f>
        <v>150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1561</v>
      </c>
      <c r="D19" s="847">
        <f>'数据-汇总表'!E3</f>
        <v>78042.850000000006</v>
      </c>
      <c r="E19" s="211">
        <f>'数据-取费表'!B31</f>
        <v>200</v>
      </c>
      <c r="F19" s="231"/>
      <c r="G19" s="1" t="s">
        <v>436</v>
      </c>
    </row>
    <row r="20" spans="1:7" s="214" customFormat="1" ht="13.5" customHeight="1">
      <c r="A20" s="775" t="s">
        <v>419</v>
      </c>
      <c r="B20" s="210" t="s">
        <v>77</v>
      </c>
      <c r="C20" s="232">
        <f>ROUND((C5+C19)*F20,0)</f>
        <v>443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1168</v>
      </c>
      <c r="D22" s="235">
        <f ca="1">C26</f>
        <v>5.0000000000000001E-4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1076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81</v>
      </c>
      <c r="D24" s="238"/>
      <c r="E24" s="238"/>
      <c r="F24" s="239"/>
      <c r="G24" s="240" t="s">
        <v>82</v>
      </c>
    </row>
    <row r="25" spans="1:7" s="214" customFormat="1" ht="24">
      <c r="A25" s="778" t="s">
        <v>348</v>
      </c>
      <c r="B25" s="215" t="s">
        <v>420</v>
      </c>
      <c r="C25" s="1103">
        <f ca="1">ROUND(IF('数据-取费表'!B22&lt;=1,C20*F22*'数据-取费表'!B23/2,C20*(POWER((1+F22),'数据-取费表'!B23/2)-1)),0)</f>
        <v>11</v>
      </c>
      <c r="D25" s="238"/>
      <c r="E25" s="241"/>
      <c r="F25" s="239"/>
      <c r="G25" s="242" t="s">
        <v>83</v>
      </c>
    </row>
    <row r="26" spans="1:7" s="214" customFormat="1">
      <c r="A26" s="778" t="s">
        <v>350</v>
      </c>
      <c r="B26" s="215" t="s">
        <v>422</v>
      </c>
      <c r="C26" s="238">
        <f ca="1">ROUND(IF('数据-取费表'!B22&lt;=1,F21*F22*'数据-取费表'!B23/2,F21*(POWER((1+F22),'数据-取费表'!B23/2)-1)),4)</f>
        <v>5.0000000000000001E-4</v>
      </c>
      <c r="D26" s="238"/>
      <c r="E26" s="241"/>
      <c r="F26" s="239"/>
      <c r="G26" s="243"/>
    </row>
    <row r="27" spans="1:7" s="214" customFormat="1" ht="26.4">
      <c r="A27" s="775" t="s">
        <v>342</v>
      </c>
      <c r="B27" s="244" t="s">
        <v>85</v>
      </c>
      <c r="C27" s="245">
        <f>C28</f>
        <v>3392</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3392</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29405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30105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27315</v>
      </c>
      <c r="D34" s="217"/>
      <c r="E34" s="220"/>
      <c r="F34" s="257">
        <f>IF('数据-取费表'!B24=0,1,'数据-取费表'!N16)</f>
        <v>1</v>
      </c>
      <c r="G34" s="219" t="s">
        <v>89</v>
      </c>
    </row>
    <row r="35" spans="1:7" ht="13.5" customHeight="1">
      <c r="A35" s="778" t="s">
        <v>351</v>
      </c>
      <c r="B35" s="215" t="s">
        <v>33</v>
      </c>
      <c r="C35" s="220">
        <f>ROUND(C34*F35,0)</f>
        <v>819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1561</v>
      </c>
      <c r="D37" s="217">
        <f>'数据-汇总表'!E3</f>
        <v>78042.850000000006</v>
      </c>
      <c r="E37" s="249">
        <f>'数据-取费表'!B35</f>
        <v>200</v>
      </c>
      <c r="F37" s="259"/>
      <c r="G37" s="261" t="s">
        <v>92</v>
      </c>
    </row>
    <row r="38" spans="1:7" ht="13.5" customHeight="1">
      <c r="A38" s="778" t="s">
        <v>354</v>
      </c>
      <c r="B38" s="215" t="s">
        <v>36</v>
      </c>
      <c r="C38" s="220">
        <f>ROUND(C34*F38,0)</f>
        <v>410</v>
      </c>
      <c r="D38" s="220"/>
      <c r="E38" s="220"/>
      <c r="F38" s="259">
        <f>'数据-取费表'!B36</f>
        <v>1.4999999999999999E-2</v>
      </c>
      <c r="G38" s="219" t="s">
        <v>90</v>
      </c>
    </row>
    <row r="39" spans="1:7" s="214" customFormat="1" ht="13.5" customHeight="1">
      <c r="A39" s="775" t="s">
        <v>338</v>
      </c>
      <c r="B39" s="210" t="s">
        <v>77</v>
      </c>
      <c r="C39" s="232">
        <f>ROUND(C33*F20,0)</f>
        <v>602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792</v>
      </c>
      <c r="D41" s="235">
        <f ca="1">C44</f>
        <v>5.0000000000000001E-4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776</v>
      </c>
      <c r="D42" s="238"/>
      <c r="E42" s="238"/>
      <c r="F42" s="239"/>
      <c r="G42" s="3640" t="s">
        <v>94</v>
      </c>
    </row>
    <row r="43" spans="1:7" ht="13.5" customHeight="1">
      <c r="A43" s="778" t="s">
        <v>347</v>
      </c>
      <c r="B43" s="215" t="s">
        <v>426</v>
      </c>
      <c r="C43" s="238">
        <f ca="1">ROUND(IF('数据-取费表'!B22&lt;=1,C39*F22*'数据-取费表'!B21/2,C39*(POWER((1+F22),'数据-取费表'!B21/2)-1)),0)</f>
        <v>16</v>
      </c>
      <c r="D43" s="238"/>
      <c r="E43" s="238"/>
      <c r="F43" s="239"/>
      <c r="G43" s="3641"/>
    </row>
    <row r="44" spans="1:7" ht="13.5" customHeight="1">
      <c r="A44" s="778"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5" t="s">
        <v>341</v>
      </c>
      <c r="B45" s="244" t="s">
        <v>85</v>
      </c>
      <c r="C45" s="245">
        <f>C46</f>
        <v>4606</v>
      </c>
      <c r="D45" s="235">
        <f>C47</f>
        <v>3.0000000000000001E-3</v>
      </c>
      <c r="E45" s="236" t="s">
        <v>102</v>
      </c>
      <c r="F45" s="246"/>
      <c r="G45" s="247" t="s">
        <v>434</v>
      </c>
    </row>
    <row r="46" spans="1:7" s="214" customFormat="1" ht="13.5" customHeight="1">
      <c r="A46" s="778" t="s">
        <v>349</v>
      </c>
      <c r="B46" s="248" t="s">
        <v>427</v>
      </c>
      <c r="C46" s="249">
        <f>ROUND((C33+C39)*F27,0)</f>
        <v>4606</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39070</v>
      </c>
      <c r="D49" s="232"/>
      <c r="E49" s="232"/>
      <c r="F49" s="264"/>
      <c r="G49" s="234" t="s">
        <v>435</v>
      </c>
    </row>
    <row r="50" spans="1:7" s="258" customFormat="1" ht="24">
      <c r="A50" s="775" t="s">
        <v>344</v>
      </c>
      <c r="B50" s="210" t="s">
        <v>97</v>
      </c>
      <c r="C50" s="232"/>
      <c r="D50" s="232"/>
      <c r="E50" s="232"/>
      <c r="F50" s="264">
        <f>IF('数据-取费表'!B24=0,'数据-取费表'!N16,1)</f>
        <v>0.95</v>
      </c>
      <c r="G50" s="247" t="s">
        <v>98</v>
      </c>
    </row>
    <row r="51" spans="1:7" ht="16.5" customHeight="1">
      <c r="A51" s="775" t="s">
        <v>345</v>
      </c>
      <c r="B51" s="210" t="s">
        <v>105</v>
      </c>
      <c r="C51" s="232">
        <f ca="1">ROUND(C49*F50,0)</f>
        <v>37117</v>
      </c>
      <c r="D51" s="232"/>
      <c r="E51" s="232"/>
      <c r="F51" s="264"/>
      <c r="G51" s="234" t="s">
        <v>37</v>
      </c>
    </row>
    <row r="52" spans="1:7" s="208" customFormat="1" ht="16.8" thickBot="1">
      <c r="A52" s="265" t="s">
        <v>38</v>
      </c>
      <c r="B52" s="266"/>
      <c r="C52" s="267">
        <f ca="1">C31+C51</f>
        <v>66522</v>
      </c>
      <c r="D52" s="266"/>
      <c r="E52" s="266"/>
      <c r="F52" s="266"/>
      <c r="G52" s="268"/>
    </row>
    <row r="55" spans="1:7" ht="15">
      <c r="B55" s="270" t="s">
        <v>39</v>
      </c>
      <c r="C55" s="271"/>
    </row>
    <row r="56" spans="1:7">
      <c r="B56" s="273" t="s">
        <v>40</v>
      </c>
      <c r="C56" s="274">
        <f ca="1">ROUND(C51/C52,3)</f>
        <v>0.55800000000000005</v>
      </c>
    </row>
    <row r="57" spans="1:7">
      <c r="B57" s="273" t="s">
        <v>41</v>
      </c>
      <c r="C57" s="275">
        <f ca="1">1-C56</f>
        <v>0.44199999999999995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79" t="s">
        <v>2844</v>
      </c>
      <c r="B1" s="3779"/>
      <c r="C1" s="3779"/>
      <c r="D1" s="3779"/>
      <c r="E1" s="3779"/>
      <c r="F1" s="3779"/>
      <c r="G1" s="378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1.4"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1.4" thickBot="1">
      <c r="A4" s="377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1.4"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1.4"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1.4"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1.4"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81" t="s">
        <v>3186</v>
      </c>
      <c r="B1" s="3781"/>
    </row>
    <row r="2" spans="1:7" ht="15" thickBot="1">
      <c r="A2" s="3253"/>
      <c r="B2" s="3253"/>
    </row>
    <row r="3" spans="1:7" ht="15" thickBot="1">
      <c r="A3" s="3253"/>
      <c r="B3" s="3253"/>
      <c r="C3" s="3254" t="s">
        <v>2814</v>
      </c>
      <c r="D3" s="3254" t="s">
        <v>2872</v>
      </c>
      <c r="E3" s="3254" t="s">
        <v>2816</v>
      </c>
      <c r="F3" s="3254" t="s">
        <v>2873</v>
      </c>
      <c r="G3" s="3254" t="s">
        <v>2634</v>
      </c>
    </row>
    <row r="4" spans="1:7" ht="1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82" t="s">
        <v>3237</v>
      </c>
      <c r="B1" s="3782"/>
      <c r="C1" s="3782"/>
      <c r="D1" s="3782"/>
      <c r="E1" s="3782"/>
      <c r="F1" s="378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4.4"/>
  <cols>
    <col min="1" max="1" width="13.88671875" customWidth="1"/>
    <col min="11" max="17" width="0" hidden="1" customWidth="1"/>
    <col min="25" max="30" width="0" hidden="1" customWidth="1"/>
  </cols>
  <sheetData>
    <row r="1" spans="1:30">
      <c r="A1" s="3219">
        <f>基准地价修正!G23</f>
        <v>45159</v>
      </c>
      <c r="B1" s="3208" t="s">
        <v>2843</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3.2">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2">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3.2">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3.2">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3.2">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3.2">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2">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2">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2">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2">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2">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8"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5" thickTop="1"/>
    <row r="18" spans="1:30" s="3007" customFormat="1">
      <c r="A18" s="3446" t="s">
        <v>3370</v>
      </c>
    </row>
    <row r="19" spans="1:30" s="3007" customFormat="1">
      <c r="I19" s="3206" t="s">
        <v>2828</v>
      </c>
    </row>
    <row r="20" spans="1:30" s="3007" customFormat="1"/>
    <row r="21" spans="1:30" s="3207" customFormat="1" ht="13.2">
      <c r="B21" s="3208" t="s">
        <v>2829</v>
      </c>
      <c r="C21" s="3209"/>
      <c r="D21" s="3209"/>
      <c r="E21" s="3209"/>
      <c r="F21" s="3209"/>
      <c r="G21" s="3209"/>
      <c r="H21" s="3209"/>
      <c r="I21" s="3209"/>
      <c r="J21" s="3163"/>
      <c r="K21" s="3209" t="s">
        <v>2830</v>
      </c>
      <c r="L21" s="3209"/>
      <c r="M21" s="3209"/>
      <c r="N21" s="3209"/>
      <c r="O21" s="3209"/>
      <c r="P21" s="3209"/>
      <c r="Q21" s="3163"/>
      <c r="R21" s="3784" t="s">
        <v>2831</v>
      </c>
      <c r="S21" s="3785"/>
      <c r="T21" s="3785"/>
      <c r="U21" s="3785"/>
      <c r="V21" s="3785"/>
      <c r="W21" s="3785"/>
      <c r="X21" s="3163"/>
      <c r="Y21" s="3784" t="s">
        <v>2832</v>
      </c>
      <c r="Z21" s="3785"/>
      <c r="AA21" s="3785"/>
      <c r="AB21" s="3785"/>
      <c r="AC21" s="3785"/>
      <c r="AD21" s="3785"/>
    </row>
    <row r="22" spans="1:30" s="3141" customFormat="1" ht="1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3.2">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2">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2">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2">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3.2">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3.2">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3.2">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3.2">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2">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2">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2">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2">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2">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8"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78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78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79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78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78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78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78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78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78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78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78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78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78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78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7">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788">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78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7">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788">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45159</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6">
      <c r="A3" s="3471"/>
      <c r="B3" s="3471"/>
      <c r="C3" s="3471"/>
      <c r="D3" s="852" t="s">
        <v>925</v>
      </c>
      <c r="E3" s="852" t="s">
        <v>931</v>
      </c>
      <c r="F3" s="852" t="s">
        <v>925</v>
      </c>
      <c r="G3" s="852" t="s">
        <v>926</v>
      </c>
      <c r="H3" s="852" t="s">
        <v>925</v>
      </c>
      <c r="I3" s="852" t="s">
        <v>926</v>
      </c>
    </row>
    <row r="4" spans="1:9" ht="15">
      <c r="A4" s="1503" t="str">
        <f>项目基本情况!S2</f>
        <v>北京市房地产</v>
      </c>
      <c r="B4" s="852">
        <f>项目基本情况!C17</f>
        <v>78042.850000000006</v>
      </c>
      <c r="C4" s="852">
        <f>项目基本情况!C18</f>
        <v>0</v>
      </c>
      <c r="D4" s="852">
        <f ca="1">结果表!D118</f>
        <v>-1326</v>
      </c>
      <c r="E4" s="852">
        <f ca="1">结果表!E118</f>
        <v>-170</v>
      </c>
      <c r="F4" s="852">
        <f ca="1">结果表!F118</f>
        <v>64465</v>
      </c>
      <c r="G4" s="852">
        <f ca="1">结果表!G118</f>
        <v>8260</v>
      </c>
      <c r="H4" s="852">
        <f ca="1">结果表!H118</f>
        <v>63139</v>
      </c>
      <c r="I4" s="852">
        <f ca="1">结果表!I118</f>
        <v>8090</v>
      </c>
    </row>
    <row r="5" spans="1:9" ht="30" customHeight="1">
      <c r="A5" s="3471" t="s">
        <v>927</v>
      </c>
      <c r="B5" s="3471"/>
      <c r="C5" s="3471"/>
      <c r="D5" s="3471" t="e">
        <f ca="1">结果表!D119</f>
        <v>#NUM!</v>
      </c>
      <c r="E5" s="3471"/>
      <c r="F5" s="3471" t="str">
        <f ca="1">结果表!F119</f>
        <v>陆亿肆仟肆佰陆拾伍万元整</v>
      </c>
      <c r="G5" s="3471"/>
      <c r="H5" s="3471" t="str">
        <f ca="1">结果表!H119</f>
        <v>陆亿叁仟壹佰叁拾玖万元整</v>
      </c>
      <c r="I5" s="3471"/>
    </row>
    <row r="6" spans="1:9" ht="15.6">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6">
      <c r="A8" s="3470" t="str">
        <f>结果表!A122</f>
        <v>房地产抵押价值</v>
      </c>
      <c r="B8" s="3470"/>
      <c r="C8" s="3470"/>
      <c r="D8" s="3470">
        <f ca="1">结果表!D122</f>
        <v>63139</v>
      </c>
      <c r="E8" s="3470"/>
      <c r="F8" s="3470"/>
      <c r="G8" s="3470"/>
      <c r="H8" s="3470"/>
      <c r="I8" s="3470"/>
    </row>
    <row r="9" spans="1:9" ht="15">
      <c r="A9" s="3471" t="s">
        <v>927</v>
      </c>
      <c r="B9" s="3471"/>
      <c r="C9" s="3471"/>
      <c r="D9" s="3471" t="str">
        <f ca="1">结果表!D123</f>
        <v>陆亿叁仟壹佰叁拾玖万元整</v>
      </c>
      <c r="E9" s="3471"/>
      <c r="F9" s="3471"/>
      <c r="G9" s="3471"/>
      <c r="H9" s="3471"/>
      <c r="I9" s="3471"/>
    </row>
    <row r="10" spans="1:9" ht="15.6">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6">
      <c r="A12" s="3470" t="str">
        <f>结果表!A126</f>
        <v/>
      </c>
      <c r="B12" s="3470"/>
      <c r="C12" s="3470"/>
      <c r="D12" s="3470" t="str">
        <f>结果表!D126</f>
        <v>——</v>
      </c>
      <c r="E12" s="3470"/>
      <c r="F12" s="3470"/>
      <c r="G12" s="3470"/>
      <c r="H12" s="3470"/>
      <c r="I12" s="3470"/>
    </row>
    <row r="13" spans="1:9" ht="15.6" thickBot="1">
      <c r="A13" s="3468" t="s">
        <v>927</v>
      </c>
      <c r="B13" s="3468"/>
      <c r="C13" s="3468"/>
      <c r="D13" s="3468" t="e">
        <f>结果表!D127</f>
        <v>#VALUE!</v>
      </c>
      <c r="E13" s="3468"/>
      <c r="F13" s="3468"/>
      <c r="G13" s="3468"/>
      <c r="H13" s="3468"/>
      <c r="I13" s="3468"/>
    </row>
    <row r="14" spans="1:9" ht="14.4" thickTop="1">
      <c r="A14" s="3469" t="s">
        <v>932</v>
      </c>
      <c r="B14" s="3469"/>
      <c r="C14" s="3469"/>
      <c r="D14" s="3469"/>
      <c r="E14" s="3469"/>
      <c r="F14" s="3469"/>
      <c r="G14" s="3469"/>
      <c r="H14" s="3469"/>
      <c r="I14" s="3469"/>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483" t="s">
        <v>949</v>
      </c>
      <c r="B1" s="3483"/>
      <c r="C1" s="3483"/>
      <c r="D1" s="3483"/>
    </row>
    <row r="2" spans="1:4" ht="17.399999999999999">
      <c r="A2" s="3484" t="s">
        <v>933</v>
      </c>
      <c r="B2" s="3484"/>
      <c r="C2" s="3484"/>
      <c r="D2" s="3484"/>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484" t="s">
        <v>939</v>
      </c>
      <c r="B6" s="3484"/>
      <c r="C6" s="3484"/>
      <c r="D6" s="3484"/>
    </row>
    <row r="7" spans="1:4" ht="17.399999999999999">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7.399999999999999">
      <c r="A10" s="1514" t="s">
        <v>941</v>
      </c>
      <c r="B10" s="673"/>
      <c r="C10" s="673"/>
      <c r="D10" s="673"/>
    </row>
    <row r="11" spans="1:4" ht="30" customHeight="1">
      <c r="A11" s="3485" t="s">
        <v>942</v>
      </c>
      <c r="B11" s="3477"/>
      <c r="C11" s="3477"/>
      <c r="D11" s="3477"/>
    </row>
    <row r="12" spans="1:4" ht="15.6">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491" t="s">
        <v>956</v>
      </c>
      <c r="B15" s="3486" t="s">
        <v>109</v>
      </c>
      <c r="C15" s="3487"/>
    </row>
    <row r="16" spans="1:7" ht="14.4">
      <c r="A16" s="3492"/>
      <c r="B16" s="3486" t="s">
        <v>42</v>
      </c>
      <c r="C16" s="3487"/>
    </row>
    <row r="17" spans="1:3" ht="14.4">
      <c r="A17" s="3492"/>
      <c r="B17" s="3489" t="s">
        <v>957</v>
      </c>
      <c r="C17" s="1530" t="s">
        <v>956</v>
      </c>
    </row>
    <row r="18" spans="1:3" ht="14.4">
      <c r="A18" s="3492"/>
      <c r="B18" s="3489"/>
      <c r="C18" s="1530" t="s">
        <v>958</v>
      </c>
    </row>
    <row r="19" spans="1:3" ht="14.4">
      <c r="A19" s="3492"/>
      <c r="B19" s="3489"/>
      <c r="C19" s="1530" t="s">
        <v>959</v>
      </c>
    </row>
    <row r="20" spans="1:3" ht="14.4">
      <c r="A20" s="3493"/>
      <c r="B20" s="3488" t="s">
        <v>960</v>
      </c>
      <c r="C20" s="3487"/>
    </row>
    <row r="21" spans="1:3" ht="14.4">
      <c r="A21" s="1531" t="s">
        <v>961</v>
      </c>
      <c r="B21" s="1532"/>
      <c r="C21" s="1533"/>
    </row>
    <row r="22" spans="1:3" ht="14.4">
      <c r="A22" s="3490" t="s">
        <v>962</v>
      </c>
      <c r="B22" s="3488" t="s">
        <v>963</v>
      </c>
      <c r="C22" s="3487"/>
    </row>
    <row r="23" spans="1:3" ht="14.4">
      <c r="A23" s="3490"/>
      <c r="B23" s="3488" t="s">
        <v>964</v>
      </c>
      <c r="C23" s="3487"/>
    </row>
    <row r="24" spans="1:3" ht="14.4">
      <c r="A24" s="3490"/>
      <c r="B24" s="3488" t="s">
        <v>965</v>
      </c>
      <c r="C24" s="3487"/>
    </row>
    <row r="25" spans="1:3" ht="14.4">
      <c r="A25" s="3490"/>
      <c r="B25" s="3489" t="s">
        <v>966</v>
      </c>
      <c r="C25" s="1530" t="s">
        <v>967</v>
      </c>
    </row>
    <row r="26" spans="1:3" ht="14.4">
      <c r="A26" s="3490"/>
      <c r="B26" s="3489"/>
      <c r="C26" s="1530" t="s">
        <v>968</v>
      </c>
    </row>
    <row r="27" spans="1:3" ht="14.4">
      <c r="A27" s="3490"/>
      <c r="B27" s="3489"/>
      <c r="C27" s="1530" t="s">
        <v>969</v>
      </c>
    </row>
    <row r="28" spans="1:3" ht="14.4">
      <c r="A28" s="3490"/>
      <c r="B28" s="3489"/>
      <c r="C28" s="1530" t="s">
        <v>970</v>
      </c>
    </row>
    <row r="29" spans="1:3" ht="14.4">
      <c r="A29" s="3490"/>
      <c r="B29" s="3489"/>
      <c r="C29" s="1530" t="s">
        <v>971</v>
      </c>
    </row>
    <row r="30" spans="1:3" ht="14.4">
      <c r="A30" s="3490"/>
      <c r="B30" s="3489"/>
      <c r="C30" s="1530" t="s">
        <v>972</v>
      </c>
    </row>
    <row r="31" spans="1:3" ht="14.4">
      <c r="A31" s="3490"/>
      <c r="B31" s="3489"/>
      <c r="C31" s="1530" t="s">
        <v>973</v>
      </c>
    </row>
    <row r="32" spans="1:3" ht="14.4">
      <c r="A32" s="3490"/>
      <c r="B32" s="3489"/>
      <c r="C32" s="1530" t="s">
        <v>974</v>
      </c>
    </row>
    <row r="33" spans="1:3" ht="14.4">
      <c r="A33" s="3490"/>
      <c r="B33" s="3489"/>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2138</v>
      </c>
      <c r="B2" s="2337">
        <f ca="1">TODAY()</f>
        <v>45161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1"/>
      <c r="E18" s="3496" t="s">
        <v>2161</v>
      </c>
      <c r="F18" s="3495"/>
      <c r="G18" s="349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2023-08-23T05:39:32Z</dcterms:modified>
</cp:coreProperties>
</file>